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ffels/Dropbox/Zebra.Shark/Kady &amp; Jen/Egg_Case_Morphology/Egg Case Data/"/>
    </mc:Choice>
  </mc:AlternateContent>
  <xr:revisionPtr revIDLastSave="0" documentId="13_ncr:1_{1AB3E9E9-14AC-9544-A246-91B268A73463}" xr6:coauthVersionLast="47" xr6:coauthVersionMax="47" xr10:uidLastSave="{00000000-0000-0000-0000-000000000000}"/>
  <bookViews>
    <workbookView xWindow="35980" yWindow="940" windowWidth="32360" windowHeight="17880" xr2:uid="{71438AC6-7BDB-474C-90AF-CFBAF06A667C}"/>
  </bookViews>
  <sheets>
    <sheet name="Data 2023" sheetId="4" r:id="rId1"/>
    <sheet name="Data 2021" sheetId="3" r:id="rId2"/>
    <sheet name="Data 2022" sheetId="2" r:id="rId3"/>
  </sheets>
  <definedNames>
    <definedName name="_xlnm._FilterDatabase" localSheetId="1" hidden="1">'Data 2021'!$A$1:$AU$1054</definedName>
    <definedName name="_xlnm._FilterDatabase" localSheetId="2" hidden="1">'Data 2022'!$A$1:$AU$1088</definedName>
    <definedName name="_xlnm._FilterDatabase" localSheetId="0" hidden="1">'Data 2023'!$A$1:$AU$1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945" i="3" l="1"/>
  <c r="AO943" i="3"/>
  <c r="AQ871" i="3"/>
  <c r="AP833" i="3"/>
  <c r="AP829" i="3"/>
  <c r="AO829" i="3"/>
  <c r="AP828" i="3"/>
  <c r="AO828" i="3"/>
  <c r="AP827" i="3"/>
  <c r="AO827" i="3"/>
  <c r="AQ826" i="3"/>
  <c r="AP826" i="3"/>
  <c r="AO826" i="3"/>
  <c r="AQ825" i="3"/>
  <c r="AP825" i="3"/>
  <c r="AP824" i="3"/>
  <c r="AQ823" i="3"/>
  <c r="AP822" i="3"/>
  <c r="AP821" i="3"/>
  <c r="AP820" i="3"/>
  <c r="AO820" i="3"/>
  <c r="P806" i="3"/>
  <c r="AQ767" i="3"/>
  <c r="AP767" i="3"/>
  <c r="AO767" i="3"/>
  <c r="AQ766" i="3"/>
  <c r="AP766" i="3"/>
  <c r="AO766" i="3"/>
  <c r="AQ765" i="3"/>
  <c r="AP765" i="3"/>
  <c r="AO765" i="3"/>
  <c r="AQ764" i="3"/>
  <c r="AP764" i="3"/>
  <c r="AO764" i="3"/>
  <c r="AQ763" i="3"/>
  <c r="AP763" i="3"/>
  <c r="AO763" i="3"/>
  <c r="AQ762" i="3"/>
  <c r="AP762" i="3"/>
  <c r="AO762" i="3"/>
  <c r="AQ761" i="3"/>
  <c r="AP761" i="3"/>
  <c r="AO761" i="3"/>
  <c r="AQ760" i="3"/>
  <c r="AP760" i="3"/>
  <c r="AO760" i="3"/>
  <c r="AQ759" i="3"/>
  <c r="AP759" i="3"/>
  <c r="AO759" i="3"/>
  <c r="AQ758" i="3"/>
  <c r="AP758" i="3"/>
  <c r="AO758" i="3"/>
  <c r="AQ757" i="3"/>
  <c r="AP757" i="3"/>
  <c r="AO757" i="3"/>
  <c r="AQ756" i="3"/>
  <c r="AP756" i="3"/>
  <c r="AO756" i="3"/>
  <c r="AQ755" i="3"/>
  <c r="AP755" i="3"/>
  <c r="AO755" i="3"/>
  <c r="AQ754" i="3"/>
  <c r="AP754" i="3"/>
  <c r="AQ753" i="3"/>
  <c r="AP753" i="3"/>
  <c r="AO753" i="3"/>
  <c r="AQ752" i="3"/>
  <c r="AP752" i="3"/>
  <c r="AO752" i="3"/>
  <c r="AQ751" i="3"/>
  <c r="AP751" i="3"/>
  <c r="AO751" i="3"/>
  <c r="AQ750" i="3"/>
  <c r="AP750" i="3"/>
  <c r="AO750" i="3"/>
  <c r="AQ749" i="3"/>
  <c r="AP749" i="3"/>
  <c r="AO749" i="3"/>
  <c r="AQ748" i="3"/>
  <c r="AP748" i="3"/>
  <c r="AO748" i="3"/>
  <c r="AQ747" i="3"/>
  <c r="AP747" i="3"/>
  <c r="AO747" i="3"/>
  <c r="AQ746" i="3"/>
  <c r="AP746" i="3"/>
  <c r="AO746" i="3"/>
  <c r="AQ745" i="3"/>
  <c r="AP745" i="3"/>
  <c r="AO745" i="3"/>
  <c r="AQ744" i="3"/>
  <c r="AP744" i="3"/>
  <c r="AO744" i="3"/>
  <c r="AQ743" i="3"/>
  <c r="AP743" i="3"/>
  <c r="AO743" i="3"/>
  <c r="AQ742" i="3"/>
  <c r="AP742" i="3"/>
  <c r="AO742" i="3"/>
  <c r="AQ741" i="3"/>
  <c r="AP741" i="3"/>
  <c r="AO741" i="3"/>
  <c r="AQ740" i="3"/>
  <c r="AP740" i="3"/>
  <c r="AO740" i="3"/>
  <c r="AQ739" i="3"/>
  <c r="AP739" i="3"/>
  <c r="AO739" i="3"/>
  <c r="AQ738" i="3"/>
  <c r="AP738" i="3"/>
  <c r="AO738" i="3"/>
  <c r="AQ737" i="3"/>
  <c r="AP737" i="3"/>
  <c r="AO737" i="3"/>
  <c r="AQ736" i="3"/>
  <c r="AP736" i="3"/>
  <c r="AO736" i="3"/>
  <c r="AQ735" i="3"/>
  <c r="AP735" i="3"/>
  <c r="AO735" i="3"/>
  <c r="AQ734" i="3"/>
  <c r="AP734" i="3"/>
  <c r="AO734" i="3"/>
  <c r="AQ733" i="3"/>
  <c r="AP733" i="3"/>
  <c r="AO733" i="3"/>
  <c r="AQ732" i="3"/>
  <c r="AP732" i="3"/>
  <c r="AO732" i="3"/>
  <c r="AQ672" i="3"/>
  <c r="AP672" i="3"/>
  <c r="AO672" i="3"/>
  <c r="AQ671" i="3"/>
  <c r="AP671" i="3"/>
  <c r="AO671" i="3"/>
  <c r="AQ670" i="3"/>
  <c r="AP670" i="3"/>
  <c r="AO670" i="3"/>
  <c r="AQ669" i="3"/>
  <c r="AP669" i="3"/>
  <c r="AO669" i="3"/>
  <c r="AQ668" i="3"/>
  <c r="AP668" i="3"/>
  <c r="AO668" i="3"/>
  <c r="AQ667" i="3"/>
  <c r="AP667" i="3"/>
  <c r="AO667" i="3"/>
  <c r="AQ666" i="3"/>
  <c r="AP666" i="3"/>
  <c r="AO666" i="3"/>
  <c r="AQ665" i="3"/>
  <c r="AP665" i="3"/>
  <c r="AO665" i="3"/>
  <c r="AQ664" i="3"/>
  <c r="AP664" i="3"/>
  <c r="AO664" i="3"/>
  <c r="AQ663" i="3"/>
  <c r="AP663" i="3"/>
  <c r="AO663" i="3"/>
  <c r="AQ636" i="3"/>
  <c r="AP636" i="3"/>
  <c r="AO636" i="3"/>
  <c r="AQ635" i="3"/>
  <c r="AP635" i="3"/>
  <c r="AO635" i="3"/>
  <c r="AP634" i="3"/>
  <c r="AO634" i="3"/>
  <c r="AQ633" i="3"/>
  <c r="AP633" i="3"/>
  <c r="AO633" i="3"/>
  <c r="AQ632" i="3"/>
  <c r="AP632" i="3"/>
  <c r="AO632" i="3"/>
  <c r="AN599" i="3"/>
  <c r="AQ593" i="3"/>
  <c r="AP593" i="3"/>
  <c r="AO593" i="3"/>
  <c r="AQ592" i="3"/>
  <c r="AP592" i="3"/>
  <c r="AO592" i="3"/>
  <c r="AQ591" i="3"/>
  <c r="AP591" i="3"/>
  <c r="AO591" i="3"/>
  <c r="AQ590" i="3"/>
  <c r="AP590" i="3"/>
  <c r="AO590" i="3"/>
  <c r="AQ589" i="3"/>
  <c r="AP589" i="3"/>
  <c r="AO589" i="3"/>
  <c r="AQ588" i="3"/>
  <c r="AP588" i="3"/>
  <c r="AO588" i="3"/>
  <c r="N588" i="3"/>
  <c r="AQ587" i="3"/>
  <c r="AP587" i="3"/>
  <c r="AO587" i="3"/>
  <c r="AQ586" i="3"/>
  <c r="AP586" i="3"/>
  <c r="AO586" i="3"/>
  <c r="AQ585" i="3"/>
  <c r="AP585" i="3"/>
  <c r="AO585" i="3"/>
  <c r="AP584" i="3"/>
  <c r="AO584" i="3"/>
  <c r="AQ583" i="3"/>
  <c r="AP583" i="3"/>
  <c r="AO583" i="3"/>
  <c r="AQ582" i="3"/>
  <c r="AP582" i="3"/>
  <c r="AO582" i="3"/>
  <c r="AQ581" i="3"/>
  <c r="AP581" i="3"/>
  <c r="AO581" i="3"/>
  <c r="AQ580" i="3"/>
  <c r="AP580" i="3"/>
  <c r="AO580" i="3"/>
  <c r="AQ579" i="3"/>
  <c r="AP579" i="3"/>
  <c r="AO579" i="3"/>
  <c r="AP578" i="3"/>
  <c r="AO578" i="3"/>
  <c r="AQ577" i="3"/>
  <c r="AP577" i="3"/>
  <c r="AO577" i="3"/>
  <c r="AQ576" i="3"/>
  <c r="AP576" i="3"/>
  <c r="AO576" i="3"/>
  <c r="AQ575" i="3"/>
  <c r="AP575" i="3"/>
  <c r="AO575" i="3"/>
  <c r="AQ574" i="3"/>
  <c r="AP574" i="3"/>
  <c r="AO574" i="3"/>
  <c r="AQ573" i="3"/>
  <c r="AP573" i="3"/>
  <c r="AO573" i="3"/>
  <c r="AQ572" i="3"/>
  <c r="AP572" i="3"/>
  <c r="AO572" i="3"/>
  <c r="AQ571" i="3"/>
  <c r="AP571" i="3"/>
  <c r="AO571" i="3"/>
  <c r="AQ570" i="3"/>
  <c r="AP570" i="3"/>
  <c r="AO570" i="3"/>
  <c r="AQ569" i="3"/>
  <c r="AP569" i="3"/>
  <c r="AO569" i="3"/>
  <c r="AQ568" i="3"/>
  <c r="AP568" i="3"/>
  <c r="AO568" i="3"/>
  <c r="AQ567" i="3"/>
  <c r="AP567" i="3"/>
  <c r="AO567" i="3"/>
  <c r="AQ566" i="3"/>
  <c r="AP566" i="3"/>
  <c r="AO566" i="3"/>
  <c r="AL566" i="3"/>
  <c r="AQ565" i="3"/>
  <c r="AP565" i="3"/>
  <c r="AO565" i="3"/>
  <c r="AQ564" i="3"/>
  <c r="AP564" i="3"/>
  <c r="AO564" i="3"/>
  <c r="AQ562" i="3"/>
  <c r="AP562" i="3"/>
  <c r="AO562" i="3"/>
  <c r="AQ561" i="3"/>
  <c r="AP561" i="3"/>
  <c r="AO561" i="3"/>
  <c r="AQ560" i="3"/>
  <c r="AP560" i="3"/>
  <c r="AO560" i="3"/>
  <c r="AQ559" i="3"/>
  <c r="AP559" i="3"/>
  <c r="AO559" i="3"/>
  <c r="AQ558" i="3"/>
  <c r="AP558" i="3"/>
  <c r="AO558" i="3"/>
  <c r="AQ511" i="3"/>
  <c r="AP501" i="3"/>
  <c r="AO501" i="3"/>
  <c r="AP500" i="3"/>
  <c r="AO500" i="3"/>
  <c r="AQ499" i="3"/>
  <c r="AP499" i="3"/>
  <c r="AO499" i="3"/>
  <c r="AQ498" i="3"/>
  <c r="AP498" i="3"/>
  <c r="AO498" i="3"/>
  <c r="AQ497" i="3"/>
  <c r="AP497" i="3"/>
  <c r="AO497" i="3"/>
  <c r="AQ496" i="3"/>
  <c r="AP496" i="3"/>
  <c r="AO496" i="3"/>
  <c r="AQ495" i="3"/>
  <c r="AP495" i="3"/>
  <c r="AO495" i="3"/>
  <c r="AQ494" i="3"/>
  <c r="AP494" i="3"/>
  <c r="AO494" i="3"/>
  <c r="AQ493" i="3"/>
  <c r="AP493" i="3"/>
  <c r="AO493" i="3"/>
  <c r="AQ492" i="3"/>
  <c r="AP492" i="3"/>
  <c r="AO492" i="3"/>
  <c r="AQ491" i="3"/>
  <c r="AP491" i="3"/>
  <c r="AO491" i="3"/>
  <c r="AQ490" i="3"/>
  <c r="AP490" i="3"/>
  <c r="AO490" i="3"/>
  <c r="AQ489" i="3"/>
  <c r="AP489" i="3"/>
  <c r="AO489" i="3"/>
  <c r="AQ488" i="3"/>
  <c r="AP488" i="3"/>
  <c r="AO488" i="3"/>
  <c r="AQ487" i="3"/>
  <c r="AP487" i="3"/>
  <c r="AO487" i="3"/>
  <c r="AQ485" i="3"/>
  <c r="AP485" i="3"/>
  <c r="AO485" i="3"/>
  <c r="AQ484" i="3"/>
  <c r="AP484" i="3"/>
  <c r="AO484" i="3"/>
  <c r="AQ483" i="3"/>
  <c r="AP483" i="3"/>
  <c r="AO483" i="3"/>
  <c r="AQ482" i="3"/>
  <c r="AP482" i="3"/>
  <c r="AO482" i="3"/>
  <c r="AQ480" i="3"/>
  <c r="AP480" i="3"/>
  <c r="AO480" i="3"/>
  <c r="AQ478" i="3"/>
  <c r="AP478" i="3"/>
  <c r="AO478" i="3"/>
  <c r="AQ477" i="3"/>
  <c r="AP477" i="3"/>
  <c r="AO477" i="3"/>
  <c r="AQ465" i="3"/>
  <c r="AP465" i="3"/>
  <c r="AO465" i="3"/>
  <c r="AQ464" i="3"/>
  <c r="AP464" i="3"/>
  <c r="AO464" i="3"/>
  <c r="AQ463" i="3"/>
  <c r="AP463" i="3"/>
  <c r="AO463" i="3"/>
  <c r="AQ462" i="3"/>
  <c r="AP462" i="3"/>
  <c r="AO462" i="3"/>
  <c r="AQ461" i="3"/>
  <c r="AP461" i="3"/>
  <c r="AO461" i="3"/>
  <c r="AQ460" i="3"/>
  <c r="AP460" i="3"/>
  <c r="AO460" i="3"/>
  <c r="AQ459" i="3"/>
  <c r="AP459" i="3"/>
  <c r="AO459" i="3"/>
  <c r="AQ458" i="3"/>
  <c r="AP458" i="3"/>
  <c r="AO458" i="3"/>
  <c r="AQ457" i="3"/>
  <c r="AP457" i="3"/>
  <c r="AO457" i="3"/>
  <c r="AL457" i="3"/>
  <c r="AQ456" i="3"/>
  <c r="AP456" i="3"/>
  <c r="AO456" i="3"/>
  <c r="AQ455" i="3"/>
  <c r="AP455" i="3"/>
  <c r="AO455" i="3"/>
  <c r="AQ454" i="3"/>
  <c r="AP454" i="3"/>
  <c r="AO454" i="3"/>
  <c r="AQ453" i="3"/>
  <c r="AP453" i="3"/>
  <c r="AO453" i="3"/>
  <c r="AQ452" i="3"/>
  <c r="AP452" i="3"/>
  <c r="AO452" i="3"/>
  <c r="AQ451" i="3"/>
  <c r="AP451" i="3"/>
  <c r="AO451" i="3"/>
  <c r="AQ450" i="3"/>
  <c r="AP450" i="3"/>
  <c r="AO450" i="3"/>
  <c r="AQ449" i="3"/>
  <c r="AP449" i="3"/>
  <c r="AO449" i="3"/>
  <c r="AQ448" i="3"/>
  <c r="AP448" i="3"/>
  <c r="AO448" i="3"/>
  <c r="AQ447" i="3"/>
  <c r="AP447" i="3"/>
  <c r="AO447" i="3"/>
  <c r="AL447" i="3"/>
  <c r="AQ446" i="3"/>
  <c r="AP446" i="3"/>
  <c r="AO446" i="3"/>
  <c r="AQ445" i="3"/>
  <c r="AP445" i="3"/>
  <c r="AO445" i="3"/>
  <c r="AQ444" i="3"/>
  <c r="AP444" i="3"/>
  <c r="AO444" i="3"/>
  <c r="AQ443" i="3"/>
  <c r="AP443" i="3"/>
  <c r="AO443" i="3"/>
  <c r="AQ442" i="3"/>
  <c r="AP442" i="3"/>
  <c r="AO442" i="3"/>
  <c r="AQ441" i="3"/>
  <c r="AP441" i="3"/>
  <c r="AO441" i="3"/>
  <c r="AL441" i="3"/>
  <c r="AQ440" i="3"/>
  <c r="AP440" i="3"/>
  <c r="AO440" i="3"/>
  <c r="AO439" i="3"/>
  <c r="AJ439" i="3"/>
  <c r="AQ438" i="3"/>
  <c r="AP438" i="3"/>
  <c r="AO438" i="3"/>
  <c r="AQ437" i="3"/>
  <c r="AO437" i="3"/>
  <c r="AQ436" i="3"/>
  <c r="AP436" i="3"/>
  <c r="AO436" i="3"/>
  <c r="AQ435" i="3"/>
  <c r="AP435" i="3"/>
  <c r="AO435" i="3"/>
  <c r="AP434" i="3"/>
  <c r="AO434" i="3"/>
  <c r="AO414" i="3"/>
  <c r="AO396" i="3"/>
  <c r="P387" i="3"/>
  <c r="P381" i="3"/>
  <c r="P280" i="3"/>
  <c r="P278" i="3"/>
  <c r="O278" i="3"/>
  <c r="P277" i="3"/>
  <c r="P276" i="3"/>
  <c r="O276" i="3"/>
  <c r="P275" i="3"/>
  <c r="P274" i="3"/>
  <c r="O274" i="3"/>
  <c r="P273" i="3"/>
  <c r="P212" i="3"/>
  <c r="P202" i="3"/>
  <c r="P201" i="3"/>
  <c r="P200" i="3"/>
  <c r="AP183" i="3"/>
  <c r="P181" i="3"/>
  <c r="O181" i="3"/>
  <c r="P180" i="3"/>
  <c r="AP168" i="3"/>
  <c r="AP163" i="3"/>
  <c r="P154" i="3"/>
  <c r="P150" i="3"/>
  <c r="P135" i="3"/>
  <c r="P132" i="3"/>
  <c r="O132" i="3"/>
  <c r="P131" i="3"/>
  <c r="AQ96" i="3"/>
  <c r="AN80" i="3"/>
  <c r="AP61" i="3"/>
  <c r="AO61" i="3"/>
  <c r="AP60" i="3"/>
  <c r="AO60" i="3"/>
  <c r="AP59" i="3"/>
  <c r="AO59" i="3"/>
  <c r="AP58" i="3"/>
  <c r="AO58" i="3"/>
  <c r="AP57" i="3"/>
  <c r="AO57" i="3"/>
  <c r="AP56" i="3"/>
  <c r="AO56" i="3"/>
  <c r="AR1011" i="2"/>
  <c r="AQ872" i="2"/>
  <c r="AP872" i="2"/>
  <c r="AO872" i="2"/>
  <c r="AQ871" i="2"/>
  <c r="AP871" i="2"/>
  <c r="AO871" i="2"/>
  <c r="AP870" i="2"/>
  <c r="AQ869" i="2"/>
  <c r="AP869" i="2"/>
  <c r="AO869" i="2"/>
  <c r="AQ868" i="2"/>
  <c r="AP868" i="2"/>
  <c r="AO868" i="2"/>
  <c r="AQ867" i="2"/>
  <c r="AP867" i="2"/>
  <c r="AO867" i="2"/>
  <c r="AP866" i="2"/>
  <c r="AO865" i="2"/>
  <c r="AQ860" i="2"/>
  <c r="AP860" i="2"/>
  <c r="AR859" i="2"/>
  <c r="AP859" i="2"/>
  <c r="AQ858" i="2"/>
  <c r="AO858" i="2"/>
  <c r="AQ857" i="2"/>
  <c r="AP857" i="2"/>
  <c r="AO857" i="2"/>
  <c r="AR856" i="2"/>
  <c r="AQ856" i="2"/>
  <c r="AP856" i="2"/>
  <c r="AO856" i="2"/>
  <c r="AQ855" i="2"/>
  <c r="AP855" i="2"/>
  <c r="AO855" i="2"/>
  <c r="AJ726" i="2"/>
  <c r="AN712" i="2"/>
  <c r="AQ710" i="2"/>
  <c r="AL705" i="2"/>
  <c r="N698" i="2"/>
  <c r="AL679" i="2"/>
  <c r="AL677" i="2"/>
  <c r="AQ673" i="2"/>
  <c r="AP673" i="2"/>
  <c r="AO673" i="2"/>
  <c r="AL673" i="2"/>
  <c r="AQ672" i="2"/>
  <c r="AP672" i="2"/>
  <c r="AO672" i="2"/>
  <c r="AQ671" i="2"/>
  <c r="AP671" i="2"/>
  <c r="AO671" i="2"/>
  <c r="AQ667" i="2"/>
  <c r="AP667" i="2"/>
  <c r="AO667" i="2"/>
  <c r="AQ666" i="2"/>
  <c r="AP666" i="2"/>
  <c r="AO666" i="2"/>
  <c r="AQ665" i="2"/>
  <c r="AP665" i="2"/>
  <c r="AO665" i="2"/>
  <c r="N665" i="2"/>
  <c r="AQ664" i="2"/>
  <c r="AP664" i="2"/>
  <c r="AO664" i="2"/>
  <c r="AQ663" i="2"/>
  <c r="AP663" i="2"/>
  <c r="AO663" i="2"/>
  <c r="AQ662" i="2"/>
  <c r="AP662" i="2"/>
  <c r="AO662" i="2"/>
  <c r="AQ661" i="2"/>
  <c r="AP661" i="2"/>
  <c r="AO661" i="2"/>
  <c r="AQ660" i="2"/>
  <c r="AP660" i="2"/>
  <c r="AO660" i="2"/>
  <c r="AQ659" i="2"/>
  <c r="AP659" i="2"/>
  <c r="AO659" i="2"/>
  <c r="AQ658" i="2"/>
  <c r="AP658" i="2"/>
  <c r="AO658" i="2"/>
  <c r="AQ657" i="2"/>
  <c r="AP657" i="2"/>
  <c r="AO657" i="2"/>
  <c r="AQ656" i="2"/>
  <c r="AP656" i="2"/>
  <c r="AO656" i="2"/>
  <c r="AQ655" i="2"/>
  <c r="AP655" i="2"/>
  <c r="AO655" i="2"/>
  <c r="AQ654" i="2"/>
  <c r="AP654" i="2"/>
  <c r="AO654" i="2"/>
  <c r="AQ653" i="2"/>
  <c r="AP653" i="2"/>
  <c r="AO653" i="2"/>
  <c r="AQ652" i="2"/>
  <c r="AL651" i="2"/>
  <c r="AQ649" i="2"/>
  <c r="AQ648" i="2"/>
  <c r="AP648" i="2"/>
  <c r="AO648" i="2"/>
  <c r="AP647" i="2"/>
  <c r="AO647" i="2"/>
  <c r="AQ646" i="2"/>
  <c r="AP646" i="2"/>
  <c r="AO646" i="2"/>
  <c r="AQ644" i="2"/>
  <c r="AP644" i="2"/>
  <c r="AO644" i="2"/>
  <c r="AQ643" i="2"/>
  <c r="AP643" i="2"/>
  <c r="AO643" i="2"/>
  <c r="AQ642" i="2"/>
  <c r="AP642" i="2"/>
  <c r="AO642" i="2"/>
  <c r="AQ641" i="2"/>
  <c r="AP641" i="2"/>
  <c r="AO641" i="2"/>
  <c r="AQ620" i="2"/>
  <c r="AQ619" i="2"/>
  <c r="AP619" i="2"/>
  <c r="AO619" i="2"/>
  <c r="AL615" i="2"/>
  <c r="AL577" i="2"/>
  <c r="AQ570" i="2"/>
  <c r="AQ569" i="2"/>
  <c r="AQ542" i="2"/>
  <c r="AQ541" i="2"/>
  <c r="AQ540" i="2"/>
  <c r="AP540" i="2"/>
  <c r="AO540" i="2"/>
  <c r="AQ539" i="2"/>
  <c r="AP539" i="2"/>
  <c r="AO539" i="2"/>
  <c r="AQ538" i="2"/>
  <c r="AP538" i="2"/>
  <c r="AO538" i="2"/>
  <c r="AQ537" i="2"/>
  <c r="AP537" i="2"/>
  <c r="AO537" i="2"/>
  <c r="AQ536" i="2"/>
  <c r="AP536" i="2"/>
  <c r="AO536" i="2"/>
  <c r="AQ535" i="2"/>
  <c r="AP535" i="2"/>
  <c r="AO535" i="2"/>
  <c r="AQ534" i="2"/>
  <c r="AP534" i="2"/>
  <c r="AO534" i="2"/>
  <c r="AQ533" i="2"/>
  <c r="AP533" i="2"/>
  <c r="AO533" i="2"/>
  <c r="AQ532" i="2"/>
  <c r="AP532" i="2"/>
  <c r="AO532" i="2"/>
  <c r="P497" i="2"/>
  <c r="AQ380" i="2"/>
  <c r="AQ379" i="2"/>
  <c r="AQ377" i="2"/>
  <c r="AP377" i="2"/>
  <c r="AO377" i="2"/>
  <c r="AQ376" i="2"/>
  <c r="AP376" i="2"/>
  <c r="AO376" i="2"/>
  <c r="AQ375" i="2"/>
  <c r="AP375" i="2"/>
  <c r="AO375" i="2"/>
  <c r="AQ374" i="2"/>
  <c r="AP374" i="2"/>
  <c r="AO374" i="2"/>
  <c r="AQ373" i="2"/>
  <c r="AP373" i="2"/>
  <c r="AO373" i="2"/>
  <c r="AQ372" i="2"/>
  <c r="AP372" i="2"/>
  <c r="AO372" i="2"/>
  <c r="AQ371" i="2"/>
  <c r="AP371" i="2"/>
  <c r="AO371" i="2"/>
  <c r="AQ370" i="2"/>
  <c r="AP370" i="2"/>
  <c r="AO370" i="2"/>
  <c r="AQ369" i="2"/>
  <c r="AP369" i="2"/>
  <c r="AO369" i="2"/>
  <c r="AQ368" i="2"/>
  <c r="AP368" i="2"/>
  <c r="AO368" i="2"/>
  <c r="AQ367" i="2"/>
  <c r="AP367" i="2"/>
  <c r="AO367" i="2"/>
  <c r="AQ366" i="2"/>
  <c r="AP366" i="2"/>
  <c r="AO366" i="2"/>
  <c r="AQ365" i="2"/>
  <c r="AP365" i="2"/>
  <c r="AO365" i="2"/>
  <c r="AQ364" i="2"/>
  <c r="AP364" i="2"/>
  <c r="AO364" i="2"/>
  <c r="AQ363" i="2"/>
  <c r="AP363" i="2"/>
  <c r="AO363" i="2"/>
  <c r="AQ362" i="2"/>
  <c r="AP362" i="2"/>
  <c r="AO362" i="2"/>
  <c r="AQ361" i="2"/>
  <c r="AP361" i="2"/>
  <c r="AO361" i="2"/>
  <c r="AQ360" i="2"/>
  <c r="AP360" i="2"/>
  <c r="AO360" i="2"/>
  <c r="AQ359" i="2"/>
  <c r="AP359" i="2"/>
  <c r="AO359" i="2"/>
  <c r="AQ358" i="2"/>
  <c r="AP358" i="2"/>
  <c r="AQ357" i="2"/>
  <c r="AP357" i="2"/>
  <c r="AO357" i="2"/>
  <c r="AL357" i="2"/>
  <c r="AQ356" i="2"/>
  <c r="AP356" i="2"/>
  <c r="AO356" i="2"/>
  <c r="AL350" i="2"/>
  <c r="AJ261" i="2"/>
  <c r="AR234" i="2"/>
  <c r="AQ204" i="2"/>
  <c r="AP204" i="2"/>
  <c r="AQ203" i="2"/>
  <c r="AP203" i="2"/>
  <c r="AO203" i="2"/>
  <c r="AQ202" i="2"/>
  <c r="AP200" i="2"/>
  <c r="AO197" i="2"/>
  <c r="AO196" i="2"/>
  <c r="AQ186" i="2"/>
  <c r="AP186" i="2"/>
  <c r="AO186" i="2"/>
  <c r="AN142" i="2"/>
  <c r="AO117" i="2"/>
  <c r="AO73" i="2"/>
  <c r="AQ72" i="2"/>
  <c r="AP72" i="2"/>
  <c r="AO72" i="2"/>
  <c r="AP67" i="2"/>
  <c r="AQ10" i="2"/>
  <c r="AP10" i="2"/>
  <c r="AO10" i="2"/>
  <c r="AP8" i="2"/>
  <c r="AQ5" i="2"/>
  <c r="AL4" i="2"/>
  <c r="A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Rachel Munson</author>
  </authors>
  <commentList>
    <comment ref="H713" authorId="0" shapeId="0" xr:uid="{4C0619B5-A879-494C-88A5-7188DC34DCE0}">
      <text>
        <r>
          <rPr>
            <b/>
            <sz val="9"/>
            <color rgb="FF000000"/>
            <rFont val="Tahoma"/>
            <family val="2"/>
          </rPr>
          <t>Rachel Munson: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Saw egg tendrils coming out of Fern's cloaca when I found eggs 161 and 162</t>
        </r>
      </text>
    </comment>
    <comment ref="H714" authorId="0" shapeId="0" xr:uid="{1B6FF9D5-28B6-8E4B-8C86-8B1BE3E21A1C}">
      <text>
        <r>
          <rPr>
            <b/>
            <sz val="9"/>
            <color rgb="FF000000"/>
            <rFont val="Tahoma"/>
            <family val="2"/>
          </rPr>
          <t>Rachel Munson: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Saw egg tendrils coming out of Fern's cloaca when I found eggs 161 and 162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</author>
  </authors>
  <commentList>
    <comment ref="N602" authorId="0" shapeId="0" xr:uid="{1DB3171E-1DE4-8D4B-9BDC-0F3DC7FB73A8}">
      <text>
        <r>
          <rPr>
            <b/>
            <sz val="10"/>
            <color rgb="FF000000"/>
            <rFont val="Tahoma"/>
            <family val="2"/>
          </rPr>
          <t>Jen: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has an air bubble in the egg</t>
        </r>
      </text>
    </comment>
  </commentList>
</comments>
</file>

<file path=xl/sharedStrings.xml><?xml version="1.0" encoding="utf-8"?>
<sst xmlns="http://schemas.openxmlformats.org/spreadsheetml/2006/main" count="16487" uniqueCount="834">
  <si>
    <t>Egg.ID</t>
  </si>
  <si>
    <t>21.780</t>
  </si>
  <si>
    <t>22.160</t>
  </si>
  <si>
    <t>22.150</t>
  </si>
  <si>
    <t>22.890</t>
  </si>
  <si>
    <t>21.260</t>
  </si>
  <si>
    <t>21.810</t>
  </si>
  <si>
    <t>21.970</t>
  </si>
  <si>
    <t>21.10</t>
  </si>
  <si>
    <t>21.600</t>
  </si>
  <si>
    <t>21.710</t>
  </si>
  <si>
    <t>21.420</t>
  </si>
  <si>
    <t>21.610</t>
  </si>
  <si>
    <t>21.800</t>
  </si>
  <si>
    <t>21.700</t>
  </si>
  <si>
    <t>22.480</t>
  </si>
  <si>
    <t>22.260</t>
  </si>
  <si>
    <t>22.270</t>
  </si>
  <si>
    <t>22.330</t>
  </si>
  <si>
    <t>22.300</t>
  </si>
  <si>
    <t>22.440</t>
  </si>
  <si>
    <t>22.500</t>
  </si>
  <si>
    <t>22.720</t>
  </si>
  <si>
    <t>21.340</t>
  </si>
  <si>
    <t>22.320</t>
  </si>
  <si>
    <t>21.990</t>
  </si>
  <si>
    <t>21.60</t>
  </si>
  <si>
    <t>21.650</t>
  </si>
  <si>
    <t>21.980</t>
  </si>
  <si>
    <t>Baby</t>
  </si>
  <si>
    <t>Fern</t>
  </si>
  <si>
    <t>Gatsby</t>
  </si>
  <si>
    <t>Yang</t>
  </si>
  <si>
    <t>22.90</t>
  </si>
  <si>
    <t>22.310</t>
  </si>
  <si>
    <t>22.290</t>
  </si>
  <si>
    <t>22.100</t>
  </si>
  <si>
    <t>21.730</t>
  </si>
  <si>
    <t>22.620</t>
  </si>
  <si>
    <t>22.520</t>
  </si>
  <si>
    <t>22.600</t>
  </si>
  <si>
    <t>21.680</t>
  </si>
  <si>
    <t>22.690</t>
  </si>
  <si>
    <t>22.790</t>
  </si>
  <si>
    <t>22.730</t>
  </si>
  <si>
    <t>22.710</t>
  </si>
  <si>
    <t>21.720</t>
  </si>
  <si>
    <t xml:space="preserve"> </t>
  </si>
  <si>
    <t>21.90</t>
  </si>
  <si>
    <t>21.100</t>
  </si>
  <si>
    <t>21.620</t>
  </si>
  <si>
    <t>21.190</t>
  </si>
  <si>
    <t>21.880</t>
  </si>
  <si>
    <t>22.550</t>
  </si>
  <si>
    <t>22.840</t>
  </si>
  <si>
    <t>22.630</t>
  </si>
  <si>
    <t>22.750</t>
  </si>
  <si>
    <t>21.210</t>
  </si>
  <si>
    <t>21.690</t>
  </si>
  <si>
    <t>22.410</t>
  </si>
  <si>
    <t>Blank</t>
  </si>
  <si>
    <t>Dalmatian</t>
  </si>
  <si>
    <t>Giraffe</t>
  </si>
  <si>
    <t>21.220</t>
  </si>
  <si>
    <t>21.470</t>
  </si>
  <si>
    <t>21.770</t>
  </si>
  <si>
    <t>22.280</t>
  </si>
  <si>
    <t>22.400</t>
  </si>
  <si>
    <t>22.340</t>
  </si>
  <si>
    <t>22.560</t>
  </si>
  <si>
    <t>22.590</t>
  </si>
  <si>
    <t>22.580</t>
  </si>
  <si>
    <t>22.740</t>
  </si>
  <si>
    <t>Sierra</t>
  </si>
  <si>
    <t>Valentine</t>
  </si>
  <si>
    <t>21.400</t>
  </si>
  <si>
    <t>21.660</t>
  </si>
  <si>
    <t>Mena</t>
  </si>
  <si>
    <t>21.950</t>
  </si>
  <si>
    <t>21.430</t>
  </si>
  <si>
    <t>21.640</t>
  </si>
  <si>
    <t>21.790</t>
  </si>
  <si>
    <t>22.190</t>
  </si>
  <si>
    <t>22.170</t>
  </si>
  <si>
    <t>22.420</t>
  </si>
  <si>
    <t>21.350</t>
  </si>
  <si>
    <t>21.960</t>
  </si>
  <si>
    <t>22.220</t>
  </si>
  <si>
    <t>Vera</t>
  </si>
  <si>
    <t>ST10</t>
  </si>
  <si>
    <t>Cleo</t>
  </si>
  <si>
    <t>22.490</t>
  </si>
  <si>
    <t>21.230</t>
  </si>
  <si>
    <t>21.110</t>
  </si>
  <si>
    <t>Record</t>
  </si>
  <si>
    <t>Local.ID</t>
  </si>
  <si>
    <t>Institution</t>
  </si>
  <si>
    <t>Exhibit</t>
  </si>
  <si>
    <t>Female.by.Aquarist</t>
  </si>
  <si>
    <t>Female.Known</t>
  </si>
  <si>
    <t>Female.Mid.Confidence</t>
  </si>
  <si>
    <t>Laid.or.Collected</t>
  </si>
  <si>
    <t>Condition</t>
  </si>
  <si>
    <t>Yolk</t>
  </si>
  <si>
    <t>Laid.Weight</t>
  </si>
  <si>
    <t>Weight.Shipping.Origin</t>
  </si>
  <si>
    <t>Weight.dissection</t>
  </si>
  <si>
    <t>Left.Total.Length</t>
  </si>
  <si>
    <t>Right.Total.Length</t>
  </si>
  <si>
    <t>Posterior.Apron.Length</t>
  </si>
  <si>
    <t>Anterior.Apron.Length</t>
  </si>
  <si>
    <t>Apron.to.Apron.length</t>
  </si>
  <si>
    <t>Anterior.Waist.to.Posterior.Apron.Length</t>
  </si>
  <si>
    <t>Hatching.End.Widest</t>
  </si>
  <si>
    <t>Anterior.End.Width</t>
  </si>
  <si>
    <t>Anterior.Width.Apron.Start</t>
  </si>
  <si>
    <t>Width.Central.Waist.Max</t>
  </si>
  <si>
    <t>Width.Central.Waist</t>
  </si>
  <si>
    <t>Max.Width</t>
  </si>
  <si>
    <t>Central.Body.Width.Max.Width</t>
  </si>
  <si>
    <t>Posterior.Width.Apron.Start</t>
  </si>
  <si>
    <t>Posterior.End.Width</t>
  </si>
  <si>
    <t>Max.Depth</t>
  </si>
  <si>
    <t>Top.Anterior.Respiratory.Slit</t>
  </si>
  <si>
    <t>Top.Posterior.Respiratory.Slit</t>
  </si>
  <si>
    <t>Bottom.Anterior.Respiratory.Slit</t>
  </si>
  <si>
    <t>Bottom.Posterior.Respiratory.Slit</t>
  </si>
  <si>
    <t>Shell.Thickness</t>
  </si>
  <si>
    <t>Yolk.Weight</t>
  </si>
  <si>
    <t>Yolk.Integrity</t>
  </si>
  <si>
    <t>Internal.Fluid</t>
  </si>
  <si>
    <t>External.Fluid</t>
  </si>
  <si>
    <t>Int.Ext.Fluid</t>
  </si>
  <si>
    <t>Solid.Weight.Wet</t>
  </si>
  <si>
    <t>Colloid.Weight.Wet</t>
  </si>
  <si>
    <t>Runny.Weight.Wet</t>
  </si>
  <si>
    <t>Shell.Weight.Wet</t>
  </si>
  <si>
    <t>Shell.Weight.Dry</t>
  </si>
  <si>
    <t>Dissector(s)</t>
  </si>
  <si>
    <t>Measurer(s)</t>
  </si>
  <si>
    <t>Georgia</t>
  </si>
  <si>
    <t>OV</t>
  </si>
  <si>
    <t>Fresh</t>
  </si>
  <si>
    <t>YES</t>
  </si>
  <si>
    <t>Kady</t>
  </si>
  <si>
    <t>NO</t>
  </si>
  <si>
    <t>Jen</t>
  </si>
  <si>
    <t>KD</t>
  </si>
  <si>
    <t>Ft. Wayne</t>
  </si>
  <si>
    <t>AQTK02</t>
  </si>
  <si>
    <t>22.10</t>
  </si>
  <si>
    <t>Shedd</t>
  </si>
  <si>
    <t>Q</t>
  </si>
  <si>
    <t>ST10 or Cleo</t>
  </si>
  <si>
    <t>22.20</t>
  </si>
  <si>
    <t>VAQ#3 1.10.22</t>
  </si>
  <si>
    <t>Virginia</t>
  </si>
  <si>
    <t>Dalmatian (by morphs)</t>
  </si>
  <si>
    <t>22.30</t>
  </si>
  <si>
    <t>Cleo (by morphs)</t>
  </si>
  <si>
    <t>22.40</t>
  </si>
  <si>
    <t>22.50</t>
  </si>
  <si>
    <t>S</t>
  </si>
  <si>
    <t>22.60</t>
  </si>
  <si>
    <t>Giraffe or Dalmatian</t>
  </si>
  <si>
    <t>Giraffe (by morphs)</t>
  </si>
  <si>
    <t>No</t>
  </si>
  <si>
    <t>22.70</t>
  </si>
  <si>
    <t>AoP</t>
  </si>
  <si>
    <t>Shark Lagoon</t>
  </si>
  <si>
    <t>Baby or Fern</t>
  </si>
  <si>
    <t>Fern (by date)</t>
  </si>
  <si>
    <t>broken</t>
  </si>
  <si>
    <t>intact</t>
  </si>
  <si>
    <t>Shea</t>
  </si>
  <si>
    <t>JW</t>
  </si>
  <si>
    <t>ST10 (by morphs)</t>
  </si>
  <si>
    <t>Fern (by morphs)</t>
  </si>
  <si>
    <t>#1</t>
  </si>
  <si>
    <t>CZA</t>
  </si>
  <si>
    <t>Discovery Reef</t>
  </si>
  <si>
    <t>8 or 259</t>
  </si>
  <si>
    <t>8 (by morphs)</t>
  </si>
  <si>
    <t>#2</t>
  </si>
  <si>
    <t>#3</t>
  </si>
  <si>
    <t>22.110</t>
  </si>
  <si>
    <t>WoW-12 (1-2022)</t>
  </si>
  <si>
    <t>WoW</t>
  </si>
  <si>
    <t>D101 Open Ocean</t>
  </si>
  <si>
    <t>WoW-17 (6-2022)</t>
  </si>
  <si>
    <t>WoW-14 (3-2022)</t>
  </si>
  <si>
    <t>WoW-15 (4-2022)</t>
  </si>
  <si>
    <t>WoW-16 (5-2022)</t>
  </si>
  <si>
    <t>WoW-13 (2-2022)</t>
  </si>
  <si>
    <t>22.120</t>
  </si>
  <si>
    <t>22.130</t>
  </si>
  <si>
    <t>22.140</t>
  </si>
  <si>
    <t>#4</t>
  </si>
  <si>
    <t>#6</t>
  </si>
  <si>
    <t>8 (by date)</t>
  </si>
  <si>
    <t>Ripleys Canada</t>
  </si>
  <si>
    <t>Reef Sharks</t>
  </si>
  <si>
    <t>241 or 242</t>
  </si>
  <si>
    <t>no</t>
  </si>
  <si>
    <t>Yes</t>
  </si>
  <si>
    <t>49,59</t>
  </si>
  <si>
    <t>microyolk</t>
  </si>
  <si>
    <t>Beth/shannon</t>
  </si>
  <si>
    <t>Giraffe (by date)</t>
  </si>
  <si>
    <t>22.180</t>
  </si>
  <si>
    <t>9 or 6?</t>
  </si>
  <si>
    <t>#10</t>
  </si>
  <si>
    <t>Juliet and Mia</t>
  </si>
  <si>
    <t>#8</t>
  </si>
  <si>
    <t>Michaela and Zach</t>
  </si>
  <si>
    <t>Piper</t>
  </si>
  <si>
    <t>#9</t>
  </si>
  <si>
    <t>#12</t>
  </si>
  <si>
    <t>Fern or Baby</t>
  </si>
  <si>
    <t>Fern or Baby-inconclusive</t>
  </si>
  <si>
    <t>Brittney</t>
  </si>
  <si>
    <t>22.200</t>
  </si>
  <si>
    <t>6 or 9?</t>
  </si>
  <si>
    <t>GoldNgt</t>
  </si>
  <si>
    <t>TT</t>
  </si>
  <si>
    <t>Leslie</t>
  </si>
  <si>
    <t>22.210</t>
  </si>
  <si>
    <t>Cleo or ST10</t>
  </si>
  <si>
    <t>22.230</t>
  </si>
  <si>
    <t>Shark Exhibit (AQTK02)</t>
  </si>
  <si>
    <t>22.240</t>
  </si>
  <si>
    <t>22.250</t>
  </si>
  <si>
    <t>Tropical Reef</t>
  </si>
  <si>
    <t>none</t>
  </si>
  <si>
    <t>Baby (by morphs)</t>
  </si>
  <si>
    <t>yes</t>
  </si>
  <si>
    <t>BH</t>
  </si>
  <si>
    <t>#20</t>
  </si>
  <si>
    <t>fresh</t>
  </si>
  <si>
    <t>broke</t>
  </si>
  <si>
    <t>#19</t>
  </si>
  <si>
    <t>Brittany</t>
  </si>
  <si>
    <t>#11</t>
  </si>
  <si>
    <t>#7</t>
  </si>
  <si>
    <t>#22</t>
  </si>
  <si>
    <t>not measured</t>
  </si>
  <si>
    <t>WOW 20 (9-2022)</t>
  </si>
  <si>
    <t>WOW 19 (8-2022)</t>
  </si>
  <si>
    <t>WOW 18 (7-2022)</t>
  </si>
  <si>
    <t>#15</t>
  </si>
  <si>
    <t>#16</t>
  </si>
  <si>
    <t>Gatsby or Yang</t>
  </si>
  <si>
    <t>SA189</t>
  </si>
  <si>
    <t>22.350</t>
  </si>
  <si>
    <t>KD and Mitzi</t>
  </si>
  <si>
    <t>#18</t>
  </si>
  <si>
    <t>8 (by observation)</t>
  </si>
  <si>
    <t>#21</t>
  </si>
  <si>
    <t>22.360</t>
  </si>
  <si>
    <t>#23</t>
  </si>
  <si>
    <t>#17</t>
  </si>
  <si>
    <t>WOW 22 (11-2022)</t>
  </si>
  <si>
    <t>22.370</t>
  </si>
  <si>
    <t>22.380</t>
  </si>
  <si>
    <t>WOW 21 (10-2022)</t>
  </si>
  <si>
    <t>22.390</t>
  </si>
  <si>
    <t>INTACT</t>
  </si>
  <si>
    <t>#27</t>
  </si>
  <si>
    <t>259 (by morphs)</t>
  </si>
  <si>
    <t>#25</t>
  </si>
  <si>
    <t>#24</t>
  </si>
  <si>
    <t>#26</t>
  </si>
  <si>
    <t>#29</t>
  </si>
  <si>
    <t>22.430</t>
  </si>
  <si>
    <t>22.450</t>
  </si>
  <si>
    <t>Gatsby (by weight)</t>
  </si>
  <si>
    <t>Microyolk</t>
  </si>
  <si>
    <t>22.460</t>
  </si>
  <si>
    <t>Mitzi</t>
  </si>
  <si>
    <t>#36</t>
  </si>
  <si>
    <t>259 (by date)</t>
  </si>
  <si>
    <t>#32</t>
  </si>
  <si>
    <t>#30</t>
  </si>
  <si>
    <t>#31</t>
  </si>
  <si>
    <t>#41</t>
  </si>
  <si>
    <t>#28</t>
  </si>
  <si>
    <t>22.470</t>
  </si>
  <si>
    <t>Baby or Fern-inconclusive</t>
  </si>
  <si>
    <t>Fern or Baby - inconclusive</t>
  </si>
  <si>
    <t>392-double check this #</t>
  </si>
  <si>
    <t>Shark Reef</t>
  </si>
  <si>
    <t>A13</t>
  </si>
  <si>
    <t>183 or 184</t>
  </si>
  <si>
    <t>Omaha</t>
  </si>
  <si>
    <t>F-7</t>
  </si>
  <si>
    <t>SB14, SB25, SB173</t>
  </si>
  <si>
    <t>SB173</t>
  </si>
  <si>
    <t>22.510</t>
  </si>
  <si>
    <t>#35</t>
  </si>
  <si>
    <t>#33</t>
  </si>
  <si>
    <t>#38</t>
  </si>
  <si>
    <t>#39</t>
  </si>
  <si>
    <t>#40</t>
  </si>
  <si>
    <t>#34</t>
  </si>
  <si>
    <t>#37</t>
  </si>
  <si>
    <t>Wind 11</t>
  </si>
  <si>
    <t>Wind 10</t>
  </si>
  <si>
    <t>Wind 9</t>
  </si>
  <si>
    <t>22.530</t>
  </si>
  <si>
    <t>Wind 17</t>
  </si>
  <si>
    <t>Raquel</t>
  </si>
  <si>
    <t>Wind 19</t>
  </si>
  <si>
    <t>Wind 16</t>
  </si>
  <si>
    <t>Wind 15</t>
  </si>
  <si>
    <t>Wind 18</t>
  </si>
  <si>
    <t>Wind 12</t>
  </si>
  <si>
    <t>Wind 14</t>
  </si>
  <si>
    <t>Wind 13</t>
  </si>
  <si>
    <t>Wind 6</t>
  </si>
  <si>
    <t>Wind 5</t>
  </si>
  <si>
    <t>22.540</t>
  </si>
  <si>
    <t>Wind 4</t>
  </si>
  <si>
    <t>Wind 8</t>
  </si>
  <si>
    <t>Wind 7</t>
  </si>
  <si>
    <t>Wind 1</t>
  </si>
  <si>
    <t>Wind 2</t>
  </si>
  <si>
    <t>Wind 3</t>
  </si>
  <si>
    <t>#48</t>
  </si>
  <si>
    <t>#44</t>
  </si>
  <si>
    <t>#45</t>
  </si>
  <si>
    <t>frozen</t>
  </si>
  <si>
    <t>22.570</t>
  </si>
  <si>
    <t>#54</t>
  </si>
  <si>
    <t>#51</t>
  </si>
  <si>
    <t>#47</t>
  </si>
  <si>
    <t>#55</t>
  </si>
  <si>
    <t>#49</t>
  </si>
  <si>
    <t>#50</t>
  </si>
  <si>
    <t>FOULED</t>
  </si>
  <si>
    <t>#67</t>
  </si>
  <si>
    <t>#69</t>
  </si>
  <si>
    <t>#70</t>
  </si>
  <si>
    <t>#72</t>
  </si>
  <si>
    <t>#77</t>
  </si>
  <si>
    <t>#79</t>
  </si>
  <si>
    <t>#81</t>
  </si>
  <si>
    <t>#83</t>
  </si>
  <si>
    <t>#80</t>
  </si>
  <si>
    <t>#85</t>
  </si>
  <si>
    <t>#74</t>
  </si>
  <si>
    <t>#53</t>
  </si>
  <si>
    <t>fouled</t>
  </si>
  <si>
    <t>#66</t>
  </si>
  <si>
    <t>22.610</t>
  </si>
  <si>
    <t>#57</t>
  </si>
  <si>
    <t>#68</t>
  </si>
  <si>
    <t>fresh/fridge</t>
  </si>
  <si>
    <t>#58</t>
  </si>
  <si>
    <t>na</t>
  </si>
  <si>
    <t>#60</t>
  </si>
  <si>
    <t>#62</t>
  </si>
  <si>
    <t>#64</t>
  </si>
  <si>
    <t>#71</t>
  </si>
  <si>
    <t>#99</t>
  </si>
  <si>
    <t>22.640</t>
  </si>
  <si>
    <t>#89</t>
  </si>
  <si>
    <t>RAZ</t>
  </si>
  <si>
    <t>#73</t>
  </si>
  <si>
    <t>#100</t>
  </si>
  <si>
    <t>#84</t>
  </si>
  <si>
    <t>#91</t>
  </si>
  <si>
    <t>#56</t>
  </si>
  <si>
    <t>Raz</t>
  </si>
  <si>
    <t>#75</t>
  </si>
  <si>
    <t>#61</t>
  </si>
  <si>
    <t>#52</t>
  </si>
  <si>
    <t>22.650</t>
  </si>
  <si>
    <t>#59</t>
  </si>
  <si>
    <t>#65</t>
  </si>
  <si>
    <t>#43*-weird tag</t>
  </si>
  <si>
    <t>#78</t>
  </si>
  <si>
    <t>#76</t>
  </si>
  <si>
    <t>22.660</t>
  </si>
  <si>
    <t>#46</t>
  </si>
  <si>
    <t>22.670</t>
  </si>
  <si>
    <t>#82</t>
  </si>
  <si>
    <t>22.680</t>
  </si>
  <si>
    <t>#86</t>
  </si>
  <si>
    <t>#87</t>
  </si>
  <si>
    <t>#90</t>
  </si>
  <si>
    <t>#92</t>
  </si>
  <si>
    <t>#93</t>
  </si>
  <si>
    <t>#96</t>
  </si>
  <si>
    <t>#97</t>
  </si>
  <si>
    <t>#103</t>
  </si>
  <si>
    <t>22.700</t>
  </si>
  <si>
    <t>#101</t>
  </si>
  <si>
    <t>#94</t>
  </si>
  <si>
    <t>#104</t>
  </si>
  <si>
    <t>#105</t>
  </si>
  <si>
    <t>#95</t>
  </si>
  <si>
    <t>#98</t>
  </si>
  <si>
    <t>#88</t>
  </si>
  <si>
    <t>#102</t>
  </si>
  <si>
    <t>22.760</t>
  </si>
  <si>
    <t>22.770</t>
  </si>
  <si>
    <t>#63</t>
  </si>
  <si>
    <t>22.780</t>
  </si>
  <si>
    <t>#107</t>
  </si>
  <si>
    <t>#109</t>
  </si>
  <si>
    <t>#110</t>
  </si>
  <si>
    <t>#111</t>
  </si>
  <si>
    <t>#112</t>
  </si>
  <si>
    <t>#113</t>
  </si>
  <si>
    <t>#115</t>
  </si>
  <si>
    <t>#116</t>
  </si>
  <si>
    <t>#117</t>
  </si>
  <si>
    <t>22.800</t>
  </si>
  <si>
    <t>22.810</t>
  </si>
  <si>
    <t>#128</t>
  </si>
  <si>
    <t>#108</t>
  </si>
  <si>
    <t>22.820</t>
  </si>
  <si>
    <t>#114</t>
  </si>
  <si>
    <t>#129</t>
  </si>
  <si>
    <t>#125</t>
  </si>
  <si>
    <t>#130</t>
  </si>
  <si>
    <t>#106</t>
  </si>
  <si>
    <t>22.830</t>
  </si>
  <si>
    <t>#118</t>
  </si>
  <si>
    <t>#120</t>
  </si>
  <si>
    <t xml:space="preserve">yes </t>
  </si>
  <si>
    <t>#123</t>
  </si>
  <si>
    <t>#124</t>
  </si>
  <si>
    <t>#126</t>
  </si>
  <si>
    <t>#127</t>
  </si>
  <si>
    <t>#131</t>
  </si>
  <si>
    <t>#119</t>
  </si>
  <si>
    <t>#121</t>
  </si>
  <si>
    <t>#122</t>
  </si>
  <si>
    <t>22.850</t>
  </si>
  <si>
    <t>22.851</t>
  </si>
  <si>
    <t>22.860</t>
  </si>
  <si>
    <t>22.870</t>
  </si>
  <si>
    <t>#42</t>
  </si>
  <si>
    <t>22.880</t>
  </si>
  <si>
    <t>Foul</t>
  </si>
  <si>
    <t>22.900</t>
  </si>
  <si>
    <t>22.910</t>
  </si>
  <si>
    <t>n/a</t>
  </si>
  <si>
    <t>22.920</t>
  </si>
  <si>
    <t>brokn</t>
  </si>
  <si>
    <t>22.930</t>
  </si>
  <si>
    <t>#132</t>
  </si>
  <si>
    <t>#134</t>
  </si>
  <si>
    <t>#137</t>
  </si>
  <si>
    <t>22.940</t>
  </si>
  <si>
    <t>22.950</t>
  </si>
  <si>
    <t>22.960</t>
  </si>
  <si>
    <t>22.970</t>
  </si>
  <si>
    <t>22.980</t>
  </si>
  <si>
    <t>22.990</t>
  </si>
  <si>
    <t>#133</t>
  </si>
  <si>
    <t>#135</t>
  </si>
  <si>
    <t>#136</t>
  </si>
  <si>
    <t>#138</t>
  </si>
  <si>
    <t>22.1000</t>
  </si>
  <si>
    <t>#139</t>
  </si>
  <si>
    <t>#140</t>
  </si>
  <si>
    <t>#141</t>
  </si>
  <si>
    <t>22.1010</t>
  </si>
  <si>
    <t>0000</t>
  </si>
  <si>
    <t>U112622-2</t>
  </si>
  <si>
    <t>Predator</t>
  </si>
  <si>
    <t>Lilly</t>
  </si>
  <si>
    <t>U120922-2</t>
  </si>
  <si>
    <t>U12192022-1</t>
  </si>
  <si>
    <t>U112522-1</t>
  </si>
  <si>
    <t>22.1020</t>
  </si>
  <si>
    <t>U121822-2</t>
  </si>
  <si>
    <t>U121822-1</t>
  </si>
  <si>
    <t>U120922-1</t>
  </si>
  <si>
    <t>U121722-2</t>
  </si>
  <si>
    <t>U112622-1</t>
  </si>
  <si>
    <t>U112622-3</t>
  </si>
  <si>
    <t>L121822-3</t>
  </si>
  <si>
    <t>22.1030</t>
  </si>
  <si>
    <t>22.1040</t>
  </si>
  <si>
    <t>22.1050</t>
  </si>
  <si>
    <t>22.1060</t>
  </si>
  <si>
    <t>Fern/Baby</t>
  </si>
  <si>
    <t>22.1070</t>
  </si>
  <si>
    <t>Red Sea</t>
  </si>
  <si>
    <t>Frozen</t>
  </si>
  <si>
    <t>JT</t>
  </si>
  <si>
    <t>21.20</t>
  </si>
  <si>
    <t>21.30</t>
  </si>
  <si>
    <t>21.50</t>
  </si>
  <si>
    <t>Unknown</t>
  </si>
  <si>
    <t>Yang (by weight)</t>
  </si>
  <si>
    <t>21.70</t>
  </si>
  <si>
    <t>21.80</t>
  </si>
  <si>
    <t>Black-black</t>
  </si>
  <si>
    <t>Black-yellow-pink</t>
  </si>
  <si>
    <t>Black-pink</t>
  </si>
  <si>
    <t>Black-pink-yellow</t>
  </si>
  <si>
    <t>Black-green-blue</t>
  </si>
  <si>
    <t>Black-blue</t>
  </si>
  <si>
    <t>Black-orange</t>
  </si>
  <si>
    <t>Black-yellow-yellow</t>
  </si>
  <si>
    <t>black-yellow</t>
  </si>
  <si>
    <t>black-black</t>
  </si>
  <si>
    <t>pink-pink</t>
  </si>
  <si>
    <t>black-green</t>
  </si>
  <si>
    <t>black-pink</t>
  </si>
  <si>
    <t>21.120</t>
  </si>
  <si>
    <t>Bk-YLW</t>
  </si>
  <si>
    <t>Bk-GN</t>
  </si>
  <si>
    <t>Bk-GN-OR</t>
  </si>
  <si>
    <t>21.130</t>
  </si>
  <si>
    <t>Blk-Blu-Orn</t>
  </si>
  <si>
    <t>21.140</t>
  </si>
  <si>
    <t>21.150</t>
  </si>
  <si>
    <t>21.160</t>
  </si>
  <si>
    <t>ORN</t>
  </si>
  <si>
    <t>21.170</t>
  </si>
  <si>
    <t>ORN/GN</t>
  </si>
  <si>
    <t>BLK-ORN-ORN</t>
  </si>
  <si>
    <t>BLK-BLK</t>
  </si>
  <si>
    <t>BLK-BLK-BLK</t>
  </si>
  <si>
    <t>21.180</t>
  </si>
  <si>
    <t>21.200</t>
  </si>
  <si>
    <t>blue/blue</t>
  </si>
  <si>
    <t>green/green</t>
  </si>
  <si>
    <t>pink</t>
  </si>
  <si>
    <t>pink/pink</t>
  </si>
  <si>
    <t>green ties</t>
  </si>
  <si>
    <t>pink/orange</t>
  </si>
  <si>
    <t>orange/green</t>
  </si>
  <si>
    <t>green/blue</t>
  </si>
  <si>
    <t>orange/blue</t>
  </si>
  <si>
    <t>yellow</t>
  </si>
  <si>
    <t>blue</t>
  </si>
  <si>
    <t>yellow/yellow</t>
  </si>
  <si>
    <t>green</t>
  </si>
  <si>
    <t>orange</t>
  </si>
  <si>
    <t>unk 1</t>
  </si>
  <si>
    <t>unk2</t>
  </si>
  <si>
    <t>unk3</t>
  </si>
  <si>
    <t>unk4</t>
  </si>
  <si>
    <t>unk5</t>
  </si>
  <si>
    <t>unk6</t>
  </si>
  <si>
    <t>unk7</t>
  </si>
  <si>
    <t>21.240</t>
  </si>
  <si>
    <t>21.250</t>
  </si>
  <si>
    <t>21.270</t>
  </si>
  <si>
    <t>21.280</t>
  </si>
  <si>
    <t>21.290</t>
  </si>
  <si>
    <t>21.300</t>
  </si>
  <si>
    <t>in freezer, stinks</t>
  </si>
  <si>
    <t>21.310</t>
  </si>
  <si>
    <t>Shark Reef?</t>
  </si>
  <si>
    <t>S. fasciatom #25+#26</t>
  </si>
  <si>
    <t>#14</t>
  </si>
  <si>
    <t>S. fasciatom #21, 22, 23 + 24</t>
  </si>
  <si>
    <t>21.320</t>
  </si>
  <si>
    <t>#8,9,10</t>
  </si>
  <si>
    <t>#27, 28, 29</t>
  </si>
  <si>
    <t>21.330</t>
  </si>
  <si>
    <t>21.360</t>
  </si>
  <si>
    <t>E11008#D, 7.9.21#D</t>
  </si>
  <si>
    <t>JT+</t>
  </si>
  <si>
    <t>E11008#F, 7.9.21#F</t>
  </si>
  <si>
    <t>E11008#B, 7.9.21#b</t>
  </si>
  <si>
    <t>E11008#E, 7.9.21#E</t>
  </si>
  <si>
    <t>E11008#C, 7.9.21#C</t>
  </si>
  <si>
    <t>2 tag</t>
  </si>
  <si>
    <t>259 or 8</t>
  </si>
  <si>
    <t>21.370</t>
  </si>
  <si>
    <t>1 tag</t>
  </si>
  <si>
    <t>1 hook</t>
  </si>
  <si>
    <t>3 tags</t>
  </si>
  <si>
    <t xml:space="preserve">3 hook </t>
  </si>
  <si>
    <t>2 hook</t>
  </si>
  <si>
    <t>21.380</t>
  </si>
  <si>
    <t>108 likely</t>
  </si>
  <si>
    <t>121 or 115</t>
  </si>
  <si>
    <t>9.1.21#D</t>
  </si>
  <si>
    <t>9.1.21#C</t>
  </si>
  <si>
    <t>21.390</t>
  </si>
  <si>
    <t>9.1.21#B</t>
  </si>
  <si>
    <t>7.28.21#E</t>
  </si>
  <si>
    <t>9.12.21#C</t>
  </si>
  <si>
    <t>9.12.21#B</t>
  </si>
  <si>
    <t>8.10.21#A</t>
  </si>
  <si>
    <t>8.23.21#A</t>
  </si>
  <si>
    <t>7.28.21#F</t>
  </si>
  <si>
    <t>8.10.21#B</t>
  </si>
  <si>
    <t>8.23.21#B</t>
  </si>
  <si>
    <t>8.25.21#A</t>
  </si>
  <si>
    <t>115 OR 121</t>
  </si>
  <si>
    <t>21.410</t>
  </si>
  <si>
    <t>109 Likely</t>
  </si>
  <si>
    <t>119 Likely</t>
  </si>
  <si>
    <t>KD  + Raz</t>
  </si>
  <si>
    <t>Jen+KD+Raz</t>
  </si>
  <si>
    <t>Jen+KD</t>
  </si>
  <si>
    <t>21.440</t>
  </si>
  <si>
    <t>wind egg #2</t>
  </si>
  <si>
    <t>wind egg #1</t>
  </si>
  <si>
    <t>8.8.21#A</t>
  </si>
  <si>
    <t>9.19.21#C</t>
  </si>
  <si>
    <t>21.450</t>
  </si>
  <si>
    <t>8.15.21#B</t>
  </si>
  <si>
    <t>8.8.21#C</t>
  </si>
  <si>
    <t>9.19.21#D</t>
  </si>
  <si>
    <t>9.19.21#E</t>
  </si>
  <si>
    <t>8.15.21#C</t>
  </si>
  <si>
    <t>7.28.21#B</t>
  </si>
  <si>
    <t>Elaine/Katelyn</t>
  </si>
  <si>
    <t>7.28.21#D</t>
  </si>
  <si>
    <t>7.28.21#C</t>
  </si>
  <si>
    <t>21.460</t>
  </si>
  <si>
    <t>#34 or #33</t>
  </si>
  <si>
    <t>KD+Raz</t>
  </si>
  <si>
    <t>KD/Raz</t>
  </si>
  <si>
    <t>7.17.21#D</t>
  </si>
  <si>
    <t>8.15.21#A</t>
  </si>
  <si>
    <t>21.480</t>
  </si>
  <si>
    <t>8.15.21#D</t>
  </si>
  <si>
    <t>8.8.21#B</t>
  </si>
  <si>
    <t>9.19.21#B</t>
  </si>
  <si>
    <t>8.6.21#A</t>
  </si>
  <si>
    <t>#33 or #34</t>
  </si>
  <si>
    <t>21.490</t>
  </si>
  <si>
    <t>21.500</t>
  </si>
  <si>
    <t>21.510</t>
  </si>
  <si>
    <t>#43</t>
  </si>
  <si>
    <t>wind #10</t>
  </si>
  <si>
    <t>STIO1of4</t>
  </si>
  <si>
    <t>21.520</t>
  </si>
  <si>
    <t>STIO2of4</t>
  </si>
  <si>
    <t>unlabeled 1 of 2</t>
  </si>
  <si>
    <t>unlabeled 2 of 2</t>
  </si>
  <si>
    <t>Vera1of3</t>
  </si>
  <si>
    <t>Vera2of3</t>
  </si>
  <si>
    <t>Vera3of3</t>
  </si>
  <si>
    <t>STIO1of1</t>
  </si>
  <si>
    <t>21.530</t>
  </si>
  <si>
    <t>Vera1of5</t>
  </si>
  <si>
    <t>Vera2of5</t>
  </si>
  <si>
    <t>Vera3of5</t>
  </si>
  <si>
    <t>Vera4of5</t>
  </si>
  <si>
    <t>Vera5of5</t>
  </si>
  <si>
    <t>21.540</t>
  </si>
  <si>
    <t>Vera1of2</t>
  </si>
  <si>
    <t>Vera2of2</t>
  </si>
  <si>
    <t>ST10-1of1</t>
  </si>
  <si>
    <t>Vera1of6</t>
  </si>
  <si>
    <t>Vera2of6</t>
  </si>
  <si>
    <t>Vera3of6</t>
  </si>
  <si>
    <t>Vera4of6</t>
  </si>
  <si>
    <t>Vera5of6</t>
  </si>
  <si>
    <t>Vera6of6</t>
  </si>
  <si>
    <t>21.550</t>
  </si>
  <si>
    <t>wind #11</t>
  </si>
  <si>
    <t>KD/Elaine</t>
  </si>
  <si>
    <t>wind #6</t>
  </si>
  <si>
    <t>wind #9</t>
  </si>
  <si>
    <t>21.560</t>
  </si>
  <si>
    <t>Elaine</t>
  </si>
  <si>
    <t>58?</t>
  </si>
  <si>
    <t>KD/Alex</t>
  </si>
  <si>
    <t>21.570</t>
  </si>
  <si>
    <t>wind #3</t>
  </si>
  <si>
    <t>wind #8 (microyolk)</t>
  </si>
  <si>
    <t>wind #5</t>
  </si>
  <si>
    <t>wind #7</t>
  </si>
  <si>
    <t>21.580</t>
  </si>
  <si>
    <t>wind #4</t>
  </si>
  <si>
    <t>10.1.21#A</t>
  </si>
  <si>
    <t>11.7.21#A</t>
  </si>
  <si>
    <t>10.1.21#B</t>
  </si>
  <si>
    <t>9.28.21#B</t>
  </si>
  <si>
    <t>10.13.21#A</t>
  </si>
  <si>
    <t>10.10.21#A</t>
  </si>
  <si>
    <t>21.590</t>
  </si>
  <si>
    <t>9.28.21#A</t>
  </si>
  <si>
    <t>288.4?</t>
  </si>
  <si>
    <t xml:space="preserve">Valentine </t>
  </si>
  <si>
    <t>10.13.21#B</t>
  </si>
  <si>
    <t>21.630</t>
  </si>
  <si>
    <t>9.19.21#A</t>
  </si>
  <si>
    <t>9.1.21#A</t>
  </si>
  <si>
    <t>wind #12</t>
  </si>
  <si>
    <t>wind #14</t>
  </si>
  <si>
    <t>wind #13</t>
  </si>
  <si>
    <t>wind #17</t>
  </si>
  <si>
    <t>wind #19</t>
  </si>
  <si>
    <t>wind #20</t>
  </si>
  <si>
    <t>wind #18</t>
  </si>
  <si>
    <t>wind #21</t>
  </si>
  <si>
    <t>wind#15</t>
  </si>
  <si>
    <t>21.670</t>
  </si>
  <si>
    <t>wind #16</t>
  </si>
  <si>
    <t>Clare-Jen&amp;EP</t>
  </si>
  <si>
    <t>#13</t>
  </si>
  <si>
    <t>Jen&amp;EP</t>
  </si>
  <si>
    <t>KL-JW&amp;EP</t>
  </si>
  <si>
    <t>JW&amp;EP</t>
  </si>
  <si>
    <t>#5</t>
  </si>
  <si>
    <t>21.740</t>
  </si>
  <si>
    <t>21.750</t>
  </si>
  <si>
    <t>wind #22</t>
  </si>
  <si>
    <t>wind #24</t>
  </si>
  <si>
    <t>wind #28</t>
  </si>
  <si>
    <t>wind #30</t>
  </si>
  <si>
    <t>wind #23</t>
  </si>
  <si>
    <t>wind #25</t>
  </si>
  <si>
    <t>wind #27</t>
  </si>
  <si>
    <t>wind #26</t>
  </si>
  <si>
    <t>21.760</t>
  </si>
  <si>
    <t>wind #29</t>
  </si>
  <si>
    <t>WOW 4-2021</t>
  </si>
  <si>
    <t xml:space="preserve">Dalmatian </t>
  </si>
  <si>
    <t>7.9.21#B</t>
  </si>
  <si>
    <t>7.17.21#A</t>
  </si>
  <si>
    <t>7.28.21#A</t>
  </si>
  <si>
    <t>7.17.21#B</t>
  </si>
  <si>
    <t>7.17.21#C</t>
  </si>
  <si>
    <t>WOW 3-2021</t>
  </si>
  <si>
    <t>WOW 2-2021</t>
  </si>
  <si>
    <t>WOW 6-2021</t>
  </si>
  <si>
    <t>21.820</t>
  </si>
  <si>
    <t>WOW 9-2021</t>
  </si>
  <si>
    <t>WOW 10-2021</t>
  </si>
  <si>
    <t>WOW 5-2021</t>
  </si>
  <si>
    <t>21.830</t>
  </si>
  <si>
    <t>Wind 34</t>
  </si>
  <si>
    <t>Wind 33</t>
  </si>
  <si>
    <t>Wind 35</t>
  </si>
  <si>
    <t>Wind 37</t>
  </si>
  <si>
    <t>Wind 38</t>
  </si>
  <si>
    <t>Wind 31</t>
  </si>
  <si>
    <t>Wind 32</t>
  </si>
  <si>
    <t>Wind 36</t>
  </si>
  <si>
    <t>21.840</t>
  </si>
  <si>
    <t>Vera 1 of 3</t>
  </si>
  <si>
    <t>Vera 2 of 3</t>
  </si>
  <si>
    <t>Vera 3 of 3</t>
  </si>
  <si>
    <t>Cleo 1 of 4</t>
  </si>
  <si>
    <t>Cleo 2 of 4</t>
  </si>
  <si>
    <t>Cleo 3 of 4</t>
  </si>
  <si>
    <t>Cleo 4 of 4</t>
  </si>
  <si>
    <t>Vera 1 of 8</t>
  </si>
  <si>
    <t>21.850</t>
  </si>
  <si>
    <t>Vera 2 of 8</t>
  </si>
  <si>
    <t>Vera 3 of 8</t>
  </si>
  <si>
    <t>Vera 4 of 8</t>
  </si>
  <si>
    <t>Vera 5 of 8</t>
  </si>
  <si>
    <t>Vera 6 of 8</t>
  </si>
  <si>
    <t>Vera 7 of 8</t>
  </si>
  <si>
    <t>Vera 1 of 4</t>
  </si>
  <si>
    <t>Vera 2 of 4</t>
  </si>
  <si>
    <t>Vera 3 of 4</t>
  </si>
  <si>
    <t>Vera 4 of 4</t>
  </si>
  <si>
    <t>21.860</t>
  </si>
  <si>
    <t>Vera 1 of 2</t>
  </si>
  <si>
    <t>Vera 2 of 2</t>
  </si>
  <si>
    <t>Vera 1 of 6</t>
  </si>
  <si>
    <t>Vera 2 of 6</t>
  </si>
  <si>
    <t>Vera 3 of 6</t>
  </si>
  <si>
    <t>Vera 4 of 6</t>
  </si>
  <si>
    <t>12.10.21#B</t>
  </si>
  <si>
    <t>12.24.21#D</t>
  </si>
  <si>
    <t>21.870</t>
  </si>
  <si>
    <t>12.24.21#C</t>
  </si>
  <si>
    <t>12.24.21#E</t>
  </si>
  <si>
    <t>12.10.21#C</t>
  </si>
  <si>
    <t>12.16.21#A</t>
  </si>
  <si>
    <t>12.16.21#b</t>
  </si>
  <si>
    <t>12.24.21#b</t>
  </si>
  <si>
    <t>12.24.21#a</t>
  </si>
  <si>
    <t>12.10.21#a</t>
  </si>
  <si>
    <t>Shedd #76</t>
  </si>
  <si>
    <t>Vera  1 of 6</t>
  </si>
  <si>
    <t>Vera  2 of 6</t>
  </si>
  <si>
    <t>Vera  3 of 6</t>
  </si>
  <si>
    <t>Vera  4 of 6</t>
  </si>
  <si>
    <t>cleo  #18</t>
  </si>
  <si>
    <t>Cleo 1 of 3</t>
  </si>
  <si>
    <t>Cleo 2 of 3</t>
  </si>
  <si>
    <t>21.890</t>
  </si>
  <si>
    <t>Cleo 3 of 3</t>
  </si>
  <si>
    <t xml:space="preserve">Cleo </t>
  </si>
  <si>
    <t>21.900</t>
  </si>
  <si>
    <t>Vera 24</t>
  </si>
  <si>
    <t>Vera 23</t>
  </si>
  <si>
    <t>Vera 26</t>
  </si>
  <si>
    <t>21.910</t>
  </si>
  <si>
    <t>Vera 22</t>
  </si>
  <si>
    <t>Gatsby (by date)</t>
  </si>
  <si>
    <t>71 (unlabeled)</t>
  </si>
  <si>
    <t>21.920</t>
  </si>
  <si>
    <t>21.930</t>
  </si>
  <si>
    <t>171 (unlabeled)</t>
  </si>
  <si>
    <t>21.940</t>
  </si>
  <si>
    <t>Vera 5-17-21</t>
  </si>
  <si>
    <t>Vera (by morphs)</t>
  </si>
  <si>
    <t xml:space="preserve">ST10 </t>
  </si>
  <si>
    <t>Brittney?</t>
  </si>
  <si>
    <t>Yang (by date)</t>
  </si>
  <si>
    <t>WOW 1-2021</t>
  </si>
  <si>
    <t>WOW 8-2021</t>
  </si>
  <si>
    <t>Baby (by date)</t>
  </si>
  <si>
    <t>21.1000</t>
  </si>
  <si>
    <t>21.1010</t>
  </si>
  <si>
    <t>no ship date in AoP file</t>
  </si>
  <si>
    <t>Brittney? Just marked as "bad yolk" in AOP file</t>
  </si>
  <si>
    <t>21.1020</t>
  </si>
  <si>
    <t>21.1030</t>
  </si>
  <si>
    <t>23.10</t>
  </si>
  <si>
    <t>U010623-2</t>
  </si>
  <si>
    <t>23.20</t>
  </si>
  <si>
    <t>U011823-1</t>
  </si>
  <si>
    <t>U010623-3</t>
  </si>
  <si>
    <t>U010623-4</t>
  </si>
  <si>
    <t>U010623-1</t>
  </si>
  <si>
    <t>23.30</t>
  </si>
  <si>
    <t>23.40</t>
  </si>
  <si>
    <t>23.50</t>
  </si>
  <si>
    <t>23.60</t>
  </si>
  <si>
    <t>TBD</t>
  </si>
  <si>
    <t>23#1D</t>
  </si>
  <si>
    <t>23.70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</si>
</sst>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0"/>
    <numFmt numFmtId="165" formatCode="0.0"/>
    <numFmt numFmtId="166" formatCode="[$-409]d\-mmm\-yy;@"/>
  </numFmts>
  <fonts count="2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 tint="-4.9989318521683403E-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0" tint="-0.1499984740745262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2"/>
      <color theme="0" tint="-0.34998626667073579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9B1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FB5C1"/>
        <bgColor indexed="64"/>
      </patternFill>
    </fill>
    <fill>
      <patternFill patternType="solid">
        <fgColor rgb="FFFF0F05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BDD7EE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3" fillId="0" borderId="0" xfId="0" applyFont="1" applyAlignment="1">
      <alignment horizontal="left" textRotation="90" wrapText="1"/>
    </xf>
    <xf numFmtId="164" fontId="0" fillId="0" borderId="0" xfId="0" quotePrefix="1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quotePrefix="1"/>
    <xf numFmtId="2" fontId="0" fillId="0" borderId="0" xfId="0" applyNumberFormat="1" applyAlignment="1">
      <alignment horizontal="left"/>
    </xf>
    <xf numFmtId="2" fontId="0" fillId="0" borderId="0" xfId="0" quotePrefix="1" applyNumberForma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quotePrefix="1" applyNumberFormat="1" applyFont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left"/>
    </xf>
    <xf numFmtId="165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1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quotePrefix="1" applyAlignment="1">
      <alignment horizontal="center"/>
    </xf>
    <xf numFmtId="164" fontId="5" fillId="0" borderId="0" xfId="0" applyNumberFormat="1" applyFont="1" applyAlignment="1">
      <alignment horizontal="left"/>
    </xf>
    <xf numFmtId="164" fontId="5" fillId="0" borderId="0" xfId="0" quotePrefix="1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quotePrefix="1" applyFont="1"/>
    <xf numFmtId="0" fontId="5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6" fillId="0" borderId="0" xfId="0" applyFont="1" applyAlignment="1">
      <alignment horizontal="left" textRotation="90" wrapText="1"/>
    </xf>
    <xf numFmtId="0" fontId="0" fillId="3" borderId="0" xfId="0" applyFill="1" applyAlignment="1">
      <alignment horizontal="left"/>
    </xf>
    <xf numFmtId="15" fontId="0" fillId="0" borderId="0" xfId="0" applyNumberFormat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/>
    </xf>
    <xf numFmtId="165" fontId="0" fillId="0" borderId="0" xfId="0" applyNumberFormat="1" applyAlignment="1">
      <alignment horizontal="center"/>
    </xf>
    <xf numFmtId="0" fontId="0" fillId="7" borderId="0" xfId="0" applyFill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15" fontId="1" fillId="0" borderId="0" xfId="0" applyNumberFormat="1" applyFont="1"/>
    <xf numFmtId="0" fontId="0" fillId="0" borderId="0" xfId="0" applyAlignment="1">
      <alignment horizontal="left" wrapText="1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14" fontId="0" fillId="0" borderId="1" xfId="0" applyNumberFormat="1" applyBorder="1"/>
    <xf numFmtId="0" fontId="0" fillId="10" borderId="0" xfId="0" applyFill="1" applyAlignment="1">
      <alignment horizontal="left"/>
    </xf>
    <xf numFmtId="0" fontId="7" fillId="0" borderId="0" xfId="0" applyFont="1" applyAlignment="1">
      <alignment horizontal="left"/>
    </xf>
    <xf numFmtId="0" fontId="0" fillId="11" borderId="0" xfId="0" applyFill="1" applyAlignment="1">
      <alignment horizontal="left"/>
    </xf>
    <xf numFmtId="2" fontId="0" fillId="0" borderId="0" xfId="0" applyNumberFormat="1" applyAlignment="1">
      <alignment horizontal="center"/>
    </xf>
    <xf numFmtId="0" fontId="5" fillId="6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0" fillId="0" borderId="0" xfId="0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10" borderId="0" xfId="0" applyFill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4" fillId="13" borderId="0" xfId="0" applyFont="1" applyFill="1" applyAlignment="1">
      <alignment horizontal="left"/>
    </xf>
    <xf numFmtId="0" fontId="0" fillId="4" borderId="0" xfId="0" applyFill="1"/>
    <xf numFmtId="14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13" borderId="0" xfId="0" applyFont="1" applyFill="1"/>
    <xf numFmtId="0" fontId="0" fillId="5" borderId="0" xfId="0" applyFill="1"/>
    <xf numFmtId="0" fontId="5" fillId="6" borderId="0" xfId="0" applyFont="1" applyFill="1" applyAlignment="1">
      <alignment horizontal="center"/>
    </xf>
    <xf numFmtId="0" fontId="10" fillId="4" borderId="0" xfId="0" applyFont="1" applyFill="1"/>
    <xf numFmtId="14" fontId="0" fillId="0" borderId="0" xfId="0" applyNumberFormat="1" applyAlignment="1">
      <alignment horizontal="center"/>
    </xf>
    <xf numFmtId="14" fontId="11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7" fillId="10" borderId="0" xfId="0" applyNumberFormat="1" applyFont="1" applyFill="1"/>
    <xf numFmtId="2" fontId="7" fillId="0" borderId="0" xfId="0" applyNumberFormat="1" applyFont="1" applyAlignment="1">
      <alignment horizontal="center"/>
    </xf>
    <xf numFmtId="0" fontId="0" fillId="9" borderId="0" xfId="0" applyFill="1" applyAlignment="1">
      <alignment horizontal="center"/>
    </xf>
    <xf numFmtId="0" fontId="4" fillId="15" borderId="0" xfId="0" applyFont="1" applyFill="1" applyAlignment="1">
      <alignment horizontal="left"/>
    </xf>
    <xf numFmtId="15" fontId="5" fillId="0" borderId="0" xfId="0" applyNumberFormat="1" applyFont="1"/>
    <xf numFmtId="0" fontId="0" fillId="0" borderId="0" xfId="0" applyAlignment="1">
      <alignment horizontal="center" wrapText="1"/>
    </xf>
    <xf numFmtId="0" fontId="0" fillId="8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0" fontId="0" fillId="12" borderId="0" xfId="0" applyFill="1"/>
    <xf numFmtId="0" fontId="0" fillId="6" borderId="0" xfId="0" applyFill="1" applyAlignment="1">
      <alignment horizontal="center"/>
    </xf>
    <xf numFmtId="0" fontId="0" fillId="11" borderId="0" xfId="0" applyFill="1"/>
    <xf numFmtId="0" fontId="5" fillId="16" borderId="0" xfId="0" applyFont="1" applyFill="1"/>
    <xf numFmtId="14" fontId="5" fillId="0" borderId="0" xfId="0" applyNumberFormat="1" applyFont="1" applyAlignment="1">
      <alignment horizontal="center" wrapText="1"/>
    </xf>
    <xf numFmtId="2" fontId="0" fillId="0" borderId="0" xfId="0" applyNumberFormat="1"/>
    <xf numFmtId="0" fontId="0" fillId="0" borderId="0" xfId="0" applyAlignment="1">
      <alignment horizontal="right"/>
    </xf>
    <xf numFmtId="2" fontId="5" fillId="0" borderId="0" xfId="0" applyNumberFormat="1" applyFont="1"/>
    <xf numFmtId="0" fontId="4" fillId="15" borderId="0" xfId="0" applyFont="1" applyFill="1" applyAlignment="1">
      <alignment horizontal="center"/>
    </xf>
    <xf numFmtId="2" fontId="0" fillId="4" borderId="0" xfId="0" applyNumberFormat="1" applyFill="1"/>
    <xf numFmtId="14" fontId="0" fillId="2" borderId="0" xfId="0" applyNumberFormat="1" applyFill="1" applyAlignment="1">
      <alignment horizontal="center"/>
    </xf>
    <xf numFmtId="0" fontId="0" fillId="17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18" borderId="0" xfId="0" applyFill="1"/>
    <xf numFmtId="0" fontId="0" fillId="19" borderId="0" xfId="0" applyFill="1"/>
    <xf numFmtId="0" fontId="0" fillId="2" borderId="0" xfId="0" applyFill="1"/>
    <xf numFmtId="14" fontId="0" fillId="4" borderId="0" xfId="0" applyNumberFormat="1" applyFill="1" applyAlignment="1">
      <alignment horizontal="center"/>
    </xf>
    <xf numFmtId="2" fontId="0" fillId="10" borderId="0" xfId="0" applyNumberFormat="1" applyFill="1"/>
    <xf numFmtId="1" fontId="0" fillId="0" borderId="0" xfId="0" applyNumberFormat="1" applyAlignment="1">
      <alignment horizontal="center"/>
    </xf>
    <xf numFmtId="0" fontId="0" fillId="17" borderId="0" xfId="0" applyFill="1"/>
    <xf numFmtId="0" fontId="5" fillId="4" borderId="0" xfId="0" applyFont="1" applyFill="1"/>
    <xf numFmtId="0" fontId="13" fillId="0" borderId="0" xfId="0" applyFont="1"/>
    <xf numFmtId="0" fontId="5" fillId="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14" fillId="4" borderId="0" xfId="0" applyFont="1" applyFill="1"/>
    <xf numFmtId="0" fontId="9" fillId="17" borderId="0" xfId="0" applyFont="1" applyFill="1"/>
    <xf numFmtId="0" fontId="0" fillId="17" borderId="0" xfId="0" applyFill="1" applyAlignment="1">
      <alignment horizontal="center"/>
    </xf>
    <xf numFmtId="2" fontId="0" fillId="17" borderId="0" xfId="0" applyNumberFormat="1" applyFill="1"/>
    <xf numFmtId="14" fontId="11" fillId="0" borderId="0" xfId="0" applyNumberFormat="1" applyFont="1"/>
    <xf numFmtId="14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20" borderId="0" xfId="0" applyFill="1" applyAlignment="1">
      <alignment horizontal="center"/>
    </xf>
    <xf numFmtId="165" fontId="0" fillId="0" borderId="0" xfId="0" applyNumberFormat="1"/>
    <xf numFmtId="1" fontId="5" fillId="0" borderId="0" xfId="0" applyNumberFormat="1" applyFont="1" applyAlignment="1">
      <alignment horizontal="left"/>
    </xf>
    <xf numFmtId="0" fontId="5" fillId="17" borderId="0" xfId="0" applyFont="1" applyFill="1"/>
    <xf numFmtId="0" fontId="0" fillId="0" borderId="2" xfId="0" applyBorder="1"/>
    <xf numFmtId="0" fontId="0" fillId="20" borderId="0" xfId="0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0" borderId="0" xfId="0" applyAlignment="1">
      <alignment horizontal="center" vertical="center"/>
    </xf>
    <xf numFmtId="165" fontId="0" fillId="4" borderId="0" xfId="0" applyNumberFormat="1" applyFill="1"/>
    <xf numFmtId="0" fontId="0" fillId="7" borderId="0" xfId="0" applyFill="1"/>
    <xf numFmtId="0" fontId="0" fillId="8" borderId="0" xfId="0" applyFill="1"/>
    <xf numFmtId="166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6" borderId="0" xfId="0" applyFill="1"/>
    <xf numFmtId="0" fontId="0" fillId="22" borderId="0" xfId="0" applyFill="1"/>
    <xf numFmtId="2" fontId="4" fillId="0" borderId="0" xfId="0" applyNumberFormat="1" applyFont="1" applyAlignment="1">
      <alignment horizontal="center"/>
    </xf>
    <xf numFmtId="15" fontId="4" fillId="0" borderId="0" xfId="0" applyNumberFormat="1" applyFont="1" applyAlignment="1">
      <alignment horizontal="left"/>
    </xf>
    <xf numFmtId="2" fontId="0" fillId="14" borderId="0" xfId="0" applyNumberFormat="1" applyFill="1" applyAlignment="1">
      <alignment horizontal="center"/>
    </xf>
    <xf numFmtId="0" fontId="15" fillId="0" borderId="0" xfId="0" applyFont="1" applyAlignment="1">
      <alignment horizontal="left"/>
    </xf>
    <xf numFmtId="0" fontId="18" fillId="0" borderId="0" xfId="0" applyFont="1"/>
    <xf numFmtId="0" fontId="0" fillId="23" borderId="0" xfId="0" applyFill="1"/>
    <xf numFmtId="0" fontId="0" fillId="9" borderId="0" xfId="0" applyFill="1"/>
    <xf numFmtId="15" fontId="0" fillId="2" borderId="0" xfId="0" applyNumberFormat="1" applyFill="1" applyAlignment="1">
      <alignment horizontal="left"/>
    </xf>
    <xf numFmtId="15" fontId="0" fillId="10" borderId="0" xfId="0" applyNumberFormat="1" applyFill="1" applyAlignment="1">
      <alignment horizontal="left"/>
    </xf>
    <xf numFmtId="0" fontId="5" fillId="7" borderId="0" xfId="0" applyFont="1" applyFill="1"/>
    <xf numFmtId="15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/>
    </xf>
    <xf numFmtId="0" fontId="5" fillId="9" borderId="0" xfId="0" applyFont="1" applyFill="1"/>
    <xf numFmtId="0" fontId="0" fillId="14" borderId="0" xfId="0" applyFill="1"/>
    <xf numFmtId="0" fontId="0" fillId="14" borderId="0" xfId="0" applyFill="1" applyAlignment="1">
      <alignment horizontal="left"/>
    </xf>
    <xf numFmtId="0" fontId="0" fillId="14" borderId="0" xfId="0" applyFill="1" applyAlignment="1">
      <alignment horizontal="center"/>
    </xf>
    <xf numFmtId="14" fontId="19" fillId="0" borderId="0" xfId="0" applyNumberFormat="1" applyFont="1" applyAlignment="1">
      <alignment horizontal="left"/>
    </xf>
    <xf numFmtId="17" fontId="0" fillId="0" borderId="0" xfId="0" applyNumberFormat="1" applyAlignment="1">
      <alignment horizontal="left"/>
    </xf>
    <xf numFmtId="0" fontId="4" fillId="24" borderId="0" xfId="0" applyFont="1" applyFill="1"/>
    <xf numFmtId="6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center"/>
    </xf>
    <xf numFmtId="14" fontId="20" fillId="0" borderId="1" xfId="0" applyNumberFormat="1" applyFont="1" applyBorder="1" applyAlignment="1">
      <alignment horizontal="left"/>
    </xf>
    <xf numFmtId="0" fontId="5" fillId="6" borderId="0" xfId="0" applyFont="1" applyFill="1"/>
    <xf numFmtId="0" fontId="5" fillId="8" borderId="0" xfId="0" applyFont="1" applyFill="1"/>
    <xf numFmtId="0" fontId="9" fillId="0" borderId="0" xfId="0" applyFont="1" applyAlignment="1">
      <alignment horizontal="left"/>
    </xf>
    <xf numFmtId="0" fontId="2" fillId="25" borderId="0" xfId="0" applyFont="1" applyFill="1" applyAlignment="1">
      <alignment horizontal="left"/>
    </xf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left"/>
    </xf>
    <xf numFmtId="15" fontId="9" fillId="0" borderId="0" xfId="0" applyNumberFormat="1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10" borderId="0" xfId="0" applyNumberFormat="1" applyFill="1" applyAlignment="1">
      <alignment horizontal="center"/>
    </xf>
    <xf numFmtId="0" fontId="19" fillId="0" borderId="0" xfId="0" applyFont="1" applyAlignment="1">
      <alignment horizontal="left"/>
    </xf>
    <xf numFmtId="14" fontId="19" fillId="0" borderId="1" xfId="0" applyNumberFormat="1" applyFont="1" applyBorder="1" applyAlignment="1">
      <alignment horizontal="left"/>
    </xf>
    <xf numFmtId="14" fontId="20" fillId="0" borderId="1" xfId="0" applyNumberFormat="1" applyFont="1" applyBorder="1" applyAlignment="1">
      <alignment horizontal="left" wrapText="1"/>
    </xf>
    <xf numFmtId="0" fontId="0" fillId="2" borderId="0" xfId="0" quotePrefix="1" applyFill="1"/>
    <xf numFmtId="0" fontId="0" fillId="2" borderId="0" xfId="0" quotePrefix="1" applyFill="1" applyAlignment="1">
      <alignment horizontal="left"/>
    </xf>
    <xf numFmtId="0" fontId="12" fillId="0" borderId="0" xfId="0" applyFont="1" applyAlignment="1">
      <alignment wrapText="1"/>
    </xf>
    <xf numFmtId="15" fontId="0" fillId="0" borderId="3" xfId="0" applyNumberFormat="1" applyBorder="1" applyAlignment="1">
      <alignment horizontal="center"/>
    </xf>
    <xf numFmtId="0" fontId="0" fillId="11" borderId="0" xfId="0" applyFill="1" applyAlignment="1">
      <alignment horizontal="center"/>
    </xf>
    <xf numFmtId="14" fontId="12" fillId="21" borderId="0" xfId="0" applyNumberFormat="1" applyFont="1" applyFill="1"/>
    <xf numFmtId="0" fontId="0" fillId="5" borderId="0" xfId="0" applyFill="1" applyAlignment="1">
      <alignment horizontal="center"/>
    </xf>
    <xf numFmtId="0" fontId="5" fillId="0" borderId="0" xfId="0" applyFont="1" applyAlignment="1">
      <alignment wrapText="1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19" borderId="0" xfId="0" applyFont="1" applyFill="1" applyAlignment="1">
      <alignment horizontal="left" textRotation="90" wrapText="1"/>
    </xf>
    <xf numFmtId="2" fontId="3" fillId="19" borderId="0" xfId="0" applyNumberFormat="1" applyFont="1" applyFill="1" applyAlignment="1">
      <alignment horizontal="left" textRotation="90" wrapText="1"/>
    </xf>
    <xf numFmtId="0" fontId="6" fillId="19" borderId="0" xfId="0" applyFont="1" applyFill="1" applyAlignment="1">
      <alignment horizontal="left" textRotation="90" wrapText="1"/>
    </xf>
    <xf numFmtId="0" fontId="3" fillId="22" borderId="0" xfId="0" applyFont="1" applyFill="1" applyAlignment="1">
      <alignment horizontal="left" textRotation="90" wrapText="1"/>
    </xf>
    <xf numFmtId="0" fontId="3" fillId="0" borderId="0" xfId="0" applyFont="1" applyFill="1" applyAlignment="1">
      <alignment horizontal="left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4D09-0E91-2543-8F39-D48D3B80E8CF}">
  <dimension ref="A1:AU107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Z13" sqref="AZ13"/>
    </sheetView>
  </sheetViews>
  <sheetFormatPr baseColWidth="10" defaultRowHeight="16" x14ac:dyDescent="0.2"/>
  <cols>
    <col min="6" max="8" width="10.83203125" style="3"/>
  </cols>
  <sheetData>
    <row r="1" spans="1:47" s="1" customFormat="1" ht="153" customHeight="1" x14ac:dyDescent="0.2">
      <c r="A1" s="1" t="s">
        <v>94</v>
      </c>
      <c r="B1" s="179" t="s">
        <v>95</v>
      </c>
      <c r="C1" s="179" t="s">
        <v>0</v>
      </c>
      <c r="D1" s="179" t="s">
        <v>96</v>
      </c>
      <c r="E1" s="179" t="s">
        <v>97</v>
      </c>
      <c r="F1" s="182" t="s">
        <v>98</v>
      </c>
      <c r="G1" s="179" t="s">
        <v>99</v>
      </c>
      <c r="H1" s="182" t="s">
        <v>100</v>
      </c>
      <c r="I1" s="1" t="s">
        <v>101</v>
      </c>
      <c r="J1" s="1" t="s">
        <v>102</v>
      </c>
      <c r="K1" s="179" t="s">
        <v>103</v>
      </c>
      <c r="L1" s="1" t="s">
        <v>104</v>
      </c>
      <c r="M1" s="30" t="s">
        <v>105</v>
      </c>
      <c r="N1" s="179" t="s">
        <v>106</v>
      </c>
      <c r="O1" s="179" t="s">
        <v>107</v>
      </c>
      <c r="P1" s="179" t="s">
        <v>108</v>
      </c>
      <c r="Q1" s="179" t="s">
        <v>109</v>
      </c>
      <c r="R1" s="179" t="s">
        <v>110</v>
      </c>
      <c r="S1" s="179" t="s">
        <v>111</v>
      </c>
      <c r="T1" s="179" t="s">
        <v>112</v>
      </c>
      <c r="U1" s="180" t="s">
        <v>113</v>
      </c>
      <c r="V1" s="180" t="s">
        <v>114</v>
      </c>
      <c r="W1" s="180" t="s">
        <v>115</v>
      </c>
      <c r="X1" s="180" t="s">
        <v>116</v>
      </c>
      <c r="Y1" s="180" t="s">
        <v>117</v>
      </c>
      <c r="Z1" s="180" t="s">
        <v>118</v>
      </c>
      <c r="AA1" s="180" t="s">
        <v>119</v>
      </c>
      <c r="AB1" s="180" t="s">
        <v>120</v>
      </c>
      <c r="AC1" s="180" t="s">
        <v>121</v>
      </c>
      <c r="AD1" s="180" t="s">
        <v>122</v>
      </c>
      <c r="AE1" s="179" t="s">
        <v>123</v>
      </c>
      <c r="AF1" s="179" t="s">
        <v>124</v>
      </c>
      <c r="AG1" s="179" t="s">
        <v>125</v>
      </c>
      <c r="AH1" s="179" t="s">
        <v>126</v>
      </c>
      <c r="AI1" s="179" t="s">
        <v>127</v>
      </c>
      <c r="AJ1" s="179" t="s">
        <v>128</v>
      </c>
      <c r="AK1" s="1" t="s">
        <v>129</v>
      </c>
      <c r="AL1" s="183" t="s">
        <v>130</v>
      </c>
      <c r="AM1" s="183" t="s">
        <v>131</v>
      </c>
      <c r="AN1" s="183" t="s">
        <v>132</v>
      </c>
      <c r="AO1" s="1" t="s">
        <v>133</v>
      </c>
      <c r="AP1" s="1" t="s">
        <v>134</v>
      </c>
      <c r="AQ1" s="1" t="s">
        <v>135</v>
      </c>
      <c r="AR1" s="1" t="s">
        <v>136</v>
      </c>
      <c r="AS1" s="1" t="s">
        <v>137</v>
      </c>
      <c r="AT1" s="1" t="s">
        <v>138</v>
      </c>
      <c r="AU1" s="1" t="s">
        <v>139</v>
      </c>
    </row>
    <row r="2" spans="1:47" x14ac:dyDescent="0.2">
      <c r="A2">
        <v>1</v>
      </c>
      <c r="B2">
        <v>1</v>
      </c>
      <c r="C2">
        <v>23.1</v>
      </c>
      <c r="D2" s="31" t="s">
        <v>140</v>
      </c>
      <c r="E2" s="3" t="s">
        <v>141</v>
      </c>
      <c r="F2" t="s">
        <v>60</v>
      </c>
      <c r="H2" t="s">
        <v>60</v>
      </c>
      <c r="I2" s="56">
        <v>44928</v>
      </c>
      <c r="J2" t="s">
        <v>142</v>
      </c>
      <c r="K2" t="s">
        <v>203</v>
      </c>
      <c r="M2">
        <v>196.7</v>
      </c>
    </row>
    <row r="3" spans="1:47" x14ac:dyDescent="0.2">
      <c r="A3">
        <v>2</v>
      </c>
      <c r="B3">
        <v>2</v>
      </c>
      <c r="C3">
        <v>23.2</v>
      </c>
      <c r="D3" s="31" t="s">
        <v>140</v>
      </c>
      <c r="E3" s="3" t="s">
        <v>141</v>
      </c>
      <c r="F3" t="s">
        <v>60</v>
      </c>
      <c r="H3" t="s">
        <v>60</v>
      </c>
      <c r="I3" s="56">
        <v>44928</v>
      </c>
      <c r="J3" t="s">
        <v>142</v>
      </c>
      <c r="K3" t="s">
        <v>203</v>
      </c>
      <c r="M3">
        <v>174</v>
      </c>
    </row>
    <row r="4" spans="1:47" x14ac:dyDescent="0.2">
      <c r="A4">
        <v>3</v>
      </c>
      <c r="B4">
        <v>3</v>
      </c>
      <c r="C4">
        <v>23.3</v>
      </c>
      <c r="D4" s="31" t="s">
        <v>140</v>
      </c>
      <c r="E4" s="3" t="s">
        <v>141</v>
      </c>
      <c r="F4" t="s">
        <v>60</v>
      </c>
      <c r="H4" t="s">
        <v>60</v>
      </c>
      <c r="I4" s="56">
        <v>44928</v>
      </c>
      <c r="J4" t="s">
        <v>142</v>
      </c>
      <c r="K4" t="s">
        <v>203</v>
      </c>
      <c r="M4">
        <v>199.2</v>
      </c>
    </row>
    <row r="5" spans="1:47" x14ac:dyDescent="0.2">
      <c r="A5">
        <v>4</v>
      </c>
      <c r="B5">
        <v>5</v>
      </c>
      <c r="C5">
        <v>23.4</v>
      </c>
      <c r="D5" s="31" t="s">
        <v>140</v>
      </c>
      <c r="E5" s="3" t="s">
        <v>141</v>
      </c>
      <c r="F5" t="s">
        <v>61</v>
      </c>
      <c r="H5" t="s">
        <v>61</v>
      </c>
      <c r="I5" s="56">
        <v>44934</v>
      </c>
      <c r="J5" t="s">
        <v>142</v>
      </c>
      <c r="K5" t="s">
        <v>203</v>
      </c>
      <c r="M5">
        <v>184.7</v>
      </c>
    </row>
    <row r="6" spans="1:47" x14ac:dyDescent="0.2">
      <c r="A6">
        <v>5</v>
      </c>
      <c r="B6">
        <v>13</v>
      </c>
      <c r="C6">
        <v>23.5</v>
      </c>
      <c r="D6" s="31" t="s">
        <v>140</v>
      </c>
      <c r="E6" s="3" t="s">
        <v>141</v>
      </c>
      <c r="F6" t="s">
        <v>62</v>
      </c>
      <c r="H6" t="s">
        <v>62</v>
      </c>
      <c r="I6" s="56">
        <v>44938</v>
      </c>
      <c r="J6" t="s">
        <v>142</v>
      </c>
      <c r="K6" t="s">
        <v>203</v>
      </c>
      <c r="M6" s="61"/>
    </row>
    <row r="7" spans="1:47" x14ac:dyDescent="0.2">
      <c r="A7">
        <v>6</v>
      </c>
      <c r="B7">
        <v>4</v>
      </c>
      <c r="C7">
        <v>23.6</v>
      </c>
      <c r="D7" s="31" t="s">
        <v>140</v>
      </c>
      <c r="E7" s="3" t="s">
        <v>141</v>
      </c>
      <c r="F7" t="s">
        <v>61</v>
      </c>
      <c r="H7" t="s">
        <v>61</v>
      </c>
      <c r="I7" s="56">
        <v>44934</v>
      </c>
      <c r="J7" t="s">
        <v>142</v>
      </c>
      <c r="K7" t="s">
        <v>203</v>
      </c>
      <c r="M7">
        <v>193.5</v>
      </c>
    </row>
    <row r="8" spans="1:47" x14ac:dyDescent="0.2">
      <c r="A8">
        <v>7</v>
      </c>
      <c r="B8">
        <v>14</v>
      </c>
      <c r="C8">
        <v>23.7</v>
      </c>
      <c r="D8" s="31" t="s">
        <v>140</v>
      </c>
      <c r="E8" s="3" t="s">
        <v>141</v>
      </c>
      <c r="F8" t="s">
        <v>61</v>
      </c>
      <c r="H8" t="s">
        <v>61</v>
      </c>
      <c r="I8" s="56">
        <v>44938</v>
      </c>
      <c r="J8" t="s">
        <v>142</v>
      </c>
      <c r="K8" t="s">
        <v>203</v>
      </c>
      <c r="M8">
        <v>206.6</v>
      </c>
    </row>
    <row r="9" spans="1:47" x14ac:dyDescent="0.2">
      <c r="A9">
        <v>8</v>
      </c>
      <c r="B9">
        <v>25</v>
      </c>
      <c r="C9">
        <v>23.8</v>
      </c>
      <c r="D9" s="31" t="s">
        <v>140</v>
      </c>
      <c r="E9" s="3" t="s">
        <v>141</v>
      </c>
      <c r="F9" t="s">
        <v>62</v>
      </c>
      <c r="G9" s="35"/>
      <c r="H9" t="s">
        <v>62</v>
      </c>
      <c r="I9" s="56">
        <v>44941</v>
      </c>
      <c r="J9" t="s">
        <v>142</v>
      </c>
      <c r="K9" t="s">
        <v>203</v>
      </c>
      <c r="M9">
        <v>211.4</v>
      </c>
    </row>
    <row r="10" spans="1:47" x14ac:dyDescent="0.2">
      <c r="A10">
        <v>9</v>
      </c>
      <c r="B10">
        <v>17</v>
      </c>
      <c r="C10">
        <v>23.9</v>
      </c>
      <c r="D10" s="31" t="s">
        <v>140</v>
      </c>
      <c r="E10" s="3" t="s">
        <v>141</v>
      </c>
      <c r="F10" t="s">
        <v>60</v>
      </c>
      <c r="G10" s="35"/>
      <c r="H10" t="s">
        <v>60</v>
      </c>
      <c r="I10" s="56">
        <v>44939</v>
      </c>
      <c r="J10" t="s">
        <v>142</v>
      </c>
      <c r="K10" t="s">
        <v>203</v>
      </c>
      <c r="M10">
        <v>208.5</v>
      </c>
    </row>
    <row r="11" spans="1:47" x14ac:dyDescent="0.2">
      <c r="A11">
        <v>10</v>
      </c>
      <c r="B11">
        <v>22</v>
      </c>
      <c r="C11" s="5" t="s">
        <v>820</v>
      </c>
      <c r="D11" s="31" t="s">
        <v>140</v>
      </c>
      <c r="E11" s="3" t="s">
        <v>141</v>
      </c>
      <c r="F11" t="s">
        <v>62</v>
      </c>
      <c r="H11" t="s">
        <v>62</v>
      </c>
      <c r="I11" s="56">
        <v>44941</v>
      </c>
      <c r="J11" t="s">
        <v>142</v>
      </c>
      <c r="K11" t="s">
        <v>203</v>
      </c>
      <c r="M11">
        <v>214.3</v>
      </c>
    </row>
    <row r="12" spans="1:47" x14ac:dyDescent="0.2">
      <c r="A12">
        <v>11</v>
      </c>
      <c r="B12">
        <v>24</v>
      </c>
      <c r="C12">
        <v>23.11</v>
      </c>
      <c r="D12" s="31" t="s">
        <v>140</v>
      </c>
      <c r="E12" s="3" t="s">
        <v>141</v>
      </c>
      <c r="F12" t="s">
        <v>62</v>
      </c>
      <c r="H12" t="s">
        <v>62</v>
      </c>
      <c r="I12" s="56">
        <v>44941</v>
      </c>
      <c r="J12" t="s">
        <v>142</v>
      </c>
      <c r="K12" t="s">
        <v>203</v>
      </c>
      <c r="M12">
        <v>201.6</v>
      </c>
    </row>
    <row r="13" spans="1:47" x14ac:dyDescent="0.2">
      <c r="A13">
        <v>12</v>
      </c>
      <c r="B13">
        <v>23</v>
      </c>
      <c r="C13">
        <v>23.12</v>
      </c>
      <c r="D13" s="31" t="s">
        <v>140</v>
      </c>
      <c r="E13" s="3" t="s">
        <v>141</v>
      </c>
      <c r="F13" t="s">
        <v>62</v>
      </c>
      <c r="H13" t="s">
        <v>62</v>
      </c>
      <c r="I13" s="56">
        <v>44941</v>
      </c>
      <c r="J13" t="s">
        <v>142</v>
      </c>
      <c r="K13" t="s">
        <v>203</v>
      </c>
      <c r="M13">
        <v>213.4</v>
      </c>
    </row>
    <row r="14" spans="1:47" x14ac:dyDescent="0.2">
      <c r="A14">
        <v>13</v>
      </c>
      <c r="B14">
        <v>6</v>
      </c>
      <c r="C14">
        <v>23.13</v>
      </c>
      <c r="D14" s="31" t="s">
        <v>140</v>
      </c>
      <c r="E14" s="3" t="s">
        <v>141</v>
      </c>
      <c r="F14" t="s">
        <v>61</v>
      </c>
      <c r="H14" t="s">
        <v>61</v>
      </c>
      <c r="I14" s="56">
        <v>44937</v>
      </c>
      <c r="J14" t="s">
        <v>142</v>
      </c>
      <c r="K14" t="s">
        <v>203</v>
      </c>
      <c r="M14">
        <v>194.5</v>
      </c>
    </row>
    <row r="15" spans="1:47" x14ac:dyDescent="0.2">
      <c r="A15">
        <v>14</v>
      </c>
      <c r="B15">
        <v>18</v>
      </c>
      <c r="C15">
        <v>23.14</v>
      </c>
      <c r="D15" s="31" t="s">
        <v>140</v>
      </c>
      <c r="E15" s="3" t="s">
        <v>141</v>
      </c>
      <c r="F15" t="s">
        <v>60</v>
      </c>
      <c r="H15" t="s">
        <v>60</v>
      </c>
      <c r="I15" s="56">
        <v>44939</v>
      </c>
      <c r="J15" t="s">
        <v>142</v>
      </c>
      <c r="K15" t="s">
        <v>203</v>
      </c>
      <c r="M15">
        <v>176</v>
      </c>
    </row>
    <row r="16" spans="1:47" x14ac:dyDescent="0.2">
      <c r="A16">
        <v>15</v>
      </c>
      <c r="B16">
        <v>12</v>
      </c>
      <c r="C16">
        <v>23.15</v>
      </c>
      <c r="D16" s="31" t="s">
        <v>140</v>
      </c>
      <c r="E16" s="3" t="s">
        <v>141</v>
      </c>
      <c r="F16" t="s">
        <v>61</v>
      </c>
      <c r="H16" t="s">
        <v>61</v>
      </c>
      <c r="I16" s="56">
        <v>44938</v>
      </c>
      <c r="J16" t="s">
        <v>142</v>
      </c>
      <c r="K16" t="s">
        <v>203</v>
      </c>
      <c r="M16">
        <v>198.7</v>
      </c>
    </row>
    <row r="17" spans="1:47" x14ac:dyDescent="0.2">
      <c r="A17">
        <v>16</v>
      </c>
      <c r="B17">
        <v>19</v>
      </c>
      <c r="C17">
        <v>23.16</v>
      </c>
      <c r="D17" s="31" t="s">
        <v>140</v>
      </c>
      <c r="E17" s="3" t="s">
        <v>141</v>
      </c>
      <c r="F17" t="s">
        <v>62</v>
      </c>
      <c r="H17" t="s">
        <v>62</v>
      </c>
      <c r="I17" s="56">
        <v>44940</v>
      </c>
      <c r="J17" t="s">
        <v>142</v>
      </c>
      <c r="K17" t="s">
        <v>203</v>
      </c>
      <c r="M17">
        <v>214.7</v>
      </c>
    </row>
    <row r="18" spans="1:47" ht="17" x14ac:dyDescent="0.2">
      <c r="A18">
        <v>17</v>
      </c>
      <c r="B18" t="s">
        <v>821</v>
      </c>
      <c r="C18">
        <v>23.17</v>
      </c>
      <c r="D18" s="31" t="s">
        <v>140</v>
      </c>
      <c r="E18" s="28" t="s">
        <v>472</v>
      </c>
      <c r="F18" s="176" t="s">
        <v>473</v>
      </c>
      <c r="G18" s="176" t="s">
        <v>473</v>
      </c>
      <c r="I18" s="56">
        <v>44932</v>
      </c>
      <c r="J18" s="28" t="s">
        <v>142</v>
      </c>
      <c r="K18" s="28" t="s">
        <v>203</v>
      </c>
      <c r="N18" s="90">
        <v>168.5</v>
      </c>
      <c r="O18" s="18">
        <v>192.06</v>
      </c>
      <c r="P18" s="18">
        <v>172.54</v>
      </c>
      <c r="Q18" s="18">
        <v>43.34</v>
      </c>
      <c r="R18" s="18">
        <v>15.56</v>
      </c>
      <c r="S18" s="18">
        <v>110.57</v>
      </c>
      <c r="T18" s="18">
        <v>89.64</v>
      </c>
      <c r="U18" s="18">
        <v>64.61</v>
      </c>
      <c r="V18" s="18">
        <v>49</v>
      </c>
      <c r="W18" s="18">
        <v>70.36</v>
      </c>
      <c r="X18" s="18">
        <v>77.66</v>
      </c>
      <c r="Y18" s="18">
        <v>34.72</v>
      </c>
      <c r="Z18" s="18">
        <v>87.47</v>
      </c>
      <c r="AA18" s="18">
        <v>69.03</v>
      </c>
      <c r="AB18" s="18">
        <v>63.04</v>
      </c>
      <c r="AC18" s="18">
        <v>13.51</v>
      </c>
      <c r="AD18" s="18">
        <v>44.64</v>
      </c>
      <c r="AE18" s="18">
        <v>35.51</v>
      </c>
      <c r="AF18" s="18">
        <v>35.18</v>
      </c>
      <c r="AG18" s="18">
        <v>29.5</v>
      </c>
      <c r="AH18" s="18">
        <v>46.02</v>
      </c>
      <c r="AI18" s="18">
        <v>1.468</v>
      </c>
      <c r="AL18" s="102"/>
      <c r="AO18" s="18">
        <v>8.3000000000000007</v>
      </c>
      <c r="AP18" s="18">
        <v>77.2</v>
      </c>
      <c r="AQ18" s="18">
        <v>37.6</v>
      </c>
      <c r="AR18" s="18">
        <v>43.1</v>
      </c>
      <c r="AS18" s="18">
        <v>18.899999999999999</v>
      </c>
      <c r="AT18" s="18" t="s">
        <v>147</v>
      </c>
    </row>
    <row r="19" spans="1:47" x14ac:dyDescent="0.2">
      <c r="A19">
        <v>18</v>
      </c>
      <c r="B19">
        <v>15</v>
      </c>
      <c r="C19">
        <v>23.18</v>
      </c>
      <c r="D19" s="177" t="s">
        <v>140</v>
      </c>
      <c r="E19" t="s">
        <v>141</v>
      </c>
      <c r="F19" t="s">
        <v>60</v>
      </c>
      <c r="H19" t="s">
        <v>60</v>
      </c>
      <c r="I19" s="56">
        <v>44939</v>
      </c>
      <c r="J19" t="s">
        <v>142</v>
      </c>
      <c r="K19" t="s">
        <v>204</v>
      </c>
      <c r="M19">
        <v>251.7</v>
      </c>
      <c r="N19">
        <v>254.9</v>
      </c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>
        <v>1.726</v>
      </c>
      <c r="AJ19">
        <v>46</v>
      </c>
      <c r="AK19" t="s">
        <v>173</v>
      </c>
      <c r="AL19">
        <v>64</v>
      </c>
      <c r="AM19">
        <v>39</v>
      </c>
      <c r="AT19" t="s">
        <v>146</v>
      </c>
      <c r="AU19" t="s">
        <v>358</v>
      </c>
    </row>
    <row r="20" spans="1:47" x14ac:dyDescent="0.2">
      <c r="A20">
        <v>19</v>
      </c>
      <c r="B20">
        <v>16</v>
      </c>
      <c r="C20">
        <v>23.19</v>
      </c>
      <c r="D20" s="177" t="s">
        <v>140</v>
      </c>
      <c r="E20" t="s">
        <v>141</v>
      </c>
      <c r="F20" t="s">
        <v>60</v>
      </c>
      <c r="H20" t="s">
        <v>60</v>
      </c>
      <c r="I20" s="56">
        <v>44939</v>
      </c>
      <c r="J20" t="s">
        <v>142</v>
      </c>
      <c r="K20" t="s">
        <v>204</v>
      </c>
      <c r="M20">
        <v>261.10000000000002</v>
      </c>
      <c r="N20">
        <v>262.3</v>
      </c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>
        <v>1.536</v>
      </c>
      <c r="AJ20">
        <v>39.700000000000003</v>
      </c>
      <c r="AK20" t="s">
        <v>172</v>
      </c>
      <c r="AN20">
        <v>134</v>
      </c>
      <c r="AT20" t="s">
        <v>146</v>
      </c>
      <c r="AU20" t="s">
        <v>358</v>
      </c>
    </row>
    <row r="21" spans="1:47" x14ac:dyDescent="0.2">
      <c r="A21">
        <v>20</v>
      </c>
      <c r="B21">
        <v>20</v>
      </c>
      <c r="C21" s="5" t="s">
        <v>822</v>
      </c>
      <c r="D21" s="177" t="s">
        <v>140</v>
      </c>
      <c r="E21" t="s">
        <v>141</v>
      </c>
      <c r="F21" t="s">
        <v>60</v>
      </c>
      <c r="H21" t="s">
        <v>60</v>
      </c>
      <c r="I21" s="56">
        <v>44940</v>
      </c>
      <c r="J21" t="s">
        <v>142</v>
      </c>
      <c r="K21" t="s">
        <v>204</v>
      </c>
      <c r="M21">
        <v>260.2</v>
      </c>
      <c r="N21">
        <v>260.5</v>
      </c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>
        <v>1.494</v>
      </c>
      <c r="AJ21">
        <v>41.6</v>
      </c>
      <c r="AK21" t="s">
        <v>172</v>
      </c>
      <c r="AN21">
        <v>125</v>
      </c>
      <c r="AT21" t="s">
        <v>146</v>
      </c>
      <c r="AU21" t="s">
        <v>358</v>
      </c>
    </row>
    <row r="22" spans="1:47" ht="17" x14ac:dyDescent="0.2">
      <c r="A22">
        <v>21</v>
      </c>
      <c r="B22" t="s">
        <v>823</v>
      </c>
      <c r="C22">
        <v>23.21</v>
      </c>
      <c r="D22" s="31" t="s">
        <v>140</v>
      </c>
      <c r="E22" s="28" t="s">
        <v>472</v>
      </c>
      <c r="F22" s="176" t="s">
        <v>473</v>
      </c>
      <c r="G22" s="176" t="s">
        <v>473</v>
      </c>
      <c r="I22" s="56">
        <v>44944</v>
      </c>
      <c r="J22" s="28" t="s">
        <v>142</v>
      </c>
      <c r="K22" s="28" t="s">
        <v>203</v>
      </c>
      <c r="N22">
        <v>172.9</v>
      </c>
      <c r="O22" s="18">
        <v>169.65</v>
      </c>
      <c r="P22" s="18">
        <v>176.26</v>
      </c>
      <c r="Q22" s="18">
        <v>50.3</v>
      </c>
      <c r="R22" s="18">
        <v>16.71</v>
      </c>
      <c r="S22" s="18">
        <v>108.44</v>
      </c>
      <c r="T22" s="18">
        <v>87.18</v>
      </c>
      <c r="U22" s="18">
        <v>64.62</v>
      </c>
      <c r="V22" s="18">
        <v>48.9</v>
      </c>
      <c r="W22" s="18">
        <v>69.349999999999994</v>
      </c>
      <c r="X22" s="18">
        <v>81.260000000000005</v>
      </c>
      <c r="Y22" s="18">
        <v>35.18</v>
      </c>
      <c r="Z22" s="18">
        <v>88.81</v>
      </c>
      <c r="AA22" s="18">
        <v>71.14</v>
      </c>
      <c r="AB22" s="18">
        <v>67.3</v>
      </c>
      <c r="AC22" s="18">
        <v>15.63</v>
      </c>
      <c r="AD22" s="18">
        <v>44.8</v>
      </c>
      <c r="AE22" s="18">
        <v>36.57</v>
      </c>
      <c r="AF22" s="18">
        <v>38.85</v>
      </c>
      <c r="AG22" s="18">
        <v>28.62</v>
      </c>
      <c r="AH22" s="18">
        <v>34.950000000000003</v>
      </c>
      <c r="AI22" s="18">
        <v>1.498</v>
      </c>
      <c r="AL22" s="102"/>
      <c r="AO22">
        <v>8.1999999999999993</v>
      </c>
      <c r="AP22">
        <v>77.3</v>
      </c>
      <c r="AQ22">
        <v>38.200000000000003</v>
      </c>
      <c r="AR22">
        <v>46.8</v>
      </c>
      <c r="AS22">
        <v>19.3</v>
      </c>
      <c r="AT22" t="s">
        <v>147</v>
      </c>
      <c r="AU22" t="s">
        <v>147</v>
      </c>
    </row>
    <row r="23" spans="1:47" ht="17" x14ac:dyDescent="0.2">
      <c r="A23">
        <v>22</v>
      </c>
      <c r="B23" t="s">
        <v>824</v>
      </c>
      <c r="C23">
        <v>23.22</v>
      </c>
      <c r="D23" s="31" t="s">
        <v>140</v>
      </c>
      <c r="E23" s="28" t="s">
        <v>472</v>
      </c>
      <c r="F23" s="176" t="s">
        <v>473</v>
      </c>
      <c r="G23" s="176" t="s">
        <v>473</v>
      </c>
      <c r="I23" s="56">
        <v>44932</v>
      </c>
      <c r="J23" s="28" t="s">
        <v>142</v>
      </c>
      <c r="K23" s="28" t="s">
        <v>203</v>
      </c>
      <c r="N23">
        <v>160.80000000000001</v>
      </c>
      <c r="O23" s="18">
        <v>160.55000000000001</v>
      </c>
      <c r="P23" s="18">
        <v>172.35</v>
      </c>
      <c r="Q23" s="18">
        <v>46.56</v>
      </c>
      <c r="R23" s="18">
        <v>16.2</v>
      </c>
      <c r="S23" s="18">
        <v>105.74</v>
      </c>
      <c r="T23" s="18">
        <v>82.85</v>
      </c>
      <c r="U23" s="18">
        <v>63.53</v>
      </c>
      <c r="V23" s="18">
        <v>46.63</v>
      </c>
      <c r="W23" s="18">
        <v>67.52</v>
      </c>
      <c r="X23" s="18">
        <v>77.08</v>
      </c>
      <c r="Y23" s="18">
        <v>34.229999999999997</v>
      </c>
      <c r="Z23" s="18">
        <v>83.86</v>
      </c>
      <c r="AA23" s="18">
        <v>65.84</v>
      </c>
      <c r="AB23" s="18">
        <v>65.27</v>
      </c>
      <c r="AC23" s="18">
        <v>11.28</v>
      </c>
      <c r="AD23" s="18">
        <v>43.61</v>
      </c>
      <c r="AE23" s="18">
        <v>30.07</v>
      </c>
      <c r="AF23" s="18">
        <v>40.44</v>
      </c>
      <c r="AG23" s="18">
        <v>37.799999999999997</v>
      </c>
      <c r="AH23" s="18">
        <v>42.98</v>
      </c>
      <c r="AI23" s="18">
        <v>1.5840000000000001</v>
      </c>
      <c r="AL23" s="102"/>
      <c r="AO23">
        <v>8.6999999999999993</v>
      </c>
      <c r="AP23">
        <v>69.7</v>
      </c>
      <c r="AQ23">
        <v>36.4</v>
      </c>
      <c r="AR23">
        <v>43.2</v>
      </c>
      <c r="AS23">
        <v>18</v>
      </c>
      <c r="AT23" t="s">
        <v>147</v>
      </c>
      <c r="AU23" t="s">
        <v>147</v>
      </c>
    </row>
    <row r="24" spans="1:47" ht="17" x14ac:dyDescent="0.2">
      <c r="A24">
        <v>23</v>
      </c>
      <c r="B24" t="s">
        <v>825</v>
      </c>
      <c r="C24">
        <v>23.23</v>
      </c>
      <c r="D24" s="31" t="s">
        <v>140</v>
      </c>
      <c r="E24" s="28" t="s">
        <v>472</v>
      </c>
      <c r="F24" s="176" t="s">
        <v>473</v>
      </c>
      <c r="G24" s="176" t="s">
        <v>473</v>
      </c>
      <c r="I24" s="56">
        <v>44932</v>
      </c>
      <c r="J24" s="28" t="s">
        <v>142</v>
      </c>
      <c r="K24" s="28" t="s">
        <v>203</v>
      </c>
      <c r="N24">
        <v>164.7</v>
      </c>
      <c r="O24" s="18">
        <v>164.29</v>
      </c>
      <c r="P24" s="18">
        <v>173.81</v>
      </c>
      <c r="Q24" s="18">
        <v>41.77</v>
      </c>
      <c r="R24" s="18">
        <v>14.26</v>
      </c>
      <c r="S24" s="18">
        <v>111.64</v>
      </c>
      <c r="T24" s="18">
        <v>87.55</v>
      </c>
      <c r="U24" s="18">
        <v>64.290000000000006</v>
      </c>
      <c r="V24" s="18">
        <v>45.67</v>
      </c>
      <c r="W24" s="18">
        <v>66</v>
      </c>
      <c r="X24" s="18">
        <v>78.3</v>
      </c>
      <c r="Y24" s="18">
        <v>35.119999999999997</v>
      </c>
      <c r="Z24" s="18">
        <v>85.15</v>
      </c>
      <c r="AA24" s="18">
        <v>67.67</v>
      </c>
      <c r="AB24" s="18">
        <v>64.959999999999994</v>
      </c>
      <c r="AC24" s="18">
        <v>13.9</v>
      </c>
      <c r="AD24" s="18">
        <v>44.71</v>
      </c>
      <c r="AE24" s="18">
        <v>34.770000000000003</v>
      </c>
      <c r="AF24" s="18">
        <v>39.619999999999997</v>
      </c>
      <c r="AG24" s="18">
        <v>39.619999999999997</v>
      </c>
      <c r="AH24" s="18">
        <v>40.880000000000003</v>
      </c>
      <c r="AI24" s="18">
        <v>1.538</v>
      </c>
      <c r="AL24" s="102"/>
      <c r="AO24">
        <v>9.1</v>
      </c>
      <c r="AP24">
        <v>79.099999999999994</v>
      </c>
      <c r="AQ24">
        <v>30.9</v>
      </c>
      <c r="AR24">
        <v>44</v>
      </c>
      <c r="AS24">
        <v>18.399999999999999</v>
      </c>
      <c r="AT24" t="s">
        <v>147</v>
      </c>
      <c r="AU24" t="s">
        <v>147</v>
      </c>
    </row>
    <row r="25" spans="1:47" ht="17" x14ac:dyDescent="0.2">
      <c r="A25">
        <v>24</v>
      </c>
      <c r="B25" t="s">
        <v>826</v>
      </c>
      <c r="C25">
        <v>23.24</v>
      </c>
      <c r="D25" s="31" t="s">
        <v>140</v>
      </c>
      <c r="E25" s="28" t="s">
        <v>472</v>
      </c>
      <c r="F25" s="176" t="s">
        <v>473</v>
      </c>
      <c r="G25" s="176" t="s">
        <v>473</v>
      </c>
      <c r="I25" s="56">
        <v>44932</v>
      </c>
      <c r="J25" s="28" t="s">
        <v>142</v>
      </c>
      <c r="K25" s="28" t="s">
        <v>203</v>
      </c>
      <c r="N25">
        <v>166.3</v>
      </c>
      <c r="O25" s="18">
        <v>159.06</v>
      </c>
      <c r="P25" s="18">
        <v>169.05</v>
      </c>
      <c r="Q25" s="18">
        <v>38.33</v>
      </c>
      <c r="R25" s="18">
        <v>15.46</v>
      </c>
      <c r="S25" s="18">
        <v>105.99</v>
      </c>
      <c r="T25" s="18">
        <v>85.97</v>
      </c>
      <c r="U25" s="18">
        <v>66.540000000000006</v>
      </c>
      <c r="V25" s="18">
        <v>47.89</v>
      </c>
      <c r="W25" s="18">
        <v>71.7</v>
      </c>
      <c r="X25" s="18">
        <v>80.09</v>
      </c>
      <c r="Y25" s="18">
        <v>36.49</v>
      </c>
      <c r="Z25" s="18">
        <v>85.71</v>
      </c>
      <c r="AA25" s="18">
        <v>66.66</v>
      </c>
      <c r="AB25" s="18">
        <v>64.290000000000006</v>
      </c>
      <c r="AC25" s="18">
        <v>11.32</v>
      </c>
      <c r="AD25" s="18">
        <v>43.47</v>
      </c>
      <c r="AE25" s="18">
        <v>27</v>
      </c>
      <c r="AF25" s="18">
        <v>40.39</v>
      </c>
      <c r="AG25" s="18">
        <v>35.72</v>
      </c>
      <c r="AH25" s="18">
        <v>38.82</v>
      </c>
      <c r="AI25" s="18">
        <v>1.4990000000000001</v>
      </c>
      <c r="AL25" s="102"/>
      <c r="AO25">
        <v>9.1999999999999993</v>
      </c>
      <c r="AP25">
        <v>70.5</v>
      </c>
      <c r="AQ25">
        <v>40.5</v>
      </c>
      <c r="AR25">
        <v>44.5</v>
      </c>
      <c r="AS25">
        <v>18.600000000000001</v>
      </c>
      <c r="AT25" t="s">
        <v>147</v>
      </c>
      <c r="AU25" t="s">
        <v>147</v>
      </c>
    </row>
    <row r="26" spans="1:47" ht="17" x14ac:dyDescent="0.2">
      <c r="A26">
        <v>25</v>
      </c>
      <c r="B26">
        <v>26</v>
      </c>
      <c r="C26">
        <v>23.25</v>
      </c>
      <c r="D26" s="31" t="s">
        <v>140</v>
      </c>
      <c r="E26" s="28" t="s">
        <v>141</v>
      </c>
      <c r="F26" s="176" t="s">
        <v>62</v>
      </c>
      <c r="H26" s="176" t="s">
        <v>62</v>
      </c>
      <c r="I26" s="56">
        <v>44952</v>
      </c>
      <c r="J26" s="28" t="s">
        <v>142</v>
      </c>
      <c r="K26" s="28" t="s">
        <v>203</v>
      </c>
      <c r="M26">
        <v>233.6</v>
      </c>
    </row>
    <row r="27" spans="1:47" ht="17" x14ac:dyDescent="0.2">
      <c r="A27">
        <v>26</v>
      </c>
      <c r="B27">
        <v>30</v>
      </c>
      <c r="C27">
        <v>23.26</v>
      </c>
      <c r="D27" s="31" t="s">
        <v>140</v>
      </c>
      <c r="E27" s="28" t="s">
        <v>141</v>
      </c>
      <c r="F27" s="176" t="s">
        <v>62</v>
      </c>
      <c r="H27" s="176" t="s">
        <v>62</v>
      </c>
      <c r="I27" s="56">
        <v>44954</v>
      </c>
      <c r="J27" s="28" t="s">
        <v>142</v>
      </c>
      <c r="K27" s="28" t="s">
        <v>203</v>
      </c>
      <c r="M27">
        <v>218.9</v>
      </c>
    </row>
    <row r="28" spans="1:47" ht="17" x14ac:dyDescent="0.2">
      <c r="A28">
        <v>27</v>
      </c>
      <c r="B28">
        <v>27</v>
      </c>
      <c r="C28">
        <v>23.27</v>
      </c>
      <c r="D28" s="31" t="s">
        <v>140</v>
      </c>
      <c r="E28" s="28" t="s">
        <v>141</v>
      </c>
      <c r="F28" s="176" t="s">
        <v>62</v>
      </c>
      <c r="H28" s="176" t="s">
        <v>62</v>
      </c>
      <c r="I28" s="56">
        <v>44954</v>
      </c>
      <c r="J28" s="28" t="s">
        <v>142</v>
      </c>
      <c r="K28" s="28" t="s">
        <v>235</v>
      </c>
      <c r="M28">
        <v>298</v>
      </c>
    </row>
    <row r="29" spans="1:47" ht="17" x14ac:dyDescent="0.2">
      <c r="A29">
        <v>28</v>
      </c>
      <c r="B29">
        <v>32</v>
      </c>
      <c r="C29">
        <v>23.28</v>
      </c>
      <c r="D29" s="31" t="s">
        <v>140</v>
      </c>
      <c r="E29" s="28" t="s">
        <v>141</v>
      </c>
      <c r="F29" s="176" t="s">
        <v>62</v>
      </c>
      <c r="H29" s="176" t="s">
        <v>62</v>
      </c>
      <c r="I29" s="56">
        <v>44955</v>
      </c>
      <c r="J29" s="28" t="s">
        <v>142</v>
      </c>
      <c r="K29" s="28" t="s">
        <v>203</v>
      </c>
      <c r="M29">
        <v>205</v>
      </c>
    </row>
    <row r="30" spans="1:47" ht="17" x14ac:dyDescent="0.2">
      <c r="A30">
        <v>29</v>
      </c>
      <c r="B30">
        <v>31</v>
      </c>
      <c r="C30">
        <v>23.29</v>
      </c>
      <c r="D30" s="31" t="s">
        <v>140</v>
      </c>
      <c r="E30" s="28" t="s">
        <v>141</v>
      </c>
      <c r="F30" s="176" t="s">
        <v>62</v>
      </c>
      <c r="H30" s="176" t="s">
        <v>62</v>
      </c>
      <c r="I30" s="56">
        <v>44955</v>
      </c>
      <c r="J30" s="28" t="s">
        <v>142</v>
      </c>
      <c r="K30" s="28" t="s">
        <v>203</v>
      </c>
      <c r="M30">
        <v>211.3</v>
      </c>
    </row>
    <row r="31" spans="1:47" ht="17" x14ac:dyDescent="0.2">
      <c r="A31">
        <v>30</v>
      </c>
      <c r="B31">
        <v>28</v>
      </c>
      <c r="C31" s="5" t="s">
        <v>827</v>
      </c>
      <c r="D31" s="31" t="s">
        <v>140</v>
      </c>
      <c r="E31" s="28" t="s">
        <v>141</v>
      </c>
      <c r="F31" s="176" t="s">
        <v>62</v>
      </c>
      <c r="H31" s="176" t="s">
        <v>62</v>
      </c>
      <c r="I31" s="56">
        <v>44954</v>
      </c>
      <c r="J31" s="28" t="s">
        <v>142</v>
      </c>
      <c r="K31" s="28" t="s">
        <v>203</v>
      </c>
      <c r="M31">
        <v>227.8</v>
      </c>
    </row>
    <row r="32" spans="1:47" ht="17" x14ac:dyDescent="0.2">
      <c r="A32">
        <v>31</v>
      </c>
      <c r="B32">
        <v>29</v>
      </c>
      <c r="C32">
        <v>23.31</v>
      </c>
      <c r="D32" s="31" t="s">
        <v>140</v>
      </c>
      <c r="E32" s="28" t="s">
        <v>141</v>
      </c>
      <c r="F32" s="176" t="s">
        <v>62</v>
      </c>
      <c r="H32" s="176" t="s">
        <v>62</v>
      </c>
      <c r="I32" s="56">
        <v>44954</v>
      </c>
      <c r="J32" s="28" t="s">
        <v>142</v>
      </c>
      <c r="K32" s="28" t="s">
        <v>203</v>
      </c>
      <c r="M32">
        <v>223.5</v>
      </c>
    </row>
    <row r="33" spans="1:47" ht="51" x14ac:dyDescent="0.2">
      <c r="A33">
        <v>32</v>
      </c>
      <c r="B33" s="18">
        <v>156</v>
      </c>
      <c r="C33" s="18">
        <v>23.32</v>
      </c>
      <c r="D33" s="65" t="s">
        <v>148</v>
      </c>
      <c r="E33" s="53" t="s">
        <v>229</v>
      </c>
      <c r="F33" s="18" t="s">
        <v>74</v>
      </c>
      <c r="G33" s="18" t="s">
        <v>74</v>
      </c>
      <c r="I33" s="63">
        <v>44943</v>
      </c>
      <c r="J33" s="18" t="s">
        <v>142</v>
      </c>
      <c r="K33" s="18" t="s">
        <v>166</v>
      </c>
      <c r="L33" s="53">
        <v>204</v>
      </c>
      <c r="M33" s="18"/>
      <c r="N33" s="18">
        <v>206.6</v>
      </c>
      <c r="O33" s="18">
        <v>173.56</v>
      </c>
      <c r="P33" s="18">
        <v>180.81</v>
      </c>
      <c r="Q33" s="18">
        <v>45.85</v>
      </c>
      <c r="R33" s="18">
        <v>19.55</v>
      </c>
      <c r="S33" s="18">
        <v>111.83</v>
      </c>
      <c r="T33" s="18">
        <v>88.36</v>
      </c>
      <c r="U33" s="18">
        <v>62.9</v>
      </c>
      <c r="V33" s="18">
        <v>48.81</v>
      </c>
      <c r="W33" s="18">
        <v>71.3</v>
      </c>
      <c r="X33" s="18">
        <v>87.69</v>
      </c>
      <c r="Y33" s="18">
        <v>39.450000000000003</v>
      </c>
      <c r="Z33" s="18">
        <v>96.48</v>
      </c>
      <c r="AA33" s="18">
        <v>75.099999999999994</v>
      </c>
      <c r="AB33" s="18">
        <v>79.73</v>
      </c>
      <c r="AC33" s="18">
        <v>15.79</v>
      </c>
      <c r="AD33" s="18">
        <v>48.76</v>
      </c>
      <c r="AE33" s="18">
        <v>34.74</v>
      </c>
      <c r="AF33" s="18">
        <v>34.89</v>
      </c>
      <c r="AG33" s="18">
        <v>39.07</v>
      </c>
      <c r="AH33" s="18">
        <v>38.729999999999997</v>
      </c>
      <c r="AI33" s="18">
        <v>1.464</v>
      </c>
      <c r="AJ33" s="18"/>
      <c r="AK33" s="18"/>
      <c r="AL33" s="18">
        <v>21</v>
      </c>
      <c r="AM33" s="18"/>
      <c r="AN33" s="18"/>
      <c r="AO33" s="18">
        <v>10.8</v>
      </c>
      <c r="AP33" s="18">
        <v>86.4</v>
      </c>
      <c r="AQ33" s="18">
        <v>39.4</v>
      </c>
      <c r="AR33" s="18">
        <v>46.5</v>
      </c>
      <c r="AS33" s="18">
        <v>20.5</v>
      </c>
      <c r="AT33" t="s">
        <v>147</v>
      </c>
      <c r="AU33" t="s">
        <v>147</v>
      </c>
    </row>
    <row r="34" spans="1:47" ht="51" x14ac:dyDescent="0.2">
      <c r="A34">
        <v>33</v>
      </c>
      <c r="B34" s="18">
        <v>162</v>
      </c>
      <c r="C34">
        <v>23.33</v>
      </c>
      <c r="D34" s="65" t="s">
        <v>148</v>
      </c>
      <c r="E34" s="53" t="s">
        <v>229</v>
      </c>
      <c r="F34" s="18" t="s">
        <v>74</v>
      </c>
      <c r="G34" s="18" t="s">
        <v>74</v>
      </c>
      <c r="I34" s="63">
        <v>44941</v>
      </c>
      <c r="J34" s="18" t="s">
        <v>142</v>
      </c>
      <c r="K34" s="18" t="s">
        <v>166</v>
      </c>
      <c r="L34" s="53">
        <v>199.2</v>
      </c>
      <c r="M34" s="18"/>
      <c r="N34" s="18">
        <v>198.3</v>
      </c>
      <c r="O34" s="18">
        <v>169.35</v>
      </c>
      <c r="P34" s="18">
        <v>180.47</v>
      </c>
      <c r="Q34" s="18">
        <v>39.14</v>
      </c>
      <c r="R34" s="18">
        <v>24.31</v>
      </c>
      <c r="S34" s="18">
        <v>113.06</v>
      </c>
      <c r="T34" s="18">
        <v>93.47</v>
      </c>
      <c r="U34" s="18">
        <v>59.81</v>
      </c>
      <c r="V34" s="18">
        <v>46.73</v>
      </c>
      <c r="W34" s="18">
        <v>70.38</v>
      </c>
      <c r="X34" s="18">
        <v>83.87</v>
      </c>
      <c r="Y34" s="18">
        <v>36.53</v>
      </c>
      <c r="Z34" s="18">
        <v>93.97</v>
      </c>
      <c r="AA34" s="18">
        <v>71.260000000000005</v>
      </c>
      <c r="AB34" s="18">
        <v>75.760000000000005</v>
      </c>
      <c r="AC34" s="18">
        <v>20.85</v>
      </c>
      <c r="AD34" s="18">
        <v>47.46</v>
      </c>
      <c r="AE34" s="18">
        <v>32.79</v>
      </c>
      <c r="AF34" s="18">
        <v>37.78</v>
      </c>
      <c r="AG34" s="18">
        <v>29.04</v>
      </c>
      <c r="AH34" s="18">
        <v>38.200000000000003</v>
      </c>
      <c r="AI34" s="18">
        <v>1.5589999999999999</v>
      </c>
      <c r="AJ34" s="18"/>
      <c r="AK34" s="18"/>
      <c r="AL34" s="18">
        <v>12</v>
      </c>
      <c r="AM34" s="18"/>
      <c r="AN34" s="18"/>
      <c r="AO34" s="18">
        <v>9.1</v>
      </c>
      <c r="AP34" s="18">
        <v>68.400000000000006</v>
      </c>
      <c r="AQ34" s="18">
        <v>65.3</v>
      </c>
      <c r="AR34" s="18">
        <v>41.4</v>
      </c>
      <c r="AS34" s="18">
        <v>18</v>
      </c>
      <c r="AT34" t="s">
        <v>147</v>
      </c>
      <c r="AU34" t="s">
        <v>147</v>
      </c>
    </row>
    <row r="35" spans="1:47" ht="51" x14ac:dyDescent="0.2">
      <c r="A35">
        <v>34</v>
      </c>
      <c r="B35" s="18">
        <v>157</v>
      </c>
      <c r="C35" s="18">
        <v>23.34</v>
      </c>
      <c r="D35" s="65" t="s">
        <v>148</v>
      </c>
      <c r="E35" s="53" t="s">
        <v>229</v>
      </c>
      <c r="F35" s="18" t="s">
        <v>74</v>
      </c>
      <c r="G35" s="18" t="s">
        <v>74</v>
      </c>
      <c r="I35" s="63">
        <v>44943</v>
      </c>
      <c r="J35" s="18" t="s">
        <v>142</v>
      </c>
      <c r="K35" s="18" t="s">
        <v>166</v>
      </c>
      <c r="L35" s="53">
        <v>222.4</v>
      </c>
      <c r="M35" s="18"/>
      <c r="N35" s="18">
        <v>219.1</v>
      </c>
      <c r="O35" s="18">
        <v>175.16</v>
      </c>
      <c r="P35" s="18">
        <v>179.24</v>
      </c>
      <c r="Q35" s="18">
        <v>40.53</v>
      </c>
      <c r="R35" s="18">
        <v>22.59</v>
      </c>
      <c r="S35" s="18">
        <v>114.82</v>
      </c>
      <c r="T35" s="18">
        <v>94.2</v>
      </c>
      <c r="U35" s="18">
        <v>58.62</v>
      </c>
      <c r="V35" s="18">
        <v>45.3</v>
      </c>
      <c r="W35" s="18">
        <v>65.09</v>
      </c>
      <c r="X35" s="18">
        <v>82</v>
      </c>
      <c r="Y35" s="18">
        <v>36.89</v>
      </c>
      <c r="Z35" s="18">
        <v>94.96</v>
      </c>
      <c r="AA35" s="18">
        <v>74.7</v>
      </c>
      <c r="AB35" s="18">
        <v>76.53</v>
      </c>
      <c r="AC35" s="18">
        <v>12.81</v>
      </c>
      <c r="AD35" s="18">
        <v>50.49</v>
      </c>
      <c r="AE35" s="18">
        <v>40.11</v>
      </c>
      <c r="AF35" s="18">
        <v>36.630000000000003</v>
      </c>
      <c r="AG35" s="18">
        <v>39.130000000000003</v>
      </c>
      <c r="AH35" s="18">
        <v>39.33</v>
      </c>
      <c r="AI35" s="18">
        <v>1.724</v>
      </c>
      <c r="AJ35" s="18"/>
      <c r="AK35" s="18"/>
      <c r="AL35" s="18">
        <v>8.5</v>
      </c>
      <c r="AM35" s="18"/>
      <c r="AN35" s="18"/>
      <c r="AO35" s="18">
        <v>9.3000000000000007</v>
      </c>
      <c r="AP35" s="18">
        <v>95.3</v>
      </c>
      <c r="AQ35" s="18">
        <v>53.4</v>
      </c>
      <c r="AR35" s="18">
        <v>50.7</v>
      </c>
      <c r="AS35" s="18">
        <v>22.2</v>
      </c>
      <c r="AT35" t="s">
        <v>147</v>
      </c>
      <c r="AU35" t="s">
        <v>147</v>
      </c>
    </row>
    <row r="36" spans="1:47" ht="51" x14ac:dyDescent="0.2">
      <c r="A36">
        <v>35</v>
      </c>
      <c r="B36" s="18">
        <v>154</v>
      </c>
      <c r="C36">
        <v>23.35</v>
      </c>
      <c r="D36" s="65" t="s">
        <v>148</v>
      </c>
      <c r="E36" s="53" t="s">
        <v>229</v>
      </c>
      <c r="F36" s="18" t="s">
        <v>74</v>
      </c>
      <c r="G36" s="18" t="s">
        <v>74</v>
      </c>
      <c r="I36" s="63">
        <v>44943</v>
      </c>
      <c r="J36" s="18" t="s">
        <v>142</v>
      </c>
      <c r="K36" s="18" t="s">
        <v>166</v>
      </c>
      <c r="L36" s="53">
        <v>215</v>
      </c>
      <c r="M36" s="18"/>
      <c r="N36" s="18">
        <v>212.7</v>
      </c>
      <c r="O36" s="18">
        <v>173.38</v>
      </c>
      <c r="P36" s="18">
        <v>179.72</v>
      </c>
      <c r="Q36" s="18">
        <v>42.58</v>
      </c>
      <c r="R36" s="18">
        <v>25.22</v>
      </c>
      <c r="S36" s="18">
        <v>112.12</v>
      </c>
      <c r="T36" s="18">
        <v>91.86</v>
      </c>
      <c r="U36" s="18">
        <v>63.97</v>
      </c>
      <c r="V36" s="18">
        <v>46.46</v>
      </c>
      <c r="W36" s="18">
        <v>70.94</v>
      </c>
      <c r="X36" s="18">
        <v>84.86</v>
      </c>
      <c r="Y36" s="18">
        <v>41.61</v>
      </c>
      <c r="Z36" s="18">
        <v>96.51</v>
      </c>
      <c r="AA36" s="18">
        <v>76.31</v>
      </c>
      <c r="AB36" s="18">
        <v>80.87</v>
      </c>
      <c r="AC36" s="18">
        <v>18.100000000000001</v>
      </c>
      <c r="AD36" s="18">
        <v>48.84</v>
      </c>
      <c r="AE36" s="18">
        <v>41.47</v>
      </c>
      <c r="AF36" s="18">
        <v>35.11</v>
      </c>
      <c r="AG36" s="18">
        <v>37.520000000000003</v>
      </c>
      <c r="AH36" s="18">
        <v>39</v>
      </c>
      <c r="AI36" s="18">
        <v>1.649</v>
      </c>
      <c r="AJ36" s="18"/>
      <c r="AK36" s="18"/>
      <c r="AL36" s="18">
        <v>8</v>
      </c>
      <c r="AM36" s="18"/>
      <c r="AN36" s="18"/>
      <c r="AO36" s="18">
        <v>9.1</v>
      </c>
      <c r="AP36" s="18">
        <v>96.2</v>
      </c>
      <c r="AQ36" s="18">
        <v>46.5</v>
      </c>
      <c r="AR36" s="18">
        <v>51.2</v>
      </c>
      <c r="AS36" s="18">
        <v>22.4</v>
      </c>
      <c r="AT36" t="s">
        <v>147</v>
      </c>
      <c r="AU36" t="s">
        <v>147</v>
      </c>
    </row>
    <row r="37" spans="1:47" ht="17" x14ac:dyDescent="0.2">
      <c r="A37">
        <v>36</v>
      </c>
      <c r="B37">
        <v>35</v>
      </c>
      <c r="C37" s="18">
        <v>23.36</v>
      </c>
      <c r="D37" s="31" t="s">
        <v>140</v>
      </c>
      <c r="E37" s="28" t="s">
        <v>141</v>
      </c>
      <c r="F37" s="176" t="s">
        <v>60</v>
      </c>
      <c r="H37" s="176" t="s">
        <v>60</v>
      </c>
      <c r="I37" s="56">
        <v>44964</v>
      </c>
      <c r="J37" s="28" t="s">
        <v>142</v>
      </c>
      <c r="K37" s="28" t="s">
        <v>203</v>
      </c>
      <c r="L37">
        <v>202.1</v>
      </c>
      <c r="M37" s="56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L37" s="102"/>
    </row>
    <row r="38" spans="1:47" ht="17" x14ac:dyDescent="0.2">
      <c r="A38">
        <v>37</v>
      </c>
      <c r="B38">
        <v>37</v>
      </c>
      <c r="C38">
        <v>23.37</v>
      </c>
      <c r="D38" s="31" t="s">
        <v>140</v>
      </c>
      <c r="E38" s="28" t="s">
        <v>141</v>
      </c>
      <c r="F38" s="176" t="s">
        <v>62</v>
      </c>
      <c r="H38" s="176" t="s">
        <v>62</v>
      </c>
      <c r="I38" s="56">
        <v>44965</v>
      </c>
      <c r="J38" s="28" t="s">
        <v>142</v>
      </c>
      <c r="K38" s="28" t="s">
        <v>203</v>
      </c>
      <c r="L38">
        <v>248.3</v>
      </c>
      <c r="M38" s="56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L38" s="102"/>
    </row>
    <row r="39" spans="1:47" ht="17" x14ac:dyDescent="0.2">
      <c r="A39">
        <v>38</v>
      </c>
      <c r="B39">
        <v>48</v>
      </c>
      <c r="C39" s="18">
        <v>23.38</v>
      </c>
      <c r="D39" s="31" t="s">
        <v>140</v>
      </c>
      <c r="E39" s="28" t="s">
        <v>141</v>
      </c>
      <c r="F39" s="176" t="s">
        <v>62</v>
      </c>
      <c r="H39" s="176" t="s">
        <v>62</v>
      </c>
      <c r="I39" s="56">
        <v>44965</v>
      </c>
      <c r="J39" s="28" t="s">
        <v>142</v>
      </c>
      <c r="K39" s="28" t="s">
        <v>203</v>
      </c>
      <c r="L39">
        <v>205.2</v>
      </c>
      <c r="M39" s="56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L39" s="102"/>
    </row>
    <row r="40" spans="1:47" ht="17" x14ac:dyDescent="0.2">
      <c r="A40">
        <v>39</v>
      </c>
      <c r="B40">
        <v>39</v>
      </c>
      <c r="C40">
        <v>23.39</v>
      </c>
      <c r="D40" s="31" t="s">
        <v>140</v>
      </c>
      <c r="E40" s="28" t="s">
        <v>141</v>
      </c>
      <c r="F40" s="176" t="s">
        <v>62</v>
      </c>
      <c r="H40" s="176" t="s">
        <v>62</v>
      </c>
      <c r="I40" s="56">
        <v>44965</v>
      </c>
      <c r="J40" s="28" t="s">
        <v>142</v>
      </c>
      <c r="K40" s="28" t="s">
        <v>203</v>
      </c>
      <c r="L40">
        <v>245.5</v>
      </c>
      <c r="M40" s="56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L40" s="102"/>
    </row>
    <row r="41" spans="1:47" ht="17" x14ac:dyDescent="0.2">
      <c r="A41">
        <v>40</v>
      </c>
      <c r="B41">
        <v>40</v>
      </c>
      <c r="C41" s="27" t="s">
        <v>828</v>
      </c>
      <c r="D41" s="31" t="s">
        <v>140</v>
      </c>
      <c r="E41" s="28" t="s">
        <v>141</v>
      </c>
      <c r="F41" s="176" t="s">
        <v>61</v>
      </c>
      <c r="H41" s="176" t="s">
        <v>61</v>
      </c>
      <c r="I41" s="56">
        <v>44965</v>
      </c>
      <c r="J41" s="28" t="s">
        <v>142</v>
      </c>
      <c r="K41" s="28" t="s">
        <v>203</v>
      </c>
      <c r="L41">
        <v>197.1</v>
      </c>
      <c r="M41" s="56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L41" s="102"/>
    </row>
    <row r="42" spans="1:47" ht="17" x14ac:dyDescent="0.2">
      <c r="A42">
        <v>41</v>
      </c>
      <c r="B42">
        <v>41</v>
      </c>
      <c r="C42">
        <v>23.41</v>
      </c>
      <c r="D42" s="31" t="s">
        <v>140</v>
      </c>
      <c r="E42" s="28" t="s">
        <v>141</v>
      </c>
      <c r="F42" s="176" t="s">
        <v>61</v>
      </c>
      <c r="H42" s="176" t="s">
        <v>61</v>
      </c>
      <c r="I42" s="56">
        <v>44965</v>
      </c>
      <c r="J42" s="28" t="s">
        <v>142</v>
      </c>
      <c r="K42" s="28" t="s">
        <v>203</v>
      </c>
      <c r="L42">
        <v>188.9</v>
      </c>
      <c r="M42" s="56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L42" s="102"/>
    </row>
    <row r="43" spans="1:47" ht="17" x14ac:dyDescent="0.2">
      <c r="A43">
        <v>42</v>
      </c>
      <c r="B43">
        <v>36</v>
      </c>
      <c r="C43" s="18">
        <v>23.42</v>
      </c>
      <c r="D43" s="31" t="s">
        <v>140</v>
      </c>
      <c r="E43" s="28" t="s">
        <v>141</v>
      </c>
      <c r="F43" s="176" t="s">
        <v>60</v>
      </c>
      <c r="H43" s="176" t="s">
        <v>60</v>
      </c>
      <c r="I43" s="56">
        <v>44965</v>
      </c>
      <c r="J43" s="28" t="s">
        <v>142</v>
      </c>
      <c r="K43" s="28" t="s">
        <v>203</v>
      </c>
      <c r="L43">
        <v>210.4</v>
      </c>
      <c r="M43" s="56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L43" s="102"/>
    </row>
    <row r="44" spans="1:47" ht="17" x14ac:dyDescent="0.2">
      <c r="A44">
        <v>43</v>
      </c>
      <c r="B44">
        <v>48</v>
      </c>
      <c r="C44">
        <v>23.43</v>
      </c>
      <c r="D44" s="31" t="s">
        <v>140</v>
      </c>
      <c r="E44" s="28" t="s">
        <v>141</v>
      </c>
      <c r="F44" s="176" t="s">
        <v>60</v>
      </c>
      <c r="H44" s="176" t="s">
        <v>60</v>
      </c>
      <c r="I44" s="56">
        <v>44966</v>
      </c>
      <c r="J44" s="28" t="s">
        <v>142</v>
      </c>
      <c r="K44" s="28" t="s">
        <v>203</v>
      </c>
      <c r="L44">
        <v>207.8</v>
      </c>
      <c r="M44" s="56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L44" s="102"/>
    </row>
    <row r="45" spans="1:47" x14ac:dyDescent="0.2">
      <c r="A45">
        <v>44</v>
      </c>
      <c r="B45">
        <v>7</v>
      </c>
      <c r="C45">
        <v>23.44</v>
      </c>
      <c r="D45" s="177" t="s">
        <v>140</v>
      </c>
      <c r="E45" t="s">
        <v>141</v>
      </c>
      <c r="F45" t="s">
        <v>61</v>
      </c>
      <c r="H45" t="s">
        <v>61</v>
      </c>
      <c r="I45" s="56">
        <v>44938</v>
      </c>
      <c r="J45" t="s">
        <v>142</v>
      </c>
      <c r="K45" t="s">
        <v>204</v>
      </c>
      <c r="M45">
        <v>233.2</v>
      </c>
      <c r="N45">
        <v>238.8</v>
      </c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>
        <v>1.1830000000000001</v>
      </c>
      <c r="AJ45">
        <v>38</v>
      </c>
      <c r="AK45" t="s">
        <v>172</v>
      </c>
      <c r="AN45">
        <v>80</v>
      </c>
    </row>
    <row r="46" spans="1:47" x14ac:dyDescent="0.2">
      <c r="A46">
        <v>45</v>
      </c>
      <c r="B46">
        <v>8</v>
      </c>
      <c r="C46">
        <v>23.45</v>
      </c>
      <c r="D46" s="177" t="s">
        <v>140</v>
      </c>
      <c r="E46" t="s">
        <v>141</v>
      </c>
      <c r="F46" t="s">
        <v>61</v>
      </c>
      <c r="H46" t="s">
        <v>61</v>
      </c>
      <c r="I46" s="56">
        <v>44938</v>
      </c>
      <c r="J46" t="s">
        <v>142</v>
      </c>
      <c r="K46" t="s">
        <v>204</v>
      </c>
      <c r="M46">
        <v>244.7</v>
      </c>
      <c r="N46">
        <v>249.9</v>
      </c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>
        <v>1.1359999999999999</v>
      </c>
      <c r="AJ46">
        <v>44.8</v>
      </c>
      <c r="AK46" t="s">
        <v>172</v>
      </c>
      <c r="AN46">
        <v>99</v>
      </c>
    </row>
    <row r="47" spans="1:47" x14ac:dyDescent="0.2">
      <c r="A47">
        <v>46</v>
      </c>
      <c r="B47">
        <v>9</v>
      </c>
      <c r="C47">
        <v>23.46</v>
      </c>
      <c r="D47" s="177" t="s">
        <v>140</v>
      </c>
      <c r="E47" t="s">
        <v>141</v>
      </c>
      <c r="F47" t="s">
        <v>61</v>
      </c>
      <c r="H47" t="s">
        <v>61</v>
      </c>
      <c r="I47" s="56">
        <v>44938</v>
      </c>
      <c r="J47" t="s">
        <v>142</v>
      </c>
      <c r="K47" t="s">
        <v>204</v>
      </c>
      <c r="M47">
        <v>235</v>
      </c>
      <c r="N47">
        <v>244.3</v>
      </c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>
        <v>1.169</v>
      </c>
      <c r="AJ47">
        <v>40.700000000000003</v>
      </c>
      <c r="AK47" t="s">
        <v>173</v>
      </c>
      <c r="AL47">
        <v>18</v>
      </c>
      <c r="AM47">
        <v>62</v>
      </c>
    </row>
    <row r="48" spans="1:47" x14ac:dyDescent="0.2">
      <c r="A48">
        <v>47</v>
      </c>
      <c r="B48">
        <v>10</v>
      </c>
      <c r="C48">
        <v>23.47</v>
      </c>
      <c r="D48" s="177" t="s">
        <v>140</v>
      </c>
      <c r="E48" t="s">
        <v>141</v>
      </c>
      <c r="F48" t="s">
        <v>61</v>
      </c>
      <c r="H48" t="s">
        <v>61</v>
      </c>
      <c r="I48" s="56">
        <v>44938</v>
      </c>
      <c r="J48" t="s">
        <v>142</v>
      </c>
      <c r="K48" t="s">
        <v>204</v>
      </c>
      <c r="M48">
        <v>229.4</v>
      </c>
      <c r="N48">
        <v>234</v>
      </c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>
        <v>1.226</v>
      </c>
      <c r="AJ48">
        <v>41.3</v>
      </c>
      <c r="AK48" t="s">
        <v>172</v>
      </c>
      <c r="AN48">
        <v>79</v>
      </c>
    </row>
    <row r="49" spans="1:47" x14ac:dyDescent="0.2">
      <c r="A49">
        <v>48</v>
      </c>
      <c r="B49">
        <v>11</v>
      </c>
      <c r="C49">
        <v>23.48</v>
      </c>
      <c r="D49" s="177" t="s">
        <v>140</v>
      </c>
      <c r="E49" t="s">
        <v>141</v>
      </c>
      <c r="F49" t="s">
        <v>61</v>
      </c>
      <c r="H49" t="s">
        <v>61</v>
      </c>
      <c r="I49" s="56">
        <v>44938</v>
      </c>
      <c r="J49" t="s">
        <v>142</v>
      </c>
      <c r="K49" t="s">
        <v>204</v>
      </c>
      <c r="M49">
        <v>230.6</v>
      </c>
      <c r="N49">
        <v>236.1</v>
      </c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>
        <v>1.196</v>
      </c>
      <c r="AJ49">
        <v>47.2</v>
      </c>
      <c r="AK49" t="s">
        <v>173</v>
      </c>
      <c r="AN49">
        <v>85</v>
      </c>
    </row>
    <row r="50" spans="1:47" x14ac:dyDescent="0.2">
      <c r="A50">
        <v>49</v>
      </c>
      <c r="B50">
        <v>21</v>
      </c>
      <c r="C50">
        <v>23.49</v>
      </c>
      <c r="D50" s="177" t="s">
        <v>140</v>
      </c>
      <c r="E50" t="s">
        <v>141</v>
      </c>
      <c r="F50" t="s">
        <v>62</v>
      </c>
      <c r="H50" t="s">
        <v>62</v>
      </c>
      <c r="I50" s="56">
        <v>44941</v>
      </c>
      <c r="J50" t="s">
        <v>142</v>
      </c>
      <c r="K50" t="s">
        <v>204</v>
      </c>
      <c r="M50">
        <v>272</v>
      </c>
      <c r="N50">
        <v>278.2</v>
      </c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>
        <v>1.4239999999999999</v>
      </c>
      <c r="AJ50">
        <v>54.4</v>
      </c>
      <c r="AK50" t="s">
        <v>172</v>
      </c>
      <c r="AN50">
        <v>98</v>
      </c>
    </row>
    <row r="51" spans="1:47" x14ac:dyDescent="0.2">
      <c r="A51">
        <v>50</v>
      </c>
      <c r="B51" s="77">
        <v>565</v>
      </c>
      <c r="C51" s="5" t="s">
        <v>829</v>
      </c>
      <c r="D51" s="78" t="s">
        <v>168</v>
      </c>
      <c r="E51" s="17" t="s">
        <v>169</v>
      </c>
      <c r="F51" s="3" t="s">
        <v>170</v>
      </c>
      <c r="I51" s="68">
        <v>44934</v>
      </c>
      <c r="J51" t="s">
        <v>142</v>
      </c>
      <c r="K51" t="s">
        <v>203</v>
      </c>
    </row>
    <row r="52" spans="1:47" x14ac:dyDescent="0.2">
      <c r="A52">
        <v>51</v>
      </c>
      <c r="B52" s="77">
        <v>575</v>
      </c>
      <c r="C52">
        <v>23.51</v>
      </c>
      <c r="D52" s="78" t="s">
        <v>168</v>
      </c>
      <c r="E52" s="17" t="s">
        <v>169</v>
      </c>
      <c r="F52" s="3" t="s">
        <v>170</v>
      </c>
      <c r="H52" s="3" t="s">
        <v>30</v>
      </c>
      <c r="I52" s="68">
        <v>44953</v>
      </c>
      <c r="J52" t="s">
        <v>142</v>
      </c>
      <c r="K52" t="s">
        <v>203</v>
      </c>
    </row>
    <row r="53" spans="1:47" x14ac:dyDescent="0.2">
      <c r="A53">
        <v>52</v>
      </c>
      <c r="B53" s="77">
        <v>576</v>
      </c>
      <c r="C53">
        <v>23.52</v>
      </c>
      <c r="D53" s="78" t="s">
        <v>168</v>
      </c>
      <c r="E53" s="17" t="s">
        <v>169</v>
      </c>
      <c r="F53" s="3" t="s">
        <v>170</v>
      </c>
      <c r="H53" s="3" t="s">
        <v>30</v>
      </c>
      <c r="I53" s="68">
        <v>44960</v>
      </c>
      <c r="J53" t="s">
        <v>142</v>
      </c>
      <c r="K53" t="s">
        <v>203</v>
      </c>
    </row>
    <row r="54" spans="1:47" x14ac:dyDescent="0.2">
      <c r="A54">
        <v>53</v>
      </c>
      <c r="B54" s="77">
        <v>577</v>
      </c>
      <c r="C54">
        <v>23.53</v>
      </c>
      <c r="D54" s="78" t="s">
        <v>168</v>
      </c>
      <c r="E54" s="17" t="s">
        <v>169</v>
      </c>
      <c r="F54" s="3" t="s">
        <v>170</v>
      </c>
      <c r="H54" s="3" t="s">
        <v>30</v>
      </c>
      <c r="I54" s="68">
        <v>44960</v>
      </c>
      <c r="J54" t="s">
        <v>142</v>
      </c>
      <c r="K54" t="s">
        <v>203</v>
      </c>
    </row>
    <row r="55" spans="1:47" x14ac:dyDescent="0.2">
      <c r="A55">
        <v>54</v>
      </c>
      <c r="B55" s="77">
        <v>578</v>
      </c>
      <c r="C55">
        <v>23.54</v>
      </c>
      <c r="D55" s="78" t="s">
        <v>168</v>
      </c>
      <c r="E55" s="17" t="s">
        <v>169</v>
      </c>
      <c r="F55" s="3" t="s">
        <v>170</v>
      </c>
      <c r="H55" s="3" t="s">
        <v>30</v>
      </c>
      <c r="I55" s="68">
        <v>44960</v>
      </c>
      <c r="J55" t="s">
        <v>142</v>
      </c>
      <c r="K55" t="s">
        <v>203</v>
      </c>
    </row>
    <row r="56" spans="1:47" x14ac:dyDescent="0.2">
      <c r="A56">
        <v>55</v>
      </c>
      <c r="B56" s="77">
        <v>579</v>
      </c>
      <c r="C56">
        <v>23.55</v>
      </c>
      <c r="D56" s="78" t="s">
        <v>168</v>
      </c>
      <c r="E56" s="17" t="s">
        <v>169</v>
      </c>
      <c r="F56" s="3" t="s">
        <v>170</v>
      </c>
      <c r="H56" s="3" t="s">
        <v>30</v>
      </c>
      <c r="I56" s="68">
        <v>44960</v>
      </c>
      <c r="J56" t="s">
        <v>142</v>
      </c>
      <c r="K56" t="s">
        <v>203</v>
      </c>
    </row>
    <row r="57" spans="1:47" x14ac:dyDescent="0.2">
      <c r="A57">
        <v>56</v>
      </c>
      <c r="B57" s="77">
        <v>580</v>
      </c>
      <c r="C57">
        <v>23.56</v>
      </c>
      <c r="D57" s="78" t="s">
        <v>168</v>
      </c>
      <c r="E57" s="17" t="s">
        <v>169</v>
      </c>
      <c r="F57" s="3" t="s">
        <v>170</v>
      </c>
      <c r="H57" s="3" t="s">
        <v>30</v>
      </c>
      <c r="I57" s="68">
        <v>44955</v>
      </c>
      <c r="J57" t="s">
        <v>142</v>
      </c>
      <c r="K57" t="s">
        <v>203</v>
      </c>
    </row>
    <row r="58" spans="1:47" ht="17" x14ac:dyDescent="0.2">
      <c r="A58">
        <v>57</v>
      </c>
      <c r="B58" s="77">
        <v>581</v>
      </c>
      <c r="C58">
        <v>23.57</v>
      </c>
      <c r="D58" s="78" t="s">
        <v>168</v>
      </c>
      <c r="E58" s="17" t="s">
        <v>232</v>
      </c>
      <c r="F58" s="59" t="s">
        <v>31</v>
      </c>
      <c r="G58" s="59" t="s">
        <v>31</v>
      </c>
      <c r="I58" s="68">
        <v>44955</v>
      </c>
      <c r="J58" t="s">
        <v>142</v>
      </c>
      <c r="K58" t="s">
        <v>203</v>
      </c>
    </row>
    <row r="59" spans="1:47" ht="17" x14ac:dyDescent="0.2">
      <c r="A59">
        <v>58</v>
      </c>
      <c r="B59" s="77">
        <v>587</v>
      </c>
      <c r="C59">
        <v>23.58</v>
      </c>
      <c r="D59" s="78" t="s">
        <v>168</v>
      </c>
      <c r="E59" s="17" t="s">
        <v>232</v>
      </c>
      <c r="F59" s="59" t="s">
        <v>31</v>
      </c>
      <c r="G59" s="59" t="s">
        <v>31</v>
      </c>
      <c r="I59" s="68">
        <v>44955</v>
      </c>
      <c r="J59" t="s">
        <v>142</v>
      </c>
      <c r="K59" t="s">
        <v>203</v>
      </c>
    </row>
    <row r="60" spans="1:47" x14ac:dyDescent="0.2">
      <c r="A60">
        <v>59</v>
      </c>
      <c r="B60" s="77">
        <v>560</v>
      </c>
      <c r="C60">
        <v>23.59</v>
      </c>
      <c r="D60" s="78" t="s">
        <v>168</v>
      </c>
      <c r="E60" s="17" t="s">
        <v>169</v>
      </c>
      <c r="F60" s="3" t="s">
        <v>170</v>
      </c>
      <c r="I60" s="68">
        <v>44932</v>
      </c>
      <c r="J60" t="s">
        <v>142</v>
      </c>
      <c r="K60" s="123" t="s">
        <v>204</v>
      </c>
      <c r="N60">
        <v>309.60000000000002</v>
      </c>
      <c r="O60" s="102"/>
      <c r="P60" s="102"/>
      <c r="Q60" s="102"/>
      <c r="R60" s="102"/>
      <c r="S60" s="102"/>
      <c r="T60" s="102"/>
      <c r="U60" s="102"/>
      <c r="V60" s="102"/>
      <c r="W60" s="102"/>
      <c r="X60">
        <v>97.87</v>
      </c>
      <c r="Y60" s="102"/>
      <c r="Z60">
        <v>106.73</v>
      </c>
      <c r="AA60" s="102"/>
      <c r="AB60" s="102"/>
      <c r="AC60" s="102"/>
      <c r="AD60" s="102"/>
      <c r="AE60" s="102"/>
      <c r="AF60" s="102"/>
      <c r="AG60" s="102"/>
      <c r="AH60" s="102"/>
      <c r="AI60">
        <v>1.0009999999999999</v>
      </c>
      <c r="AJ60">
        <v>55.6</v>
      </c>
      <c r="AK60" t="s">
        <v>172</v>
      </c>
      <c r="AN60">
        <v>133</v>
      </c>
      <c r="AO60" s="102"/>
      <c r="AP60" s="102"/>
      <c r="AQ60" s="102"/>
      <c r="AR60" s="102"/>
      <c r="AS60" s="102"/>
      <c r="AT60" t="s">
        <v>146</v>
      </c>
      <c r="AU60" t="s">
        <v>146</v>
      </c>
    </row>
    <row r="61" spans="1:47" x14ac:dyDescent="0.2">
      <c r="A61">
        <v>60</v>
      </c>
      <c r="B61" s="77">
        <v>561</v>
      </c>
      <c r="C61" s="5" t="s">
        <v>830</v>
      </c>
      <c r="D61" s="78" t="s">
        <v>168</v>
      </c>
      <c r="E61" s="17" t="s">
        <v>169</v>
      </c>
      <c r="F61" s="3" t="s">
        <v>170</v>
      </c>
      <c r="J61" t="s">
        <v>142</v>
      </c>
      <c r="K61" s="123" t="s">
        <v>204</v>
      </c>
      <c r="N61">
        <v>317.3</v>
      </c>
      <c r="O61" s="102"/>
      <c r="P61" s="102"/>
      <c r="Q61" s="102"/>
      <c r="R61" s="102"/>
      <c r="S61" s="102"/>
      <c r="T61" s="102"/>
      <c r="U61" s="102"/>
      <c r="V61" s="102"/>
      <c r="W61" s="102"/>
      <c r="X61">
        <v>104.46</v>
      </c>
      <c r="Y61" s="102"/>
      <c r="Z61">
        <v>109.4</v>
      </c>
      <c r="AA61" s="102"/>
      <c r="AB61" s="102"/>
      <c r="AC61" s="102"/>
      <c r="AD61" s="102"/>
      <c r="AE61" s="102"/>
      <c r="AF61" s="102"/>
      <c r="AG61" s="102"/>
      <c r="AH61" s="102"/>
      <c r="AI61">
        <v>1.034</v>
      </c>
      <c r="AJ61">
        <v>60.8</v>
      </c>
      <c r="AK61" t="s">
        <v>172</v>
      </c>
      <c r="AN61">
        <v>150</v>
      </c>
      <c r="AO61" s="102"/>
      <c r="AP61" s="102"/>
      <c r="AQ61" s="102"/>
      <c r="AR61" s="102"/>
      <c r="AS61" s="102"/>
      <c r="AT61" t="s">
        <v>146</v>
      </c>
      <c r="AU61" t="s">
        <v>146</v>
      </c>
    </row>
    <row r="62" spans="1:47" x14ac:dyDescent="0.2">
      <c r="A62">
        <v>61</v>
      </c>
      <c r="B62" s="77">
        <v>49</v>
      </c>
      <c r="C62" t="s">
        <v>831</v>
      </c>
      <c r="D62" s="177" t="s">
        <v>140</v>
      </c>
      <c r="E62" t="s">
        <v>141</v>
      </c>
      <c r="F62" t="s">
        <v>62</v>
      </c>
      <c r="H62" t="s">
        <v>62</v>
      </c>
      <c r="I62" s="56">
        <v>44975</v>
      </c>
      <c r="J62" t="s">
        <v>142</v>
      </c>
      <c r="K62" t="s">
        <v>203</v>
      </c>
      <c r="L62">
        <v>201.6</v>
      </c>
    </row>
    <row r="63" spans="1:47" x14ac:dyDescent="0.2">
      <c r="A63">
        <v>62</v>
      </c>
      <c r="B63" s="77">
        <v>50</v>
      </c>
      <c r="C63" t="s">
        <v>831</v>
      </c>
      <c r="D63" s="177" t="s">
        <v>140</v>
      </c>
      <c r="E63" t="s">
        <v>141</v>
      </c>
      <c r="F63" t="s">
        <v>62</v>
      </c>
      <c r="H63" t="s">
        <v>62</v>
      </c>
      <c r="I63" s="56">
        <v>40959</v>
      </c>
      <c r="J63" t="s">
        <v>142</v>
      </c>
      <c r="K63" t="s">
        <v>203</v>
      </c>
      <c r="L63">
        <v>208.9</v>
      </c>
    </row>
    <row r="64" spans="1:47" ht="17" x14ac:dyDescent="0.2">
      <c r="A64">
        <v>63</v>
      </c>
      <c r="B64" s="77">
        <v>572</v>
      </c>
      <c r="C64" s="5">
        <v>23.61</v>
      </c>
      <c r="D64" s="78" t="s">
        <v>168</v>
      </c>
      <c r="E64" s="3" t="s">
        <v>232</v>
      </c>
      <c r="F64" s="59" t="s">
        <v>31</v>
      </c>
      <c r="H64" s="59" t="s">
        <v>31</v>
      </c>
      <c r="I64" s="68">
        <v>44938</v>
      </c>
      <c r="J64" t="s">
        <v>142</v>
      </c>
      <c r="K64" s="123" t="s">
        <v>204</v>
      </c>
      <c r="N64">
        <v>187.1</v>
      </c>
      <c r="O64" s="102"/>
      <c r="P64" s="102"/>
      <c r="Q64" s="102"/>
      <c r="R64" s="102"/>
      <c r="S64" s="102"/>
      <c r="T64" s="102"/>
      <c r="U64" s="102"/>
      <c r="V64" s="102"/>
      <c r="W64" s="102"/>
      <c r="X64">
        <v>83.61</v>
      </c>
      <c r="Y64" s="102"/>
      <c r="Z64">
        <v>90.54</v>
      </c>
      <c r="AA64" s="102"/>
      <c r="AB64" s="102"/>
      <c r="AC64" s="102"/>
      <c r="AD64" s="102"/>
      <c r="AE64" s="102"/>
      <c r="AF64" s="102"/>
      <c r="AG64" s="102"/>
      <c r="AH64" s="102"/>
      <c r="AI64">
        <v>0.96499999999999997</v>
      </c>
      <c r="AJ64">
        <v>27.4</v>
      </c>
      <c r="AK64" t="s">
        <v>173</v>
      </c>
      <c r="AQ64">
        <v>53</v>
      </c>
      <c r="AT64" t="s">
        <v>146</v>
      </c>
      <c r="AU64" t="s">
        <v>146</v>
      </c>
    </row>
    <row r="65" spans="1:47" x14ac:dyDescent="0.2">
      <c r="A65">
        <v>64</v>
      </c>
      <c r="B65" s="77">
        <v>564</v>
      </c>
      <c r="C65" s="5">
        <v>23.62</v>
      </c>
      <c r="D65" s="78" t="s">
        <v>168</v>
      </c>
      <c r="E65" s="3" t="s">
        <v>169</v>
      </c>
      <c r="F65" s="3" t="s">
        <v>170</v>
      </c>
      <c r="I65" s="56">
        <v>44934</v>
      </c>
      <c r="J65" t="s">
        <v>142</v>
      </c>
      <c r="K65" s="123" t="s">
        <v>204</v>
      </c>
      <c r="N65">
        <v>309.7</v>
      </c>
      <c r="O65" s="102"/>
      <c r="P65" s="102"/>
      <c r="Q65" s="102"/>
      <c r="R65" s="102"/>
      <c r="S65" s="102"/>
      <c r="T65" s="102"/>
      <c r="U65" s="102"/>
      <c r="V65" s="102"/>
      <c r="W65" s="102"/>
      <c r="X65">
        <v>96.21</v>
      </c>
      <c r="Y65" s="102"/>
      <c r="Z65">
        <v>107.5</v>
      </c>
      <c r="AA65" s="102"/>
      <c r="AB65" s="102"/>
      <c r="AC65" s="102"/>
      <c r="AD65" s="102"/>
      <c r="AE65" s="102"/>
      <c r="AF65" s="102"/>
      <c r="AG65" s="102"/>
      <c r="AH65" s="102"/>
      <c r="AI65">
        <v>1.1739999999999999</v>
      </c>
      <c r="AJ65">
        <v>57</v>
      </c>
      <c r="AK65" t="s">
        <v>173</v>
      </c>
      <c r="AM65">
        <v>58</v>
      </c>
      <c r="AT65" t="s">
        <v>146</v>
      </c>
      <c r="AU65" t="s">
        <v>146</v>
      </c>
    </row>
    <row r="66" spans="1:47" x14ac:dyDescent="0.2">
      <c r="A66">
        <v>65</v>
      </c>
      <c r="B66" s="77">
        <v>52</v>
      </c>
      <c r="C66">
        <v>23.63</v>
      </c>
      <c r="D66" s="177" t="s">
        <v>140</v>
      </c>
      <c r="E66" t="s">
        <v>141</v>
      </c>
      <c r="F66" s="3" t="s">
        <v>62</v>
      </c>
      <c r="H66" s="3" t="s">
        <v>62</v>
      </c>
      <c r="I66" s="56">
        <v>44978</v>
      </c>
      <c r="J66" t="s">
        <v>142</v>
      </c>
      <c r="K66" t="s">
        <v>203</v>
      </c>
    </row>
    <row r="67" spans="1:47" x14ac:dyDescent="0.2">
      <c r="A67">
        <v>66</v>
      </c>
      <c r="B67" s="77">
        <v>53</v>
      </c>
      <c r="C67">
        <v>22.64</v>
      </c>
      <c r="D67" s="177" t="s">
        <v>140</v>
      </c>
      <c r="E67" t="s">
        <v>141</v>
      </c>
      <c r="F67" s="3" t="s">
        <v>62</v>
      </c>
      <c r="H67" s="3" t="s">
        <v>62</v>
      </c>
      <c r="I67" s="56">
        <v>44978</v>
      </c>
      <c r="J67" t="s">
        <v>142</v>
      </c>
      <c r="K67" t="s">
        <v>203</v>
      </c>
    </row>
    <row r="68" spans="1:47" x14ac:dyDescent="0.2">
      <c r="A68">
        <v>67</v>
      </c>
      <c r="B68" t="s">
        <v>832</v>
      </c>
      <c r="C68">
        <v>23.65</v>
      </c>
      <c r="D68" s="178" t="s">
        <v>156</v>
      </c>
      <c r="F68"/>
      <c r="G68"/>
      <c r="H68"/>
      <c r="J68" t="s">
        <v>142</v>
      </c>
      <c r="K68" s="123" t="s">
        <v>204</v>
      </c>
      <c r="N68">
        <v>269</v>
      </c>
      <c r="O68">
        <v>182.2</v>
      </c>
      <c r="P68">
        <v>191.84</v>
      </c>
      <c r="Q68">
        <v>41.71</v>
      </c>
      <c r="R68">
        <v>19.899999999999999</v>
      </c>
      <c r="S68">
        <v>130.38999999999999</v>
      </c>
      <c r="T68">
        <v>102.15</v>
      </c>
      <c r="U68">
        <v>64.67</v>
      </c>
      <c r="V68">
        <v>46.72</v>
      </c>
      <c r="W68">
        <v>68.03</v>
      </c>
      <c r="X68">
        <v>86.3</v>
      </c>
      <c r="Y68">
        <v>39.82</v>
      </c>
      <c r="Z68">
        <v>93.35</v>
      </c>
      <c r="AA68">
        <v>78.430000000000007</v>
      </c>
      <c r="AB68">
        <v>73.14</v>
      </c>
      <c r="AC68">
        <v>2.8</v>
      </c>
      <c r="AD68">
        <v>52.77</v>
      </c>
      <c r="AE68">
        <v>24.63</v>
      </c>
      <c r="AF68">
        <v>47.49</v>
      </c>
      <c r="AG68">
        <v>34.11</v>
      </c>
      <c r="AH68">
        <v>46.07</v>
      </c>
      <c r="AI68">
        <v>1.325</v>
      </c>
      <c r="AJ68">
        <v>52.4</v>
      </c>
      <c r="AK68" t="s">
        <v>173</v>
      </c>
      <c r="AM68">
        <v>84</v>
      </c>
      <c r="AO68" s="102"/>
      <c r="AP68" s="102"/>
      <c r="AQ68" s="102"/>
      <c r="AR68" s="102"/>
      <c r="AS68" s="102"/>
      <c r="AT68" t="s">
        <v>146</v>
      </c>
      <c r="AU68" t="s">
        <v>146</v>
      </c>
    </row>
    <row r="69" spans="1:47" ht="17" x14ac:dyDescent="0.2">
      <c r="A69">
        <v>68</v>
      </c>
      <c r="B69" s="53">
        <v>151</v>
      </c>
      <c r="C69">
        <v>23.66</v>
      </c>
      <c r="D69" s="65" t="s">
        <v>148</v>
      </c>
      <c r="E69" s="3" t="s">
        <v>229</v>
      </c>
      <c r="F69" s="59" t="s">
        <v>74</v>
      </c>
      <c r="G69" s="59" t="s">
        <v>74</v>
      </c>
      <c r="I69" s="63">
        <v>44943</v>
      </c>
      <c r="J69" t="s">
        <v>142</v>
      </c>
      <c r="K69" s="123" t="s">
        <v>204</v>
      </c>
      <c r="M69" s="53">
        <v>248</v>
      </c>
      <c r="N69">
        <v>251.5</v>
      </c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>
        <v>1.33</v>
      </c>
      <c r="AJ69">
        <v>31.8</v>
      </c>
      <c r="AK69" t="s">
        <v>172</v>
      </c>
      <c r="AN69">
        <v>113</v>
      </c>
      <c r="AO69" s="102"/>
      <c r="AP69" s="102"/>
      <c r="AQ69" s="102"/>
      <c r="AR69" s="102"/>
      <c r="AS69" s="102"/>
      <c r="AT69" t="s">
        <v>146</v>
      </c>
      <c r="AU69" t="s">
        <v>146</v>
      </c>
    </row>
    <row r="70" spans="1:47" ht="17" x14ac:dyDescent="0.2">
      <c r="A70">
        <v>69</v>
      </c>
      <c r="B70" s="53">
        <v>150</v>
      </c>
      <c r="C70">
        <v>23.67</v>
      </c>
      <c r="D70" s="65" t="s">
        <v>148</v>
      </c>
      <c r="E70" s="3" t="s">
        <v>229</v>
      </c>
      <c r="F70" s="59" t="s">
        <v>74</v>
      </c>
      <c r="G70" s="59" t="s">
        <v>74</v>
      </c>
      <c r="I70" s="63">
        <v>44936</v>
      </c>
      <c r="J70" t="s">
        <v>142</v>
      </c>
      <c r="K70" s="123" t="s">
        <v>204</v>
      </c>
      <c r="M70" s="53">
        <v>245.7</v>
      </c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O70" s="102"/>
      <c r="AP70" s="102"/>
      <c r="AQ70" s="102"/>
      <c r="AR70" s="102"/>
      <c r="AS70" s="102"/>
      <c r="AT70" t="s">
        <v>146</v>
      </c>
      <c r="AU70" t="s">
        <v>146</v>
      </c>
    </row>
    <row r="71" spans="1:47" ht="17" x14ac:dyDescent="0.2">
      <c r="A71">
        <v>70</v>
      </c>
      <c r="B71" s="53">
        <v>152</v>
      </c>
      <c r="C71">
        <v>23.68</v>
      </c>
      <c r="D71" s="65" t="s">
        <v>148</v>
      </c>
      <c r="E71" s="3" t="s">
        <v>229</v>
      </c>
      <c r="F71" s="59" t="s">
        <v>74</v>
      </c>
      <c r="G71" s="59" t="s">
        <v>74</v>
      </c>
      <c r="I71" s="63">
        <v>44943</v>
      </c>
      <c r="J71" t="s">
        <v>142</v>
      </c>
      <c r="K71" s="123" t="s">
        <v>204</v>
      </c>
      <c r="M71" s="53">
        <v>245.4</v>
      </c>
      <c r="N71">
        <v>248</v>
      </c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>
        <v>1.1659999999999999</v>
      </c>
      <c r="AJ71">
        <v>30.8</v>
      </c>
      <c r="AK71" t="s">
        <v>172</v>
      </c>
      <c r="AN71">
        <v>131</v>
      </c>
      <c r="AO71" s="102"/>
      <c r="AP71" s="102"/>
      <c r="AQ71" s="102"/>
      <c r="AR71" s="102"/>
      <c r="AS71" s="102"/>
      <c r="AT71" t="s">
        <v>146</v>
      </c>
      <c r="AU71" t="s">
        <v>146</v>
      </c>
    </row>
    <row r="72" spans="1:47" ht="34" x14ac:dyDescent="0.2">
      <c r="A72">
        <v>71</v>
      </c>
      <c r="B72" s="77">
        <v>562</v>
      </c>
      <c r="C72" s="5">
        <v>23.69</v>
      </c>
      <c r="D72" s="78" t="s">
        <v>168</v>
      </c>
      <c r="E72" s="3" t="s">
        <v>169</v>
      </c>
      <c r="F72" s="59" t="s">
        <v>218</v>
      </c>
      <c r="I72" s="56">
        <v>44934</v>
      </c>
      <c r="J72" t="s">
        <v>142</v>
      </c>
      <c r="K72" s="123" t="s">
        <v>204</v>
      </c>
      <c r="N72">
        <v>315.7</v>
      </c>
      <c r="O72" s="102"/>
      <c r="P72" s="102"/>
      <c r="Q72" s="102"/>
      <c r="R72" s="102"/>
      <c r="S72" s="102"/>
      <c r="T72" s="102"/>
      <c r="U72" s="102"/>
      <c r="V72" s="102"/>
      <c r="W72" s="102"/>
      <c r="X72">
        <v>99.71</v>
      </c>
      <c r="Y72" s="102"/>
      <c r="Z72">
        <v>108.76</v>
      </c>
      <c r="AA72" s="102"/>
      <c r="AB72" s="102"/>
      <c r="AC72" s="102"/>
      <c r="AD72" s="102"/>
      <c r="AE72" s="102"/>
      <c r="AF72" s="102"/>
      <c r="AG72" s="102"/>
      <c r="AH72" s="102"/>
      <c r="AI72">
        <v>1.1040000000000001</v>
      </c>
      <c r="AJ72">
        <v>55.1</v>
      </c>
      <c r="AK72" t="s">
        <v>172</v>
      </c>
      <c r="AN72">
        <v>144</v>
      </c>
      <c r="AO72" s="102"/>
      <c r="AP72" s="102"/>
      <c r="AQ72" s="102"/>
      <c r="AR72" s="102"/>
      <c r="AS72" s="102"/>
      <c r="AT72" t="s">
        <v>146</v>
      </c>
      <c r="AU72" t="s">
        <v>146</v>
      </c>
    </row>
    <row r="73" spans="1:47" x14ac:dyDescent="0.2">
      <c r="A73">
        <v>72</v>
      </c>
      <c r="B73" s="77">
        <v>567</v>
      </c>
      <c r="C73" s="5" t="s">
        <v>833</v>
      </c>
      <c r="D73" s="78" t="s">
        <v>168</v>
      </c>
      <c r="F73"/>
      <c r="G73"/>
      <c r="H73"/>
      <c r="J73" t="s">
        <v>142</v>
      </c>
      <c r="K73" s="123" t="s">
        <v>204</v>
      </c>
      <c r="N73">
        <v>379.1</v>
      </c>
      <c r="O73" s="102"/>
      <c r="P73" s="102"/>
      <c r="Q73" s="102"/>
      <c r="R73" s="102"/>
      <c r="S73" s="102"/>
      <c r="T73" s="102"/>
      <c r="U73" s="102"/>
      <c r="V73" s="102"/>
      <c r="W73" s="102"/>
      <c r="X73">
        <v>105.25</v>
      </c>
      <c r="Y73" s="102"/>
      <c r="Z73">
        <v>111.57</v>
      </c>
      <c r="AA73" s="102"/>
      <c r="AB73" s="102"/>
      <c r="AC73" s="102"/>
      <c r="AD73" s="102"/>
      <c r="AE73" s="102"/>
      <c r="AF73" s="102"/>
      <c r="AG73" s="102"/>
      <c r="AH73" s="102"/>
      <c r="AI73">
        <v>1.024</v>
      </c>
      <c r="AJ73">
        <v>113.2</v>
      </c>
      <c r="AK73" t="s">
        <v>172</v>
      </c>
      <c r="AN73">
        <v>150</v>
      </c>
      <c r="AO73" s="102"/>
      <c r="AP73" s="102"/>
      <c r="AQ73" s="102"/>
      <c r="AR73" s="102"/>
      <c r="AS73" s="102"/>
      <c r="AT73" t="s">
        <v>146</v>
      </c>
      <c r="AU73" t="s">
        <v>146</v>
      </c>
    </row>
    <row r="74" spans="1:47" ht="17" x14ac:dyDescent="0.2">
      <c r="A74">
        <v>73</v>
      </c>
      <c r="B74" s="77">
        <v>568</v>
      </c>
      <c r="C74" s="5">
        <v>23.71</v>
      </c>
      <c r="D74" s="78" t="s">
        <v>168</v>
      </c>
      <c r="E74" s="3" t="s">
        <v>169</v>
      </c>
      <c r="F74" s="59" t="s">
        <v>489</v>
      </c>
      <c r="I74" s="68">
        <v>44934</v>
      </c>
      <c r="J74" t="s">
        <v>142</v>
      </c>
      <c r="K74" s="123" t="s">
        <v>204</v>
      </c>
      <c r="N74">
        <v>324.10000000000002</v>
      </c>
      <c r="O74" s="102"/>
      <c r="P74" s="102"/>
      <c r="Q74" s="102"/>
      <c r="R74" s="102"/>
      <c r="S74" s="102"/>
      <c r="T74" s="102"/>
      <c r="U74" s="102"/>
      <c r="V74" s="102"/>
      <c r="W74" s="102"/>
      <c r="X74">
        <v>105.35</v>
      </c>
      <c r="Y74" s="102"/>
      <c r="Z74">
        <v>110.57</v>
      </c>
      <c r="AA74" s="102"/>
      <c r="AB74" s="102"/>
      <c r="AC74" s="102"/>
      <c r="AD74" s="102"/>
      <c r="AE74" s="102"/>
      <c r="AF74" s="102"/>
      <c r="AG74" s="102"/>
      <c r="AH74" s="102"/>
      <c r="AI74">
        <v>1.238</v>
      </c>
      <c r="AJ74">
        <v>57.7</v>
      </c>
      <c r="AK74" t="s">
        <v>172</v>
      </c>
      <c r="AN74">
        <v>150</v>
      </c>
      <c r="AO74" s="102"/>
      <c r="AP74" s="102"/>
      <c r="AQ74" s="102"/>
      <c r="AR74" s="102"/>
      <c r="AS74" s="102"/>
      <c r="AT74" t="s">
        <v>146</v>
      </c>
      <c r="AU74" t="s">
        <v>146</v>
      </c>
    </row>
    <row r="75" spans="1:47" x14ac:dyDescent="0.2">
      <c r="A75">
        <v>74</v>
      </c>
    </row>
    <row r="76" spans="1:47" x14ac:dyDescent="0.2">
      <c r="A76">
        <v>75</v>
      </c>
    </row>
    <row r="77" spans="1:47" x14ac:dyDescent="0.2">
      <c r="A77">
        <v>76</v>
      </c>
    </row>
    <row r="78" spans="1:47" x14ac:dyDescent="0.2">
      <c r="A78">
        <v>77</v>
      </c>
    </row>
    <row r="79" spans="1:47" x14ac:dyDescent="0.2">
      <c r="A79">
        <v>78</v>
      </c>
    </row>
    <row r="80" spans="1:47" x14ac:dyDescent="0.2">
      <c r="A80">
        <v>79</v>
      </c>
    </row>
    <row r="81" spans="1:8" x14ac:dyDescent="0.2">
      <c r="A81">
        <v>80</v>
      </c>
    </row>
    <row r="82" spans="1:8" x14ac:dyDescent="0.2">
      <c r="A82">
        <v>81</v>
      </c>
    </row>
    <row r="83" spans="1:8" x14ac:dyDescent="0.2">
      <c r="A83">
        <v>82</v>
      </c>
    </row>
    <row r="84" spans="1:8" x14ac:dyDescent="0.2">
      <c r="A84">
        <v>83</v>
      </c>
    </row>
    <row r="85" spans="1:8" x14ac:dyDescent="0.2">
      <c r="A85">
        <v>84</v>
      </c>
    </row>
    <row r="86" spans="1:8" x14ac:dyDescent="0.2">
      <c r="A86">
        <v>85</v>
      </c>
    </row>
    <row r="87" spans="1:8" x14ac:dyDescent="0.2">
      <c r="A87">
        <v>86</v>
      </c>
    </row>
    <row r="88" spans="1:8" x14ac:dyDescent="0.2">
      <c r="A88">
        <v>87</v>
      </c>
    </row>
    <row r="89" spans="1:8" x14ac:dyDescent="0.2">
      <c r="A89">
        <v>88</v>
      </c>
    </row>
    <row r="90" spans="1:8" x14ac:dyDescent="0.2">
      <c r="A90">
        <v>89</v>
      </c>
    </row>
    <row r="91" spans="1:8" x14ac:dyDescent="0.2">
      <c r="A91">
        <v>90</v>
      </c>
      <c r="F91"/>
      <c r="G91"/>
      <c r="H91"/>
    </row>
    <row r="92" spans="1:8" x14ac:dyDescent="0.2">
      <c r="A92">
        <v>91</v>
      </c>
      <c r="F92"/>
      <c r="G92"/>
      <c r="H92"/>
    </row>
    <row r="93" spans="1:8" x14ac:dyDescent="0.2">
      <c r="A93">
        <v>92</v>
      </c>
      <c r="F93"/>
      <c r="G93"/>
      <c r="H93"/>
    </row>
    <row r="94" spans="1:8" x14ac:dyDescent="0.2">
      <c r="A94">
        <v>93</v>
      </c>
      <c r="F94"/>
      <c r="G94"/>
      <c r="H94"/>
    </row>
    <row r="95" spans="1:8" x14ac:dyDescent="0.2">
      <c r="A95">
        <v>94</v>
      </c>
      <c r="F95"/>
      <c r="G95"/>
      <c r="H95"/>
    </row>
    <row r="96" spans="1:8" x14ac:dyDescent="0.2">
      <c r="A96">
        <v>95</v>
      </c>
      <c r="F96"/>
      <c r="G96"/>
      <c r="H96"/>
    </row>
    <row r="97" spans="1:8" x14ac:dyDescent="0.2">
      <c r="A97">
        <v>96</v>
      </c>
      <c r="F97"/>
      <c r="G97"/>
      <c r="H97"/>
    </row>
    <row r="98" spans="1:8" x14ac:dyDescent="0.2">
      <c r="A98">
        <v>97</v>
      </c>
      <c r="F98"/>
      <c r="G98"/>
      <c r="H98"/>
    </row>
    <row r="99" spans="1:8" x14ac:dyDescent="0.2">
      <c r="A99">
        <v>98</v>
      </c>
      <c r="F99"/>
      <c r="G99"/>
      <c r="H99"/>
    </row>
    <row r="100" spans="1:8" x14ac:dyDescent="0.2">
      <c r="A100">
        <v>99</v>
      </c>
      <c r="F100"/>
      <c r="G100"/>
      <c r="H100"/>
    </row>
    <row r="101" spans="1:8" x14ac:dyDescent="0.2">
      <c r="A101">
        <v>100</v>
      </c>
      <c r="F101"/>
      <c r="G101"/>
      <c r="H101"/>
    </row>
    <row r="102" spans="1:8" x14ac:dyDescent="0.2">
      <c r="A102">
        <v>101</v>
      </c>
      <c r="F102"/>
      <c r="G102"/>
      <c r="H102"/>
    </row>
    <row r="103" spans="1:8" x14ac:dyDescent="0.2">
      <c r="A103">
        <v>102</v>
      </c>
      <c r="F103"/>
      <c r="G103"/>
      <c r="H103"/>
    </row>
    <row r="104" spans="1:8" x14ac:dyDescent="0.2">
      <c r="A104">
        <v>103</v>
      </c>
      <c r="F104"/>
      <c r="G104"/>
      <c r="H104"/>
    </row>
    <row r="105" spans="1:8" x14ac:dyDescent="0.2">
      <c r="A105">
        <v>104</v>
      </c>
      <c r="F105"/>
      <c r="G105"/>
      <c r="H105"/>
    </row>
    <row r="106" spans="1:8" x14ac:dyDescent="0.2">
      <c r="A106">
        <v>105</v>
      </c>
      <c r="F106" s="35"/>
      <c r="G106" s="35"/>
      <c r="H106" s="35"/>
    </row>
    <row r="107" spans="1:8" x14ac:dyDescent="0.2">
      <c r="A107">
        <v>106</v>
      </c>
    </row>
    <row r="108" spans="1:8" x14ac:dyDescent="0.2">
      <c r="A108">
        <v>107</v>
      </c>
    </row>
    <row r="109" spans="1:8" x14ac:dyDescent="0.2">
      <c r="A109">
        <v>108</v>
      </c>
    </row>
    <row r="110" spans="1:8" x14ac:dyDescent="0.2">
      <c r="A110">
        <v>109</v>
      </c>
    </row>
    <row r="111" spans="1:8" x14ac:dyDescent="0.2">
      <c r="A111">
        <v>110</v>
      </c>
    </row>
    <row r="112" spans="1:8" x14ac:dyDescent="0.2">
      <c r="A112">
        <v>111</v>
      </c>
    </row>
    <row r="113" spans="1:8" x14ac:dyDescent="0.2">
      <c r="A113">
        <v>112</v>
      </c>
      <c r="F113" s="35"/>
      <c r="G113" s="35"/>
      <c r="H113" s="35"/>
    </row>
    <row r="114" spans="1:8" x14ac:dyDescent="0.2">
      <c r="A114">
        <v>113</v>
      </c>
      <c r="F114" s="35"/>
      <c r="G114" s="35"/>
      <c r="H114" s="35"/>
    </row>
    <row r="115" spans="1:8" x14ac:dyDescent="0.2">
      <c r="A115">
        <v>114</v>
      </c>
    </row>
    <row r="116" spans="1:8" x14ac:dyDescent="0.2">
      <c r="A116">
        <v>115</v>
      </c>
    </row>
    <row r="117" spans="1:8" x14ac:dyDescent="0.2">
      <c r="A117">
        <v>116</v>
      </c>
    </row>
    <row r="118" spans="1:8" x14ac:dyDescent="0.2">
      <c r="A118">
        <v>117</v>
      </c>
    </row>
    <row r="119" spans="1:8" x14ac:dyDescent="0.2">
      <c r="A119">
        <v>118</v>
      </c>
    </row>
    <row r="120" spans="1:8" x14ac:dyDescent="0.2">
      <c r="A120">
        <v>119</v>
      </c>
    </row>
    <row r="121" spans="1:8" x14ac:dyDescent="0.2">
      <c r="A121">
        <v>120</v>
      </c>
    </row>
    <row r="122" spans="1:8" x14ac:dyDescent="0.2">
      <c r="A122">
        <v>121</v>
      </c>
    </row>
    <row r="123" spans="1:8" x14ac:dyDescent="0.2">
      <c r="A123">
        <v>122</v>
      </c>
    </row>
    <row r="124" spans="1:8" x14ac:dyDescent="0.2">
      <c r="A124">
        <v>123</v>
      </c>
    </row>
    <row r="125" spans="1:8" x14ac:dyDescent="0.2">
      <c r="A125">
        <v>124</v>
      </c>
    </row>
    <row r="126" spans="1:8" x14ac:dyDescent="0.2">
      <c r="A126">
        <v>125</v>
      </c>
    </row>
    <row r="127" spans="1:8" x14ac:dyDescent="0.2">
      <c r="A127">
        <v>126</v>
      </c>
    </row>
    <row r="128" spans="1:8" x14ac:dyDescent="0.2">
      <c r="A128">
        <v>127</v>
      </c>
    </row>
    <row r="129" spans="1:8" x14ac:dyDescent="0.2">
      <c r="A129">
        <v>128</v>
      </c>
    </row>
    <row r="130" spans="1:8" x14ac:dyDescent="0.2">
      <c r="A130">
        <v>129</v>
      </c>
    </row>
    <row r="131" spans="1:8" x14ac:dyDescent="0.2">
      <c r="A131">
        <v>130</v>
      </c>
    </row>
    <row r="132" spans="1:8" x14ac:dyDescent="0.2">
      <c r="A132">
        <v>131</v>
      </c>
    </row>
    <row r="133" spans="1:8" x14ac:dyDescent="0.2">
      <c r="A133">
        <v>132</v>
      </c>
    </row>
    <row r="134" spans="1:8" x14ac:dyDescent="0.2">
      <c r="A134">
        <v>133</v>
      </c>
    </row>
    <row r="135" spans="1:8" x14ac:dyDescent="0.2">
      <c r="A135">
        <v>134</v>
      </c>
    </row>
    <row r="136" spans="1:8" x14ac:dyDescent="0.2">
      <c r="A136">
        <v>135</v>
      </c>
    </row>
    <row r="137" spans="1:8" x14ac:dyDescent="0.2">
      <c r="A137">
        <v>136</v>
      </c>
    </row>
    <row r="138" spans="1:8" x14ac:dyDescent="0.2">
      <c r="A138">
        <v>137</v>
      </c>
    </row>
    <row r="139" spans="1:8" x14ac:dyDescent="0.2">
      <c r="A139">
        <v>138</v>
      </c>
    </row>
    <row r="140" spans="1:8" x14ac:dyDescent="0.2">
      <c r="A140">
        <v>139</v>
      </c>
    </row>
    <row r="141" spans="1:8" x14ac:dyDescent="0.2">
      <c r="A141">
        <v>140</v>
      </c>
      <c r="F141" s="14"/>
      <c r="G141" s="14"/>
      <c r="H141" s="14"/>
    </row>
    <row r="142" spans="1:8" x14ac:dyDescent="0.2">
      <c r="A142">
        <v>141</v>
      </c>
      <c r="F142"/>
      <c r="G142"/>
      <c r="H142"/>
    </row>
    <row r="143" spans="1:8" x14ac:dyDescent="0.2">
      <c r="A143">
        <v>142</v>
      </c>
      <c r="F143"/>
      <c r="G143"/>
      <c r="H143"/>
    </row>
    <row r="144" spans="1:8" x14ac:dyDescent="0.2">
      <c r="A144">
        <v>143</v>
      </c>
    </row>
    <row r="145" spans="1:8" x14ac:dyDescent="0.2">
      <c r="A145">
        <v>144</v>
      </c>
    </row>
    <row r="146" spans="1:8" x14ac:dyDescent="0.2">
      <c r="A146">
        <v>145</v>
      </c>
    </row>
    <row r="147" spans="1:8" x14ac:dyDescent="0.2">
      <c r="A147">
        <v>146</v>
      </c>
    </row>
    <row r="148" spans="1:8" x14ac:dyDescent="0.2">
      <c r="A148">
        <v>147</v>
      </c>
      <c r="F148" s="35"/>
      <c r="G148" s="35"/>
      <c r="H148" s="35"/>
    </row>
    <row r="149" spans="1:8" x14ac:dyDescent="0.2">
      <c r="A149">
        <v>148</v>
      </c>
      <c r="F149" s="35"/>
      <c r="G149" s="35"/>
      <c r="H149" s="35"/>
    </row>
    <row r="150" spans="1:8" x14ac:dyDescent="0.2">
      <c r="A150">
        <v>149</v>
      </c>
      <c r="F150" s="35"/>
      <c r="G150" s="35"/>
      <c r="H150" s="35"/>
    </row>
    <row r="151" spans="1:8" x14ac:dyDescent="0.2">
      <c r="A151">
        <v>150</v>
      </c>
      <c r="F151" s="35"/>
      <c r="G151" s="35"/>
      <c r="H151" s="35"/>
    </row>
    <row r="152" spans="1:8" x14ac:dyDescent="0.2">
      <c r="A152">
        <v>151</v>
      </c>
    </row>
    <row r="153" spans="1:8" x14ac:dyDescent="0.2">
      <c r="A153">
        <v>152</v>
      </c>
    </row>
    <row r="154" spans="1:8" x14ac:dyDescent="0.2">
      <c r="A154">
        <v>153</v>
      </c>
    </row>
    <row r="155" spans="1:8" x14ac:dyDescent="0.2">
      <c r="A155">
        <v>154</v>
      </c>
    </row>
    <row r="156" spans="1:8" x14ac:dyDescent="0.2">
      <c r="A156">
        <v>155</v>
      </c>
    </row>
    <row r="157" spans="1:8" x14ac:dyDescent="0.2">
      <c r="A157">
        <v>156</v>
      </c>
    </row>
    <row r="158" spans="1:8" x14ac:dyDescent="0.2">
      <c r="A158">
        <v>157</v>
      </c>
    </row>
    <row r="159" spans="1:8" x14ac:dyDescent="0.2">
      <c r="A159">
        <v>158</v>
      </c>
    </row>
    <row r="160" spans="1:8" x14ac:dyDescent="0.2">
      <c r="A160">
        <v>159</v>
      </c>
    </row>
    <row r="161" spans="1:8" x14ac:dyDescent="0.2">
      <c r="A161">
        <v>160</v>
      </c>
      <c r="F161" s="35"/>
      <c r="G161" s="35"/>
      <c r="H161" s="35"/>
    </row>
    <row r="162" spans="1:8" x14ac:dyDescent="0.2">
      <c r="A162">
        <v>161</v>
      </c>
      <c r="F162" s="35"/>
      <c r="G162" s="35"/>
      <c r="H162" s="35"/>
    </row>
    <row r="163" spans="1:8" x14ac:dyDescent="0.2">
      <c r="A163">
        <v>162</v>
      </c>
      <c r="F163" s="35"/>
      <c r="G163" s="35"/>
      <c r="H163" s="35"/>
    </row>
    <row r="164" spans="1:8" x14ac:dyDescent="0.2">
      <c r="A164">
        <v>163</v>
      </c>
      <c r="F164" s="35"/>
      <c r="G164" s="35"/>
      <c r="H164" s="35"/>
    </row>
    <row r="165" spans="1:8" x14ac:dyDescent="0.2">
      <c r="A165">
        <v>164</v>
      </c>
      <c r="F165" s="35"/>
      <c r="G165" s="35"/>
      <c r="H165" s="35"/>
    </row>
    <row r="166" spans="1:8" x14ac:dyDescent="0.2">
      <c r="A166">
        <v>165</v>
      </c>
      <c r="F166" s="35"/>
      <c r="G166" s="35"/>
      <c r="H166" s="35"/>
    </row>
    <row r="167" spans="1:8" x14ac:dyDescent="0.2">
      <c r="A167">
        <v>166</v>
      </c>
      <c r="F167"/>
      <c r="G167"/>
      <c r="H167"/>
    </row>
    <row r="168" spans="1:8" x14ac:dyDescent="0.2">
      <c r="A168">
        <v>167</v>
      </c>
      <c r="F168"/>
      <c r="G168"/>
      <c r="H168"/>
    </row>
    <row r="169" spans="1:8" x14ac:dyDescent="0.2">
      <c r="A169">
        <v>168</v>
      </c>
      <c r="F169"/>
      <c r="G169"/>
      <c r="H169"/>
    </row>
    <row r="170" spans="1:8" x14ac:dyDescent="0.2">
      <c r="A170">
        <v>169</v>
      </c>
      <c r="F170"/>
      <c r="G170"/>
      <c r="H170"/>
    </row>
    <row r="171" spans="1:8" x14ac:dyDescent="0.2">
      <c r="A171">
        <v>170</v>
      </c>
      <c r="F171"/>
      <c r="G171"/>
      <c r="H171"/>
    </row>
    <row r="172" spans="1:8" x14ac:dyDescent="0.2">
      <c r="A172">
        <v>171</v>
      </c>
      <c r="F172"/>
      <c r="G172"/>
      <c r="H172"/>
    </row>
    <row r="173" spans="1:8" x14ac:dyDescent="0.2">
      <c r="A173">
        <v>172</v>
      </c>
      <c r="F173"/>
      <c r="G173"/>
      <c r="H173"/>
    </row>
    <row r="174" spans="1:8" x14ac:dyDescent="0.2">
      <c r="A174">
        <v>173</v>
      </c>
      <c r="F174"/>
      <c r="G174"/>
      <c r="H174"/>
    </row>
    <row r="175" spans="1:8" x14ac:dyDescent="0.2">
      <c r="A175">
        <v>174</v>
      </c>
    </row>
    <row r="176" spans="1:8" x14ac:dyDescent="0.2">
      <c r="A176">
        <v>175</v>
      </c>
      <c r="F176"/>
      <c r="G176"/>
      <c r="H176"/>
    </row>
    <row r="177" spans="1:8" x14ac:dyDescent="0.2">
      <c r="A177">
        <v>176</v>
      </c>
      <c r="F177"/>
      <c r="G177"/>
      <c r="H177"/>
    </row>
    <row r="178" spans="1:8" x14ac:dyDescent="0.2">
      <c r="A178">
        <v>177</v>
      </c>
      <c r="F178"/>
      <c r="G178"/>
      <c r="H178"/>
    </row>
    <row r="179" spans="1:8" x14ac:dyDescent="0.2">
      <c r="A179">
        <v>178</v>
      </c>
      <c r="F179"/>
      <c r="G179"/>
      <c r="H179"/>
    </row>
    <row r="180" spans="1:8" x14ac:dyDescent="0.2">
      <c r="A180">
        <v>179</v>
      </c>
      <c r="F180"/>
      <c r="G180"/>
      <c r="H180"/>
    </row>
    <row r="181" spans="1:8" x14ac:dyDescent="0.2">
      <c r="A181">
        <v>180</v>
      </c>
      <c r="F181"/>
      <c r="G181"/>
      <c r="H181"/>
    </row>
    <row r="182" spans="1:8" x14ac:dyDescent="0.2">
      <c r="A182">
        <v>181</v>
      </c>
      <c r="F182"/>
      <c r="G182"/>
      <c r="H182"/>
    </row>
    <row r="183" spans="1:8" x14ac:dyDescent="0.2">
      <c r="A183">
        <v>182</v>
      </c>
      <c r="F183"/>
      <c r="G183"/>
      <c r="H183"/>
    </row>
    <row r="184" spans="1:8" x14ac:dyDescent="0.2">
      <c r="A184">
        <v>183</v>
      </c>
      <c r="F184"/>
      <c r="G184"/>
      <c r="H184"/>
    </row>
    <row r="185" spans="1:8" x14ac:dyDescent="0.2">
      <c r="A185">
        <v>184</v>
      </c>
      <c r="F185"/>
      <c r="G185"/>
      <c r="H185"/>
    </row>
    <row r="186" spans="1:8" x14ac:dyDescent="0.2">
      <c r="A186">
        <v>185</v>
      </c>
      <c r="F186"/>
      <c r="G186"/>
      <c r="H186"/>
    </row>
    <row r="187" spans="1:8" x14ac:dyDescent="0.2">
      <c r="A187">
        <v>186</v>
      </c>
      <c r="F187"/>
      <c r="G187"/>
      <c r="H187"/>
    </row>
    <row r="188" spans="1:8" x14ac:dyDescent="0.2">
      <c r="A188">
        <v>187</v>
      </c>
      <c r="F188"/>
      <c r="G188"/>
      <c r="H188"/>
    </row>
    <row r="189" spans="1:8" x14ac:dyDescent="0.2">
      <c r="A189">
        <v>188</v>
      </c>
      <c r="F189"/>
      <c r="G189"/>
      <c r="H189"/>
    </row>
    <row r="190" spans="1:8" x14ac:dyDescent="0.2">
      <c r="A190">
        <v>189</v>
      </c>
      <c r="F190" s="17"/>
      <c r="G190" s="17"/>
      <c r="H190" s="17"/>
    </row>
    <row r="191" spans="1:8" x14ac:dyDescent="0.2">
      <c r="A191">
        <v>190</v>
      </c>
      <c r="F191" s="17"/>
      <c r="G191" s="17"/>
      <c r="H191" s="17"/>
    </row>
    <row r="192" spans="1:8" x14ac:dyDescent="0.2">
      <c r="A192">
        <v>191</v>
      </c>
      <c r="F192"/>
      <c r="G192"/>
      <c r="H192"/>
    </row>
    <row r="193" spans="1:8" x14ac:dyDescent="0.2">
      <c r="A193">
        <v>192</v>
      </c>
      <c r="F193"/>
      <c r="G193"/>
      <c r="H193"/>
    </row>
    <row r="194" spans="1:8" x14ac:dyDescent="0.2">
      <c r="A194">
        <v>193</v>
      </c>
    </row>
    <row r="195" spans="1:8" x14ac:dyDescent="0.2">
      <c r="A195">
        <v>194</v>
      </c>
      <c r="F195"/>
      <c r="G195"/>
      <c r="H195"/>
    </row>
    <row r="196" spans="1:8" x14ac:dyDescent="0.2">
      <c r="A196">
        <v>195</v>
      </c>
      <c r="F196"/>
      <c r="G196"/>
      <c r="H196"/>
    </row>
    <row r="197" spans="1:8" x14ac:dyDescent="0.2">
      <c r="A197">
        <v>196</v>
      </c>
      <c r="F197"/>
      <c r="G197"/>
      <c r="H197"/>
    </row>
    <row r="198" spans="1:8" x14ac:dyDescent="0.2">
      <c r="A198">
        <v>197</v>
      </c>
      <c r="F198"/>
      <c r="G198"/>
      <c r="H198"/>
    </row>
    <row r="199" spans="1:8" x14ac:dyDescent="0.2">
      <c r="A199">
        <v>198</v>
      </c>
      <c r="F199"/>
      <c r="G199"/>
      <c r="H199"/>
    </row>
    <row r="200" spans="1:8" x14ac:dyDescent="0.2">
      <c r="A200">
        <v>199</v>
      </c>
      <c r="F200"/>
      <c r="G200"/>
      <c r="H200"/>
    </row>
    <row r="201" spans="1:8" x14ac:dyDescent="0.2">
      <c r="A201">
        <v>200</v>
      </c>
      <c r="F201"/>
      <c r="G201"/>
      <c r="H201"/>
    </row>
    <row r="202" spans="1:8" x14ac:dyDescent="0.2">
      <c r="A202">
        <v>201</v>
      </c>
      <c r="F202"/>
      <c r="G202"/>
      <c r="H202"/>
    </row>
    <row r="203" spans="1:8" x14ac:dyDescent="0.2">
      <c r="A203">
        <v>202</v>
      </c>
      <c r="F203"/>
      <c r="G203"/>
      <c r="H203"/>
    </row>
    <row r="204" spans="1:8" x14ac:dyDescent="0.2">
      <c r="A204">
        <v>203</v>
      </c>
      <c r="F204"/>
      <c r="G204"/>
      <c r="H204"/>
    </row>
    <row r="205" spans="1:8" x14ac:dyDescent="0.2">
      <c r="A205">
        <v>204</v>
      </c>
      <c r="F205"/>
      <c r="G205"/>
      <c r="H205"/>
    </row>
    <row r="206" spans="1:8" x14ac:dyDescent="0.2">
      <c r="A206">
        <v>205</v>
      </c>
      <c r="F206"/>
      <c r="G206"/>
      <c r="H206"/>
    </row>
    <row r="207" spans="1:8" x14ac:dyDescent="0.2">
      <c r="A207">
        <v>206</v>
      </c>
      <c r="F207"/>
      <c r="G207"/>
      <c r="H207"/>
    </row>
    <row r="208" spans="1:8" x14ac:dyDescent="0.2">
      <c r="A208">
        <v>207</v>
      </c>
      <c r="F208"/>
      <c r="G208"/>
      <c r="H208"/>
    </row>
    <row r="209" spans="1:8" x14ac:dyDescent="0.2">
      <c r="A209">
        <v>208</v>
      </c>
      <c r="F209"/>
      <c r="G209"/>
      <c r="H209"/>
    </row>
    <row r="210" spans="1:8" x14ac:dyDescent="0.2">
      <c r="A210">
        <v>209</v>
      </c>
      <c r="F210"/>
      <c r="G210"/>
      <c r="H210"/>
    </row>
    <row r="211" spans="1:8" x14ac:dyDescent="0.2">
      <c r="A211">
        <v>210</v>
      </c>
      <c r="F211"/>
      <c r="G211"/>
      <c r="H211"/>
    </row>
    <row r="212" spans="1:8" x14ac:dyDescent="0.2">
      <c r="A212">
        <v>211</v>
      </c>
      <c r="F212"/>
      <c r="G212"/>
      <c r="H212"/>
    </row>
    <row r="213" spans="1:8" x14ac:dyDescent="0.2">
      <c r="A213">
        <v>212</v>
      </c>
      <c r="F213"/>
      <c r="G213"/>
      <c r="H213"/>
    </row>
    <row r="214" spans="1:8" x14ac:dyDescent="0.2">
      <c r="A214">
        <v>213</v>
      </c>
      <c r="F214" s="35"/>
      <c r="G214" s="35"/>
      <c r="H214" s="35"/>
    </row>
    <row r="215" spans="1:8" x14ac:dyDescent="0.2">
      <c r="A215">
        <v>214</v>
      </c>
      <c r="F215" s="35"/>
      <c r="G215" s="35"/>
      <c r="H215" s="35"/>
    </row>
    <row r="216" spans="1:8" x14ac:dyDescent="0.2">
      <c r="A216">
        <v>215</v>
      </c>
      <c r="F216" s="35"/>
      <c r="G216" s="35"/>
      <c r="H216" s="35"/>
    </row>
    <row r="217" spans="1:8" x14ac:dyDescent="0.2">
      <c r="A217">
        <v>216</v>
      </c>
      <c r="F217" s="35"/>
      <c r="G217" s="35"/>
      <c r="H217" s="35"/>
    </row>
    <row r="218" spans="1:8" x14ac:dyDescent="0.2">
      <c r="A218">
        <v>217</v>
      </c>
      <c r="F218" s="35"/>
      <c r="G218" s="35"/>
      <c r="H218" s="35"/>
    </row>
    <row r="219" spans="1:8" x14ac:dyDescent="0.2">
      <c r="A219">
        <v>218</v>
      </c>
      <c r="F219"/>
      <c r="G219"/>
      <c r="H219"/>
    </row>
    <row r="220" spans="1:8" x14ac:dyDescent="0.2">
      <c r="A220">
        <v>219</v>
      </c>
      <c r="F220"/>
      <c r="G220"/>
      <c r="H220"/>
    </row>
    <row r="221" spans="1:8" x14ac:dyDescent="0.2">
      <c r="A221">
        <v>220</v>
      </c>
      <c r="F221" s="17"/>
      <c r="G221" s="17"/>
      <c r="H221" s="17"/>
    </row>
    <row r="222" spans="1:8" x14ac:dyDescent="0.2">
      <c r="A222">
        <v>221</v>
      </c>
      <c r="F222" s="17"/>
      <c r="G222" s="17"/>
      <c r="H222" s="17"/>
    </row>
    <row r="223" spans="1:8" x14ac:dyDescent="0.2">
      <c r="A223">
        <v>222</v>
      </c>
      <c r="F223" s="17"/>
      <c r="G223" s="17"/>
      <c r="H223" s="17"/>
    </row>
    <row r="224" spans="1:8" x14ac:dyDescent="0.2">
      <c r="A224">
        <v>223</v>
      </c>
      <c r="F224" s="17"/>
      <c r="G224" s="17"/>
      <c r="H224" s="17"/>
    </row>
    <row r="225" spans="1:8" x14ac:dyDescent="0.2">
      <c r="A225">
        <v>224</v>
      </c>
      <c r="F225" s="17"/>
      <c r="G225" s="17"/>
      <c r="H225" s="17"/>
    </row>
    <row r="226" spans="1:8" x14ac:dyDescent="0.2">
      <c r="A226">
        <v>225</v>
      </c>
      <c r="F226" s="17"/>
      <c r="G226" s="17"/>
      <c r="H226" s="17"/>
    </row>
    <row r="227" spans="1:8" x14ac:dyDescent="0.2">
      <c r="A227">
        <v>226</v>
      </c>
      <c r="F227" s="17"/>
      <c r="G227" s="17"/>
      <c r="H227" s="17"/>
    </row>
    <row r="228" spans="1:8" x14ac:dyDescent="0.2">
      <c r="A228">
        <v>227</v>
      </c>
      <c r="F228"/>
      <c r="G228"/>
      <c r="H228"/>
    </row>
    <row r="229" spans="1:8" x14ac:dyDescent="0.2">
      <c r="A229">
        <v>228</v>
      </c>
      <c r="F229"/>
      <c r="G229"/>
      <c r="H229"/>
    </row>
    <row r="230" spans="1:8" x14ac:dyDescent="0.2">
      <c r="A230">
        <v>229</v>
      </c>
      <c r="F230"/>
      <c r="G230"/>
      <c r="H230"/>
    </row>
    <row r="231" spans="1:8" x14ac:dyDescent="0.2">
      <c r="A231">
        <v>230</v>
      </c>
      <c r="F231"/>
      <c r="G231"/>
      <c r="H231"/>
    </row>
    <row r="232" spans="1:8" x14ac:dyDescent="0.2">
      <c r="A232">
        <v>231</v>
      </c>
      <c r="F232"/>
      <c r="G232"/>
      <c r="H232"/>
    </row>
    <row r="233" spans="1:8" x14ac:dyDescent="0.2">
      <c r="A233">
        <v>232</v>
      </c>
      <c r="F233" s="53"/>
      <c r="G233" s="53"/>
      <c r="H233" s="53"/>
    </row>
    <row r="234" spans="1:8" x14ac:dyDescent="0.2">
      <c r="A234">
        <v>233</v>
      </c>
      <c r="F234"/>
      <c r="G234"/>
      <c r="H234"/>
    </row>
    <row r="235" spans="1:8" x14ac:dyDescent="0.2">
      <c r="A235">
        <v>234</v>
      </c>
      <c r="F235"/>
      <c r="G235"/>
      <c r="H235"/>
    </row>
    <row r="236" spans="1:8" x14ac:dyDescent="0.2">
      <c r="A236">
        <v>235</v>
      </c>
      <c r="F236"/>
      <c r="G236"/>
      <c r="H236"/>
    </row>
    <row r="237" spans="1:8" x14ac:dyDescent="0.2">
      <c r="A237">
        <v>236</v>
      </c>
      <c r="F237"/>
      <c r="G237"/>
      <c r="H237"/>
    </row>
    <row r="238" spans="1:8" x14ac:dyDescent="0.2">
      <c r="A238">
        <v>237</v>
      </c>
      <c r="F238"/>
      <c r="G238"/>
      <c r="H238"/>
    </row>
    <row r="239" spans="1:8" x14ac:dyDescent="0.2">
      <c r="A239">
        <v>238</v>
      </c>
      <c r="F239"/>
      <c r="G239"/>
      <c r="H239"/>
    </row>
    <row r="240" spans="1:8" x14ac:dyDescent="0.2">
      <c r="A240">
        <v>239</v>
      </c>
      <c r="F240"/>
      <c r="G240"/>
      <c r="H240"/>
    </row>
    <row r="241" spans="1:8" x14ac:dyDescent="0.2">
      <c r="A241">
        <v>240</v>
      </c>
      <c r="F241"/>
      <c r="G241"/>
      <c r="H241"/>
    </row>
    <row r="242" spans="1:8" x14ac:dyDescent="0.2">
      <c r="A242">
        <v>241</v>
      </c>
      <c r="F242"/>
      <c r="G242"/>
      <c r="H242"/>
    </row>
    <row r="243" spans="1:8" x14ac:dyDescent="0.2">
      <c r="A243">
        <v>242</v>
      </c>
      <c r="F243"/>
      <c r="G243"/>
      <c r="H243"/>
    </row>
    <row r="244" spans="1:8" x14ac:dyDescent="0.2">
      <c r="A244">
        <v>243</v>
      </c>
      <c r="F244"/>
      <c r="G244"/>
      <c r="H244"/>
    </row>
    <row r="245" spans="1:8" x14ac:dyDescent="0.2">
      <c r="A245">
        <v>244</v>
      </c>
      <c r="F245"/>
      <c r="G245"/>
      <c r="H245"/>
    </row>
    <row r="246" spans="1:8" x14ac:dyDescent="0.2">
      <c r="A246">
        <v>245</v>
      </c>
      <c r="F246"/>
      <c r="G246"/>
      <c r="H246"/>
    </row>
    <row r="247" spans="1:8" x14ac:dyDescent="0.2">
      <c r="A247">
        <v>246</v>
      </c>
      <c r="F247"/>
      <c r="G247"/>
      <c r="H247"/>
    </row>
    <row r="248" spans="1:8" x14ac:dyDescent="0.2">
      <c r="A248">
        <v>247</v>
      </c>
      <c r="F248"/>
      <c r="G248"/>
      <c r="H248"/>
    </row>
    <row r="249" spans="1:8" x14ac:dyDescent="0.2">
      <c r="A249">
        <v>248</v>
      </c>
      <c r="F249"/>
      <c r="G249"/>
      <c r="H249"/>
    </row>
    <row r="250" spans="1:8" x14ac:dyDescent="0.2">
      <c r="A250">
        <v>249</v>
      </c>
      <c r="F250"/>
      <c r="G250"/>
      <c r="H250"/>
    </row>
    <row r="251" spans="1:8" x14ac:dyDescent="0.2">
      <c r="A251">
        <v>250</v>
      </c>
      <c r="F251"/>
      <c r="G251"/>
      <c r="H251"/>
    </row>
    <row r="252" spans="1:8" x14ac:dyDescent="0.2">
      <c r="A252">
        <v>251</v>
      </c>
      <c r="F252"/>
      <c r="G252"/>
      <c r="H252"/>
    </row>
    <row r="253" spans="1:8" x14ac:dyDescent="0.2">
      <c r="A253">
        <v>252</v>
      </c>
      <c r="F253"/>
      <c r="G253"/>
      <c r="H253"/>
    </row>
    <row r="254" spans="1:8" x14ac:dyDescent="0.2">
      <c r="A254">
        <v>253</v>
      </c>
      <c r="F254"/>
      <c r="G254"/>
      <c r="H254"/>
    </row>
    <row r="255" spans="1:8" x14ac:dyDescent="0.2">
      <c r="A255">
        <v>254</v>
      </c>
      <c r="F255" s="17"/>
      <c r="G255" s="17"/>
      <c r="H255" s="17"/>
    </row>
    <row r="256" spans="1:8" x14ac:dyDescent="0.2">
      <c r="A256">
        <v>255</v>
      </c>
      <c r="F256"/>
      <c r="G256"/>
      <c r="H256"/>
    </row>
    <row r="257" spans="1:8" x14ac:dyDescent="0.2">
      <c r="A257">
        <v>256</v>
      </c>
      <c r="F257"/>
      <c r="G257"/>
      <c r="H257"/>
    </row>
    <row r="258" spans="1:8" x14ac:dyDescent="0.2">
      <c r="A258">
        <v>257</v>
      </c>
      <c r="F258"/>
      <c r="G258"/>
      <c r="H258"/>
    </row>
    <row r="259" spans="1:8" x14ac:dyDescent="0.2">
      <c r="A259">
        <v>258</v>
      </c>
      <c r="F259"/>
      <c r="G259"/>
      <c r="H259"/>
    </row>
    <row r="260" spans="1:8" x14ac:dyDescent="0.2">
      <c r="A260">
        <v>259</v>
      </c>
      <c r="F260"/>
      <c r="G260"/>
      <c r="H260"/>
    </row>
    <row r="261" spans="1:8" x14ac:dyDescent="0.2">
      <c r="A261">
        <v>260</v>
      </c>
      <c r="F261"/>
      <c r="G261"/>
      <c r="H261"/>
    </row>
    <row r="262" spans="1:8" x14ac:dyDescent="0.2">
      <c r="A262">
        <v>261</v>
      </c>
      <c r="F262"/>
      <c r="G262"/>
      <c r="H262"/>
    </row>
    <row r="263" spans="1:8" x14ac:dyDescent="0.2">
      <c r="A263">
        <v>262</v>
      </c>
      <c r="F263"/>
      <c r="G263"/>
      <c r="H263"/>
    </row>
    <row r="264" spans="1:8" x14ac:dyDescent="0.2">
      <c r="A264">
        <v>263</v>
      </c>
      <c r="F264" s="11"/>
      <c r="G264" s="11"/>
      <c r="H264" s="11"/>
    </row>
    <row r="265" spans="1:8" x14ac:dyDescent="0.2">
      <c r="A265">
        <v>264</v>
      </c>
      <c r="F265" s="11"/>
      <c r="G265" s="11"/>
      <c r="H265" s="11"/>
    </row>
    <row r="266" spans="1:8" x14ac:dyDescent="0.2">
      <c r="A266">
        <v>265</v>
      </c>
      <c r="F266" s="11"/>
      <c r="G266" s="11"/>
      <c r="H266" s="11"/>
    </row>
    <row r="267" spans="1:8" x14ac:dyDescent="0.2">
      <c r="A267">
        <v>266</v>
      </c>
      <c r="F267" s="11"/>
      <c r="G267" s="11"/>
      <c r="H267" s="11"/>
    </row>
    <row r="268" spans="1:8" x14ac:dyDescent="0.2">
      <c r="A268">
        <v>267</v>
      </c>
      <c r="F268" s="11"/>
      <c r="G268" s="11"/>
      <c r="H268" s="11"/>
    </row>
    <row r="269" spans="1:8" x14ac:dyDescent="0.2">
      <c r="A269">
        <v>268</v>
      </c>
      <c r="F269" s="11"/>
      <c r="G269" s="11"/>
      <c r="H269" s="11"/>
    </row>
    <row r="270" spans="1:8" x14ac:dyDescent="0.2">
      <c r="A270">
        <v>269</v>
      </c>
      <c r="F270" s="11"/>
      <c r="G270" s="11"/>
      <c r="H270" s="11"/>
    </row>
    <row r="271" spans="1:8" x14ac:dyDescent="0.2">
      <c r="A271">
        <v>270</v>
      </c>
      <c r="F271" s="11"/>
      <c r="G271" s="11"/>
      <c r="H271" s="11"/>
    </row>
    <row r="272" spans="1:8" x14ac:dyDescent="0.2">
      <c r="A272">
        <v>271</v>
      </c>
      <c r="F272" s="11"/>
      <c r="G272" s="11"/>
      <c r="H272" s="11"/>
    </row>
    <row r="273" spans="1:8" x14ac:dyDescent="0.2">
      <c r="A273">
        <v>272</v>
      </c>
      <c r="F273"/>
      <c r="G273"/>
      <c r="H273"/>
    </row>
    <row r="274" spans="1:8" x14ac:dyDescent="0.2">
      <c r="A274">
        <v>273</v>
      </c>
      <c r="F274"/>
      <c r="G274"/>
      <c r="H274"/>
    </row>
    <row r="275" spans="1:8" x14ac:dyDescent="0.2">
      <c r="A275">
        <v>274</v>
      </c>
      <c r="F275"/>
      <c r="G275"/>
      <c r="H275"/>
    </row>
    <row r="276" spans="1:8" x14ac:dyDescent="0.2">
      <c r="A276">
        <v>275</v>
      </c>
      <c r="F276"/>
      <c r="G276"/>
      <c r="H276"/>
    </row>
    <row r="277" spans="1:8" x14ac:dyDescent="0.2">
      <c r="A277">
        <v>276</v>
      </c>
      <c r="F277"/>
      <c r="G277"/>
      <c r="H277"/>
    </row>
    <row r="278" spans="1:8" x14ac:dyDescent="0.2">
      <c r="A278">
        <v>277</v>
      </c>
      <c r="F278"/>
      <c r="G278"/>
      <c r="H278"/>
    </row>
    <row r="279" spans="1:8" x14ac:dyDescent="0.2">
      <c r="A279">
        <v>278</v>
      </c>
      <c r="F279"/>
      <c r="G279"/>
      <c r="H279"/>
    </row>
    <row r="280" spans="1:8" x14ac:dyDescent="0.2">
      <c r="A280">
        <v>279</v>
      </c>
      <c r="F280"/>
      <c r="G280"/>
      <c r="H280"/>
    </row>
    <row r="281" spans="1:8" x14ac:dyDescent="0.2">
      <c r="A281">
        <v>280</v>
      </c>
      <c r="F281"/>
      <c r="G281"/>
      <c r="H281"/>
    </row>
    <row r="282" spans="1:8" x14ac:dyDescent="0.2">
      <c r="A282">
        <v>281</v>
      </c>
      <c r="F282"/>
      <c r="G282"/>
      <c r="H282"/>
    </row>
    <row r="283" spans="1:8" x14ac:dyDescent="0.2">
      <c r="F283"/>
      <c r="G283"/>
      <c r="H283"/>
    </row>
    <row r="284" spans="1:8" x14ac:dyDescent="0.2">
      <c r="F284"/>
      <c r="G284"/>
      <c r="H284"/>
    </row>
    <row r="285" spans="1:8" x14ac:dyDescent="0.2">
      <c r="F285"/>
      <c r="G285"/>
      <c r="H285"/>
    </row>
    <row r="290" spans="6:8" x14ac:dyDescent="0.2">
      <c r="F290"/>
      <c r="G290"/>
      <c r="H290"/>
    </row>
    <row r="291" spans="6:8" x14ac:dyDescent="0.2">
      <c r="F291"/>
      <c r="G291"/>
      <c r="H291"/>
    </row>
    <row r="298" spans="6:8" x14ac:dyDescent="0.2">
      <c r="F298"/>
      <c r="G298"/>
      <c r="H298"/>
    </row>
    <row r="299" spans="6:8" x14ac:dyDescent="0.2">
      <c r="F299"/>
      <c r="G299"/>
      <c r="H299"/>
    </row>
    <row r="300" spans="6:8" x14ac:dyDescent="0.2">
      <c r="F300"/>
      <c r="G300"/>
      <c r="H300"/>
    </row>
    <row r="302" spans="6:8" x14ac:dyDescent="0.2">
      <c r="F302" s="17"/>
      <c r="G302" s="17"/>
      <c r="H302" s="17"/>
    </row>
    <row r="307" spans="6:8" x14ac:dyDescent="0.2">
      <c r="F307" s="18"/>
      <c r="G307" s="18"/>
      <c r="H307" s="18"/>
    </row>
    <row r="308" spans="6:8" x14ac:dyDescent="0.2">
      <c r="F308" s="18"/>
      <c r="G308" s="18"/>
      <c r="H308" s="18"/>
    </row>
    <row r="309" spans="6:8" x14ac:dyDescent="0.2">
      <c r="F309" s="18"/>
      <c r="G309" s="18"/>
      <c r="H309" s="18"/>
    </row>
    <row r="316" spans="6:8" x14ac:dyDescent="0.2">
      <c r="F316" s="17"/>
      <c r="G316" s="17"/>
      <c r="H316" s="17"/>
    </row>
    <row r="317" spans="6:8" x14ac:dyDescent="0.2">
      <c r="F317" s="17"/>
      <c r="G317" s="17"/>
      <c r="H317" s="17"/>
    </row>
    <row r="318" spans="6:8" x14ac:dyDescent="0.2">
      <c r="F318" s="17"/>
      <c r="G318" s="17"/>
      <c r="H318" s="17"/>
    </row>
    <row r="319" spans="6:8" x14ac:dyDescent="0.2">
      <c r="F319" s="17"/>
      <c r="G319" s="17"/>
      <c r="H319" s="17"/>
    </row>
    <row r="320" spans="6:8" x14ac:dyDescent="0.2">
      <c r="F320" s="17"/>
      <c r="G320" s="17"/>
      <c r="H320" s="17"/>
    </row>
    <row r="321" spans="6:8" x14ac:dyDescent="0.2">
      <c r="F321" s="17"/>
      <c r="G321" s="17"/>
      <c r="H321" s="17"/>
    </row>
    <row r="322" spans="6:8" x14ac:dyDescent="0.2">
      <c r="F322" s="17"/>
      <c r="G322" s="17"/>
      <c r="H322" s="17"/>
    </row>
    <row r="323" spans="6:8" x14ac:dyDescent="0.2">
      <c r="F323" s="17"/>
      <c r="G323" s="17"/>
      <c r="H323" s="17"/>
    </row>
    <row r="324" spans="6:8" x14ac:dyDescent="0.2">
      <c r="F324" s="17"/>
      <c r="G324" s="17"/>
      <c r="H324" s="17"/>
    </row>
    <row r="325" spans="6:8" x14ac:dyDescent="0.2">
      <c r="F325" s="17"/>
      <c r="G325" s="17"/>
      <c r="H325" s="17"/>
    </row>
    <row r="326" spans="6:8" x14ac:dyDescent="0.2">
      <c r="F326" s="17"/>
      <c r="G326" s="17"/>
      <c r="H326" s="17"/>
    </row>
    <row r="327" spans="6:8" x14ac:dyDescent="0.2">
      <c r="F327" s="17"/>
      <c r="G327" s="17"/>
      <c r="H327" s="17"/>
    </row>
    <row r="328" spans="6:8" x14ac:dyDescent="0.2">
      <c r="F328" s="17"/>
      <c r="G328" s="17"/>
      <c r="H328" s="17"/>
    </row>
    <row r="329" spans="6:8" x14ac:dyDescent="0.2">
      <c r="F329" s="17"/>
      <c r="G329" s="17"/>
      <c r="H329" s="17"/>
    </row>
    <row r="330" spans="6:8" x14ac:dyDescent="0.2">
      <c r="F330" s="17"/>
      <c r="G330" s="17"/>
      <c r="H330" s="17"/>
    </row>
    <row r="331" spans="6:8" x14ac:dyDescent="0.2">
      <c r="F331" s="17"/>
      <c r="G331" s="17"/>
      <c r="H331" s="17"/>
    </row>
    <row r="332" spans="6:8" x14ac:dyDescent="0.2">
      <c r="F332" s="17"/>
      <c r="G332" s="17"/>
      <c r="H332" s="17"/>
    </row>
    <row r="333" spans="6:8" x14ac:dyDescent="0.2">
      <c r="F333" s="17"/>
      <c r="G333" s="17"/>
      <c r="H333" s="17"/>
    </row>
    <row r="357" spans="6:8" x14ac:dyDescent="0.2">
      <c r="F357"/>
      <c r="G357"/>
      <c r="H357"/>
    </row>
    <row r="359" spans="6:8" x14ac:dyDescent="0.2">
      <c r="F359"/>
      <c r="G359"/>
      <c r="H359"/>
    </row>
    <row r="363" spans="6:8" x14ac:dyDescent="0.2">
      <c r="F363"/>
      <c r="G363"/>
      <c r="H363"/>
    </row>
    <row r="364" spans="6:8" x14ac:dyDescent="0.2">
      <c r="F364"/>
      <c r="G364"/>
      <c r="H364"/>
    </row>
    <row r="368" spans="6:8" x14ac:dyDescent="0.2">
      <c r="F368" s="18"/>
      <c r="G368" s="18"/>
      <c r="H368" s="18"/>
    </row>
    <row r="383" spans="6:8" x14ac:dyDescent="0.2">
      <c r="F383" s="18"/>
      <c r="G383" s="18"/>
      <c r="H383" s="18"/>
    </row>
    <row r="385" spans="6:8" x14ac:dyDescent="0.2">
      <c r="F385" s="14"/>
      <c r="G385" s="14"/>
      <c r="H385" s="14"/>
    </row>
    <row r="386" spans="6:8" x14ac:dyDescent="0.2">
      <c r="F386" s="14"/>
      <c r="G386" s="14"/>
      <c r="H386" s="14"/>
    </row>
    <row r="387" spans="6:8" x14ac:dyDescent="0.2">
      <c r="F387" s="14"/>
      <c r="G387" s="14"/>
      <c r="H387" s="14"/>
    </row>
    <row r="388" spans="6:8" x14ac:dyDescent="0.2">
      <c r="F388" s="14"/>
      <c r="G388" s="14"/>
      <c r="H388" s="14"/>
    </row>
    <row r="389" spans="6:8" x14ac:dyDescent="0.2">
      <c r="F389" s="14"/>
      <c r="G389" s="14"/>
      <c r="H389" s="14"/>
    </row>
    <row r="390" spans="6:8" x14ac:dyDescent="0.2">
      <c r="F390" s="14"/>
      <c r="G390" s="14"/>
      <c r="H390" s="14"/>
    </row>
    <row r="391" spans="6:8" x14ac:dyDescent="0.2">
      <c r="F391" s="14"/>
      <c r="G391" s="14"/>
      <c r="H391" s="14"/>
    </row>
    <row r="392" spans="6:8" x14ac:dyDescent="0.2">
      <c r="F392" s="14"/>
      <c r="G392" s="14"/>
      <c r="H392" s="14"/>
    </row>
    <row r="393" spans="6:8" x14ac:dyDescent="0.2">
      <c r="F393" s="14"/>
      <c r="G393" s="14"/>
      <c r="H393" s="14"/>
    </row>
    <row r="394" spans="6:8" x14ac:dyDescent="0.2">
      <c r="F394" s="14"/>
      <c r="G394" s="14"/>
      <c r="H394" s="14"/>
    </row>
    <row r="395" spans="6:8" x14ac:dyDescent="0.2">
      <c r="F395" s="14"/>
      <c r="G395" s="14"/>
      <c r="H395" s="14"/>
    </row>
    <row r="396" spans="6:8" x14ac:dyDescent="0.2">
      <c r="F396" s="14"/>
      <c r="G396" s="14"/>
      <c r="H396" s="14"/>
    </row>
    <row r="397" spans="6:8" x14ac:dyDescent="0.2">
      <c r="F397" s="14"/>
      <c r="G397" s="14"/>
      <c r="H397" s="14"/>
    </row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spans="6:8" x14ac:dyDescent="0.2">
      <c r="F417"/>
      <c r="G417"/>
      <c r="H417"/>
    </row>
    <row r="418" spans="6:8" x14ac:dyDescent="0.2">
      <c r="F418"/>
      <c r="G418"/>
      <c r="H418"/>
    </row>
    <row r="419" spans="6:8" x14ac:dyDescent="0.2">
      <c r="F419"/>
      <c r="G419"/>
      <c r="H419"/>
    </row>
    <row r="420" spans="6:8" x14ac:dyDescent="0.2">
      <c r="F420"/>
      <c r="G420"/>
      <c r="H420"/>
    </row>
    <row r="421" spans="6:8" x14ac:dyDescent="0.2">
      <c r="F421" s="14"/>
      <c r="G421" s="14"/>
      <c r="H421" s="14"/>
    </row>
    <row r="422" spans="6:8" x14ac:dyDescent="0.2">
      <c r="F422" s="11"/>
      <c r="G422" s="11"/>
      <c r="H422" s="11"/>
    </row>
    <row r="423" spans="6:8" x14ac:dyDescent="0.2">
      <c r="F423" s="11"/>
      <c r="G423" s="11"/>
      <c r="H423" s="11"/>
    </row>
    <row r="424" spans="6:8" x14ac:dyDescent="0.2">
      <c r="F424" s="11"/>
      <c r="G424" s="11"/>
      <c r="H424" s="11"/>
    </row>
    <row r="425" spans="6:8" x14ac:dyDescent="0.2">
      <c r="F425" s="17"/>
      <c r="G425" s="17"/>
      <c r="H425" s="17"/>
    </row>
    <row r="426" spans="6:8" x14ac:dyDescent="0.2">
      <c r="F426" s="11"/>
      <c r="G426" s="11"/>
      <c r="H426" s="11"/>
    </row>
    <row r="427" spans="6:8" x14ac:dyDescent="0.2">
      <c r="F427" s="11"/>
      <c r="G427" s="11"/>
      <c r="H427" s="11"/>
    </row>
    <row r="433" spans="6:8" x14ac:dyDescent="0.2">
      <c r="F433" s="17"/>
      <c r="G433" s="17"/>
      <c r="H433" s="17"/>
    </row>
    <row r="434" spans="6:8" x14ac:dyDescent="0.2">
      <c r="F434" s="17"/>
      <c r="G434" s="17"/>
      <c r="H434" s="17"/>
    </row>
    <row r="435" spans="6:8" x14ac:dyDescent="0.2">
      <c r="F435" s="9"/>
      <c r="G435" s="9"/>
      <c r="H435" s="9"/>
    </row>
    <row r="436" spans="6:8" x14ac:dyDescent="0.2">
      <c r="F436" s="17"/>
      <c r="G436" s="17"/>
      <c r="H436" s="17"/>
    </row>
    <row r="437" spans="6:8" x14ac:dyDescent="0.2">
      <c r="F437" s="17"/>
      <c r="G437" s="17"/>
      <c r="H437" s="17"/>
    </row>
    <row r="438" spans="6:8" x14ac:dyDescent="0.2">
      <c r="F438" s="17"/>
      <c r="G438" s="17"/>
      <c r="H438" s="17"/>
    </row>
    <row r="439" spans="6:8" x14ac:dyDescent="0.2">
      <c r="F439" s="17"/>
      <c r="G439" s="17"/>
      <c r="H439" s="17"/>
    </row>
    <row r="440" spans="6:8" x14ac:dyDescent="0.2">
      <c r="F440" s="9"/>
      <c r="G440" s="9"/>
      <c r="H440" s="9"/>
    </row>
    <row r="441" spans="6:8" x14ac:dyDescent="0.2">
      <c r="F441" s="16"/>
      <c r="G441" s="16"/>
      <c r="H441" s="16"/>
    </row>
    <row r="442" spans="6:8" x14ac:dyDescent="0.2">
      <c r="F442" s="16"/>
      <c r="G442" s="16"/>
      <c r="H442" s="16"/>
    </row>
    <row r="463" customFormat="1" x14ac:dyDescent="0.2"/>
    <row r="464" customFormat="1" x14ac:dyDescent="0.2"/>
    <row r="465" spans="6:8" x14ac:dyDescent="0.2">
      <c r="F465"/>
      <c r="G465"/>
      <c r="H465"/>
    </row>
    <row r="466" spans="6:8" x14ac:dyDescent="0.2">
      <c r="F466"/>
      <c r="G466"/>
      <c r="H466"/>
    </row>
    <row r="467" spans="6:8" x14ac:dyDescent="0.2">
      <c r="F467"/>
      <c r="G467"/>
      <c r="H467"/>
    </row>
    <row r="468" spans="6:8" x14ac:dyDescent="0.2">
      <c r="F468"/>
      <c r="G468"/>
      <c r="H468"/>
    </row>
    <row r="469" spans="6:8" x14ac:dyDescent="0.2">
      <c r="F469"/>
      <c r="G469"/>
      <c r="H469"/>
    </row>
    <row r="470" spans="6:8" x14ac:dyDescent="0.2">
      <c r="F470"/>
      <c r="G470"/>
      <c r="H470"/>
    </row>
    <row r="471" spans="6:8" x14ac:dyDescent="0.2">
      <c r="F471"/>
      <c r="G471"/>
      <c r="H471"/>
    </row>
    <row r="472" spans="6:8" x14ac:dyDescent="0.2">
      <c r="F472"/>
      <c r="G472"/>
      <c r="H472"/>
    </row>
    <row r="473" spans="6:8" x14ac:dyDescent="0.2">
      <c r="F473"/>
      <c r="G473"/>
      <c r="H473"/>
    </row>
    <row r="474" spans="6:8" x14ac:dyDescent="0.2">
      <c r="F474" s="17"/>
      <c r="G474" s="17"/>
      <c r="H474" s="17"/>
    </row>
    <row r="475" spans="6:8" x14ac:dyDescent="0.2">
      <c r="F475" s="17"/>
      <c r="G475" s="17"/>
      <c r="H475" s="17"/>
    </row>
    <row r="476" spans="6:8" x14ac:dyDescent="0.2">
      <c r="F476" s="17"/>
      <c r="G476" s="17"/>
      <c r="H476" s="17"/>
    </row>
    <row r="477" spans="6:8" x14ac:dyDescent="0.2">
      <c r="F477" s="17"/>
      <c r="G477" s="17"/>
      <c r="H477" s="17"/>
    </row>
    <row r="478" spans="6:8" x14ac:dyDescent="0.2">
      <c r="F478" s="17"/>
      <c r="G478" s="17"/>
      <c r="H478" s="17"/>
    </row>
    <row r="479" spans="6:8" x14ac:dyDescent="0.2">
      <c r="F479" s="17"/>
      <c r="G479" s="17"/>
      <c r="H479" s="17"/>
    </row>
    <row r="480" spans="6:8" x14ac:dyDescent="0.2">
      <c r="F480" s="17"/>
      <c r="G480" s="17"/>
      <c r="H480" s="17"/>
    </row>
    <row r="481" spans="6:8" x14ac:dyDescent="0.2">
      <c r="F481" s="17"/>
      <c r="G481" s="17"/>
      <c r="H481" s="17"/>
    </row>
    <row r="482" spans="6:8" x14ac:dyDescent="0.2">
      <c r="F482" s="17"/>
      <c r="G482" s="17"/>
      <c r="H482" s="17"/>
    </row>
    <row r="483" spans="6:8" x14ac:dyDescent="0.2">
      <c r="F483" s="17"/>
      <c r="G483" s="17"/>
      <c r="H483" s="17"/>
    </row>
    <row r="484" spans="6:8" x14ac:dyDescent="0.2">
      <c r="F484" s="17"/>
      <c r="G484" s="17"/>
      <c r="H484" s="17"/>
    </row>
    <row r="485" spans="6:8" x14ac:dyDescent="0.2">
      <c r="F485" s="17"/>
      <c r="G485" s="17"/>
      <c r="H485" s="17"/>
    </row>
    <row r="486" spans="6:8" x14ac:dyDescent="0.2">
      <c r="F486" s="17"/>
      <c r="G486" s="17"/>
      <c r="H486" s="17"/>
    </row>
    <row r="487" spans="6:8" x14ac:dyDescent="0.2">
      <c r="F487" s="17"/>
      <c r="G487" s="17"/>
      <c r="H487" s="17"/>
    </row>
    <row r="488" spans="6:8" x14ac:dyDescent="0.2">
      <c r="F488" s="17"/>
      <c r="G488" s="17"/>
      <c r="H488" s="17"/>
    </row>
    <row r="489" spans="6:8" x14ac:dyDescent="0.2">
      <c r="F489" s="17"/>
      <c r="G489" s="17"/>
      <c r="H489" s="17"/>
    </row>
    <row r="490" spans="6:8" x14ac:dyDescent="0.2">
      <c r="F490" s="17"/>
      <c r="G490" s="17"/>
      <c r="H490" s="17"/>
    </row>
    <row r="495" spans="6:8" x14ac:dyDescent="0.2">
      <c r="F495" s="17"/>
      <c r="G495" s="17"/>
      <c r="H495" s="17"/>
    </row>
    <row r="496" spans="6:8" x14ac:dyDescent="0.2">
      <c r="F496" s="17"/>
      <c r="G496" s="17"/>
      <c r="H496" s="17"/>
    </row>
    <row r="497" spans="6:8" x14ac:dyDescent="0.2">
      <c r="F497" s="17"/>
      <c r="G497" s="17"/>
      <c r="H497" s="17"/>
    </row>
    <row r="498" spans="6:8" x14ac:dyDescent="0.2">
      <c r="F498" s="17"/>
      <c r="G498" s="17"/>
      <c r="H498" s="17"/>
    </row>
    <row r="499" spans="6:8" x14ac:dyDescent="0.2">
      <c r="F499" s="17"/>
      <c r="G499" s="17"/>
      <c r="H499" s="17"/>
    </row>
    <row r="500" spans="6:8" x14ac:dyDescent="0.2">
      <c r="F500" s="17"/>
      <c r="G500" s="17"/>
      <c r="H500" s="17"/>
    </row>
    <row r="501" spans="6:8" x14ac:dyDescent="0.2">
      <c r="F501" s="17"/>
      <c r="G501" s="17"/>
      <c r="H501" s="17"/>
    </row>
    <row r="502" spans="6:8" x14ac:dyDescent="0.2">
      <c r="F502" s="17"/>
      <c r="G502" s="17"/>
      <c r="H502" s="17"/>
    </row>
    <row r="503" spans="6:8" x14ac:dyDescent="0.2">
      <c r="F503" s="17"/>
      <c r="G503" s="17"/>
      <c r="H503" s="17"/>
    </row>
    <row r="504" spans="6:8" x14ac:dyDescent="0.2">
      <c r="F504" s="17"/>
      <c r="G504" s="17"/>
      <c r="H504" s="17"/>
    </row>
    <row r="505" spans="6:8" x14ac:dyDescent="0.2">
      <c r="F505" s="17"/>
      <c r="G505" s="17"/>
      <c r="H505" s="17"/>
    </row>
    <row r="506" spans="6:8" x14ac:dyDescent="0.2">
      <c r="F506" s="17"/>
      <c r="G506" s="17"/>
      <c r="H506" s="17"/>
    </row>
    <row r="507" spans="6:8" x14ac:dyDescent="0.2">
      <c r="F507" s="17"/>
      <c r="G507" s="17"/>
      <c r="H507" s="17"/>
    </row>
    <row r="508" spans="6:8" x14ac:dyDescent="0.2">
      <c r="F508" s="17"/>
      <c r="G508" s="17"/>
      <c r="H508" s="17"/>
    </row>
    <row r="509" spans="6:8" x14ac:dyDescent="0.2">
      <c r="F509" s="17"/>
      <c r="G509" s="17"/>
      <c r="H509" s="17"/>
    </row>
    <row r="510" spans="6:8" x14ac:dyDescent="0.2">
      <c r="F510" s="17"/>
      <c r="G510" s="17"/>
      <c r="H510" s="17"/>
    </row>
    <row r="511" spans="6:8" x14ac:dyDescent="0.2">
      <c r="F511" s="17"/>
      <c r="G511" s="17"/>
      <c r="H511" s="17"/>
    </row>
    <row r="512" spans="6:8" x14ac:dyDescent="0.2">
      <c r="F512" s="17"/>
      <c r="G512" s="17"/>
      <c r="H512" s="17"/>
    </row>
    <row r="513" spans="6:8" x14ac:dyDescent="0.2">
      <c r="F513" s="17"/>
      <c r="G513" s="17"/>
      <c r="H513" s="17"/>
    </row>
    <row r="514" spans="6:8" x14ac:dyDescent="0.2">
      <c r="F514" s="17"/>
      <c r="G514" s="17"/>
      <c r="H514" s="17"/>
    </row>
    <row r="518" spans="6:8" x14ac:dyDescent="0.2">
      <c r="F518"/>
      <c r="G518"/>
      <c r="H518"/>
    </row>
    <row r="520" spans="6:8" x14ac:dyDescent="0.2">
      <c r="F520"/>
      <c r="G520"/>
      <c r="H520"/>
    </row>
    <row r="521" spans="6:8" x14ac:dyDescent="0.2">
      <c r="F521"/>
      <c r="G521"/>
      <c r="H521"/>
    </row>
    <row r="522" spans="6:8" x14ac:dyDescent="0.2">
      <c r="F522"/>
      <c r="G522"/>
      <c r="H522"/>
    </row>
    <row r="523" spans="6:8" x14ac:dyDescent="0.2">
      <c r="F523"/>
      <c r="G523"/>
      <c r="H523"/>
    </row>
    <row r="524" spans="6:8" x14ac:dyDescent="0.2">
      <c r="F524"/>
      <c r="G524"/>
      <c r="H524"/>
    </row>
    <row r="525" spans="6:8" x14ac:dyDescent="0.2">
      <c r="F525"/>
      <c r="G525"/>
      <c r="H525"/>
    </row>
    <row r="529" spans="6:8" x14ac:dyDescent="0.2">
      <c r="F529" s="17"/>
      <c r="G529" s="17"/>
      <c r="H529" s="17"/>
    </row>
    <row r="530" spans="6:8" x14ac:dyDescent="0.2">
      <c r="F530" s="17"/>
      <c r="G530" s="17"/>
      <c r="H530" s="17"/>
    </row>
    <row r="531" spans="6:8" x14ac:dyDescent="0.2">
      <c r="F531" s="17"/>
      <c r="G531" s="17"/>
      <c r="H531" s="17"/>
    </row>
    <row r="532" spans="6:8" x14ac:dyDescent="0.2">
      <c r="F532" s="17"/>
      <c r="G532" s="17"/>
      <c r="H532" s="17"/>
    </row>
    <row r="533" spans="6:8" x14ac:dyDescent="0.2">
      <c r="F533" s="17"/>
      <c r="G533" s="17"/>
      <c r="H533" s="17"/>
    </row>
    <row r="534" spans="6:8" x14ac:dyDescent="0.2">
      <c r="F534" s="17"/>
      <c r="G534" s="17"/>
      <c r="H534" s="17"/>
    </row>
    <row r="535" spans="6:8" x14ac:dyDescent="0.2">
      <c r="F535" s="17"/>
      <c r="G535" s="17"/>
      <c r="H535" s="17"/>
    </row>
    <row r="536" spans="6:8" x14ac:dyDescent="0.2">
      <c r="F536" s="17"/>
      <c r="G536" s="17"/>
      <c r="H536" s="17"/>
    </row>
    <row r="537" spans="6:8" x14ac:dyDescent="0.2">
      <c r="F537" s="17"/>
      <c r="G537" s="17"/>
      <c r="H537" s="17"/>
    </row>
    <row r="538" spans="6:8" x14ac:dyDescent="0.2">
      <c r="F538" s="17"/>
      <c r="G538" s="17"/>
      <c r="H538" s="17"/>
    </row>
    <row r="539" spans="6:8" x14ac:dyDescent="0.2">
      <c r="F539" s="17"/>
      <c r="G539" s="17"/>
      <c r="H539" s="17"/>
    </row>
    <row r="540" spans="6:8" x14ac:dyDescent="0.2">
      <c r="F540" s="17"/>
      <c r="G540" s="17"/>
      <c r="H540" s="17"/>
    </row>
    <row r="541" spans="6:8" x14ac:dyDescent="0.2">
      <c r="F541" s="17"/>
      <c r="G541" s="17"/>
      <c r="H541" s="17"/>
    </row>
    <row r="542" spans="6:8" x14ac:dyDescent="0.2">
      <c r="F542" s="17"/>
      <c r="G542" s="17"/>
      <c r="H542" s="17"/>
    </row>
    <row r="543" spans="6:8" x14ac:dyDescent="0.2">
      <c r="F543" s="17"/>
      <c r="G543" s="17"/>
      <c r="H543" s="17"/>
    </row>
    <row r="544" spans="6:8" x14ac:dyDescent="0.2">
      <c r="F544" s="17"/>
      <c r="G544" s="17"/>
      <c r="H544" s="17"/>
    </row>
    <row r="545" spans="6:8" x14ac:dyDescent="0.2">
      <c r="F545" s="17"/>
      <c r="G545" s="17"/>
      <c r="H545" s="17"/>
    </row>
    <row r="546" spans="6:8" x14ac:dyDescent="0.2">
      <c r="F546" s="17"/>
      <c r="G546" s="17"/>
      <c r="H546" s="17"/>
    </row>
    <row r="547" spans="6:8" x14ac:dyDescent="0.2">
      <c r="F547" s="17"/>
      <c r="G547" s="17"/>
      <c r="H547" s="17"/>
    </row>
    <row r="552" spans="6:8" x14ac:dyDescent="0.2">
      <c r="F552"/>
      <c r="G552"/>
      <c r="H552"/>
    </row>
    <row r="553" spans="6:8" x14ac:dyDescent="0.2">
      <c r="F553"/>
      <c r="G553"/>
      <c r="H553"/>
    </row>
    <row r="554" spans="6:8" x14ac:dyDescent="0.2">
      <c r="F554"/>
      <c r="G554"/>
      <c r="H554"/>
    </row>
    <row r="555" spans="6:8" x14ac:dyDescent="0.2">
      <c r="F555"/>
      <c r="G555"/>
      <c r="H555"/>
    </row>
    <row r="556" spans="6:8" x14ac:dyDescent="0.2">
      <c r="F556"/>
      <c r="G556"/>
      <c r="H556"/>
    </row>
    <row r="557" spans="6:8" x14ac:dyDescent="0.2">
      <c r="F557"/>
      <c r="G557"/>
      <c r="H557"/>
    </row>
    <row r="558" spans="6:8" x14ac:dyDescent="0.2">
      <c r="F558"/>
      <c r="G558"/>
      <c r="H558"/>
    </row>
    <row r="559" spans="6:8" x14ac:dyDescent="0.2">
      <c r="F559"/>
      <c r="G559"/>
      <c r="H559"/>
    </row>
    <row r="560" spans="6:8" x14ac:dyDescent="0.2">
      <c r="F560"/>
      <c r="G560"/>
      <c r="H560"/>
    </row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spans="6:8" x14ac:dyDescent="0.2">
      <c r="F577"/>
      <c r="G577"/>
      <c r="H577"/>
    </row>
    <row r="578" spans="6:8" x14ac:dyDescent="0.2">
      <c r="F578"/>
      <c r="G578"/>
      <c r="H578"/>
    </row>
    <row r="579" spans="6:8" x14ac:dyDescent="0.2">
      <c r="F579" s="17"/>
      <c r="G579" s="17"/>
      <c r="H579" s="17"/>
    </row>
    <row r="580" spans="6:8" x14ac:dyDescent="0.2">
      <c r="F580" s="17"/>
      <c r="G580" s="17"/>
      <c r="H580" s="17"/>
    </row>
    <row r="581" spans="6:8" x14ac:dyDescent="0.2">
      <c r="F581"/>
      <c r="G581"/>
      <c r="H581"/>
    </row>
    <row r="582" spans="6:8" x14ac:dyDescent="0.2">
      <c r="F582"/>
      <c r="G582"/>
      <c r="H582"/>
    </row>
    <row r="583" spans="6:8" x14ac:dyDescent="0.2">
      <c r="F583"/>
      <c r="G583"/>
      <c r="H583"/>
    </row>
    <row r="584" spans="6:8" x14ac:dyDescent="0.2">
      <c r="F584"/>
      <c r="G584"/>
      <c r="H584"/>
    </row>
    <row r="585" spans="6:8" x14ac:dyDescent="0.2">
      <c r="F585"/>
      <c r="G585"/>
      <c r="H585"/>
    </row>
    <row r="586" spans="6:8" x14ac:dyDescent="0.2">
      <c r="F586"/>
      <c r="G586"/>
      <c r="H586"/>
    </row>
    <row r="587" spans="6:8" x14ac:dyDescent="0.2">
      <c r="F587"/>
      <c r="G587"/>
      <c r="H587"/>
    </row>
    <row r="588" spans="6:8" x14ac:dyDescent="0.2">
      <c r="F588"/>
      <c r="G588"/>
      <c r="H588"/>
    </row>
    <row r="589" spans="6:8" x14ac:dyDescent="0.2">
      <c r="F589"/>
      <c r="G589"/>
      <c r="H589"/>
    </row>
    <row r="590" spans="6:8" x14ac:dyDescent="0.2">
      <c r="F590"/>
      <c r="G590"/>
      <c r="H590"/>
    </row>
    <row r="591" spans="6:8" x14ac:dyDescent="0.2">
      <c r="F591"/>
      <c r="G591"/>
      <c r="H591"/>
    </row>
    <row r="592" spans="6:8" x14ac:dyDescent="0.2">
      <c r="F592"/>
      <c r="G592"/>
      <c r="H592"/>
    </row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spans="6:8" x14ac:dyDescent="0.2">
      <c r="F609"/>
      <c r="G609"/>
      <c r="H609"/>
    </row>
    <row r="610" spans="6:8" x14ac:dyDescent="0.2">
      <c r="F610"/>
      <c r="G610"/>
      <c r="H610"/>
    </row>
    <row r="611" spans="6:8" x14ac:dyDescent="0.2">
      <c r="F611"/>
      <c r="G611"/>
      <c r="H611"/>
    </row>
    <row r="612" spans="6:8" x14ac:dyDescent="0.2">
      <c r="F612"/>
      <c r="G612"/>
      <c r="H612"/>
    </row>
    <row r="613" spans="6:8" x14ac:dyDescent="0.2">
      <c r="F613"/>
      <c r="G613"/>
      <c r="H613"/>
    </row>
    <row r="614" spans="6:8" x14ac:dyDescent="0.2">
      <c r="F614"/>
      <c r="G614"/>
      <c r="H614"/>
    </row>
    <row r="615" spans="6:8" x14ac:dyDescent="0.2">
      <c r="F615"/>
      <c r="G615"/>
      <c r="H615"/>
    </row>
    <row r="616" spans="6:8" x14ac:dyDescent="0.2">
      <c r="F616"/>
      <c r="G616"/>
      <c r="H616"/>
    </row>
    <row r="620" spans="6:8" x14ac:dyDescent="0.2">
      <c r="F620" s="14"/>
      <c r="G620" s="14"/>
      <c r="H620" s="14"/>
    </row>
    <row r="621" spans="6:8" x14ac:dyDescent="0.2">
      <c r="F621"/>
      <c r="G621"/>
      <c r="H621"/>
    </row>
    <row r="622" spans="6:8" x14ac:dyDescent="0.2">
      <c r="F622"/>
      <c r="G622"/>
      <c r="H622"/>
    </row>
    <row r="623" spans="6:8" x14ac:dyDescent="0.2">
      <c r="F623"/>
      <c r="G623"/>
      <c r="H623"/>
    </row>
    <row r="624" spans="6:8" x14ac:dyDescent="0.2">
      <c r="F624"/>
      <c r="G624"/>
      <c r="H624"/>
    </row>
    <row r="625" customFormat="1" x14ac:dyDescent="0.2"/>
    <row r="626" customFormat="1" x14ac:dyDescent="0.2"/>
    <row r="629" customFormat="1" x14ac:dyDescent="0.2"/>
    <row r="630" customFormat="1" x14ac:dyDescent="0.2"/>
    <row r="641" spans="6:8" x14ac:dyDescent="0.2">
      <c r="F641"/>
      <c r="G641"/>
      <c r="H641"/>
    </row>
    <row r="642" spans="6:8" x14ac:dyDescent="0.2">
      <c r="F642"/>
      <c r="G642"/>
      <c r="H642"/>
    </row>
    <row r="643" spans="6:8" x14ac:dyDescent="0.2">
      <c r="F643"/>
      <c r="G643"/>
      <c r="H643"/>
    </row>
    <row r="644" spans="6:8" x14ac:dyDescent="0.2">
      <c r="F644"/>
      <c r="G644"/>
      <c r="H644"/>
    </row>
    <row r="645" spans="6:8" x14ac:dyDescent="0.2">
      <c r="F645"/>
      <c r="G645"/>
      <c r="H645"/>
    </row>
    <row r="646" spans="6:8" x14ac:dyDescent="0.2">
      <c r="F646"/>
      <c r="G646"/>
      <c r="H646"/>
    </row>
    <row r="647" spans="6:8" x14ac:dyDescent="0.2">
      <c r="F647"/>
      <c r="G647"/>
      <c r="H647"/>
    </row>
    <row r="648" spans="6:8" x14ac:dyDescent="0.2">
      <c r="F648"/>
      <c r="G648"/>
      <c r="H648"/>
    </row>
    <row r="649" spans="6:8" x14ac:dyDescent="0.2">
      <c r="F649" s="17"/>
      <c r="G649" s="17"/>
      <c r="H649" s="17"/>
    </row>
    <row r="650" spans="6:8" x14ac:dyDescent="0.2">
      <c r="F650"/>
      <c r="G650"/>
      <c r="H650"/>
    </row>
    <row r="651" spans="6:8" x14ac:dyDescent="0.2">
      <c r="F651"/>
      <c r="G651"/>
      <c r="H651"/>
    </row>
    <row r="652" spans="6:8" x14ac:dyDescent="0.2">
      <c r="F652"/>
      <c r="G652"/>
      <c r="H652"/>
    </row>
    <row r="653" spans="6:8" x14ac:dyDescent="0.2">
      <c r="F653" s="18"/>
      <c r="G653" s="18"/>
      <c r="H653" s="18"/>
    </row>
    <row r="654" spans="6:8" x14ac:dyDescent="0.2">
      <c r="F654" s="18"/>
      <c r="G654" s="18"/>
      <c r="H654" s="18"/>
    </row>
    <row r="655" spans="6:8" x14ac:dyDescent="0.2">
      <c r="F655" s="18"/>
      <c r="G655" s="18"/>
      <c r="H655" s="18"/>
    </row>
    <row r="656" spans="6:8" x14ac:dyDescent="0.2">
      <c r="F656" s="18"/>
      <c r="G656" s="18"/>
      <c r="H656" s="18"/>
    </row>
    <row r="657" spans="6:8" x14ac:dyDescent="0.2">
      <c r="F657" s="28"/>
      <c r="G657" s="28"/>
      <c r="H657" s="28"/>
    </row>
    <row r="658" spans="6:8" x14ac:dyDescent="0.2">
      <c r="F658" s="28"/>
      <c r="G658" s="28"/>
      <c r="H658" s="28"/>
    </row>
    <row r="659" spans="6:8" x14ac:dyDescent="0.2">
      <c r="F659" s="28"/>
      <c r="G659" s="28"/>
      <c r="H659" s="28"/>
    </row>
    <row r="660" spans="6:8" x14ac:dyDescent="0.2">
      <c r="F660" s="28"/>
      <c r="G660" s="28"/>
      <c r="H660" s="28"/>
    </row>
    <row r="661" spans="6:8" x14ac:dyDescent="0.2">
      <c r="F661" s="28"/>
      <c r="G661" s="28"/>
      <c r="H661" s="28"/>
    </row>
    <row r="662" spans="6:8" x14ac:dyDescent="0.2">
      <c r="F662" s="28"/>
      <c r="G662" s="28"/>
      <c r="H662" s="28"/>
    </row>
    <row r="663" spans="6:8" x14ac:dyDescent="0.2">
      <c r="F663" s="16"/>
      <c r="G663" s="16"/>
      <c r="H663" s="16"/>
    </row>
    <row r="664" spans="6:8" x14ac:dyDescent="0.2">
      <c r="F664" s="28"/>
      <c r="G664" s="28"/>
      <c r="H664" s="28"/>
    </row>
    <row r="665" spans="6:8" x14ac:dyDescent="0.2">
      <c r="F665" s="28"/>
      <c r="G665" s="28"/>
      <c r="H665" s="28"/>
    </row>
    <row r="666" spans="6:8" x14ac:dyDescent="0.2">
      <c r="F666" s="28"/>
      <c r="G666" s="28"/>
      <c r="H666" s="28"/>
    </row>
    <row r="667" spans="6:8" x14ac:dyDescent="0.2">
      <c r="F667" s="28"/>
      <c r="G667" s="28"/>
      <c r="H667" s="28"/>
    </row>
    <row r="668" spans="6:8" x14ac:dyDescent="0.2">
      <c r="F668" s="14"/>
      <c r="G668" s="14"/>
      <c r="H668" s="14"/>
    </row>
    <row r="669" spans="6:8" x14ac:dyDescent="0.2">
      <c r="F669" s="28"/>
      <c r="G669" s="28"/>
      <c r="H669" s="28"/>
    </row>
    <row r="670" spans="6:8" x14ac:dyDescent="0.2">
      <c r="F670" s="28"/>
      <c r="G670" s="28"/>
      <c r="H670" s="28"/>
    </row>
    <row r="671" spans="6:8" x14ac:dyDescent="0.2">
      <c r="F671" s="18"/>
      <c r="G671" s="18"/>
      <c r="H671" s="18"/>
    </row>
    <row r="672" spans="6:8" x14ac:dyDescent="0.2">
      <c r="F672" s="18"/>
      <c r="G672" s="18"/>
      <c r="H672" s="18"/>
    </row>
    <row r="673" spans="6:8" x14ac:dyDescent="0.2">
      <c r="F673" s="18"/>
      <c r="G673" s="18"/>
      <c r="H673" s="18"/>
    </row>
    <row r="674" spans="6:8" x14ac:dyDescent="0.2">
      <c r="F674" s="28"/>
      <c r="G674" s="28"/>
      <c r="H674" s="28"/>
    </row>
    <row r="675" spans="6:8" x14ac:dyDescent="0.2">
      <c r="F675" s="28"/>
      <c r="G675" s="28"/>
      <c r="H675" s="28"/>
    </row>
    <row r="676" spans="6:8" x14ac:dyDescent="0.2">
      <c r="F676" s="17"/>
      <c r="G676" s="17"/>
      <c r="H676" s="17"/>
    </row>
    <row r="677" spans="6:8" x14ac:dyDescent="0.2">
      <c r="F677" s="17"/>
      <c r="G677" s="17"/>
      <c r="H677" s="17"/>
    </row>
    <row r="678" spans="6:8" x14ac:dyDescent="0.2">
      <c r="F678" s="28"/>
      <c r="G678" s="28"/>
      <c r="H678" s="28"/>
    </row>
    <row r="679" spans="6:8" x14ac:dyDescent="0.2">
      <c r="F679" s="28"/>
      <c r="G679" s="28"/>
      <c r="H679" s="28"/>
    </row>
    <row r="680" spans="6:8" x14ac:dyDescent="0.2">
      <c r="F680" s="17"/>
      <c r="G680" s="17"/>
      <c r="H680" s="17"/>
    </row>
    <row r="681" spans="6:8" x14ac:dyDescent="0.2">
      <c r="F681" s="28"/>
      <c r="G681" s="28"/>
      <c r="H681" s="28"/>
    </row>
    <row r="682" spans="6:8" x14ac:dyDescent="0.2">
      <c r="F682" s="28"/>
      <c r="G682" s="28"/>
      <c r="H682" s="28"/>
    </row>
    <row r="683" spans="6:8" x14ac:dyDescent="0.2">
      <c r="F683" s="28"/>
      <c r="G683" s="28"/>
      <c r="H683" s="28"/>
    </row>
    <row r="690" spans="6:8" x14ac:dyDescent="0.2">
      <c r="F690"/>
      <c r="G690"/>
      <c r="H690"/>
    </row>
    <row r="691" spans="6:8" x14ac:dyDescent="0.2">
      <c r="F691"/>
      <c r="G691"/>
      <c r="H691"/>
    </row>
    <row r="692" spans="6:8" x14ac:dyDescent="0.2">
      <c r="F692"/>
      <c r="G692"/>
      <c r="H692"/>
    </row>
    <row r="693" spans="6:8" x14ac:dyDescent="0.2">
      <c r="F693"/>
      <c r="G693"/>
      <c r="H693"/>
    </row>
    <row r="694" spans="6:8" x14ac:dyDescent="0.2">
      <c r="F694"/>
      <c r="G694"/>
      <c r="H694"/>
    </row>
    <row r="695" spans="6:8" x14ac:dyDescent="0.2">
      <c r="F695"/>
      <c r="G695"/>
      <c r="H695"/>
    </row>
    <row r="696" spans="6:8" x14ac:dyDescent="0.2">
      <c r="F696"/>
      <c r="G696"/>
      <c r="H696"/>
    </row>
    <row r="697" spans="6:8" x14ac:dyDescent="0.2">
      <c r="F697"/>
      <c r="G697"/>
      <c r="H697"/>
    </row>
    <row r="698" spans="6:8" x14ac:dyDescent="0.2">
      <c r="F698" s="17"/>
      <c r="G698" s="17"/>
      <c r="H698" s="17"/>
    </row>
    <row r="699" spans="6:8" x14ac:dyDescent="0.2">
      <c r="F699" s="17"/>
      <c r="G699" s="17"/>
      <c r="H699" s="17"/>
    </row>
    <row r="700" spans="6:8" x14ac:dyDescent="0.2">
      <c r="F700" s="17"/>
      <c r="G700" s="17"/>
      <c r="H700" s="17"/>
    </row>
    <row r="701" spans="6:8" x14ac:dyDescent="0.2">
      <c r="F701" s="17"/>
      <c r="G701" s="17"/>
      <c r="H701" s="17"/>
    </row>
    <row r="702" spans="6:8" x14ac:dyDescent="0.2">
      <c r="F702" s="17"/>
      <c r="G702" s="17"/>
      <c r="H702" s="17"/>
    </row>
    <row r="703" spans="6:8" x14ac:dyDescent="0.2">
      <c r="F703" s="17"/>
      <c r="G703" s="17"/>
      <c r="H703" s="17"/>
    </row>
    <row r="704" spans="6:8" x14ac:dyDescent="0.2">
      <c r="F704" s="17"/>
      <c r="G704" s="17"/>
      <c r="H704" s="17"/>
    </row>
    <row r="705" spans="6:8" x14ac:dyDescent="0.2">
      <c r="F705" s="17"/>
      <c r="G705" s="17"/>
      <c r="H705" s="17"/>
    </row>
    <row r="706" spans="6:8" x14ac:dyDescent="0.2">
      <c r="F706" s="17"/>
      <c r="G706" s="17"/>
      <c r="H706" s="17"/>
    </row>
    <row r="707" spans="6:8" x14ac:dyDescent="0.2">
      <c r="F707" s="17"/>
      <c r="G707" s="17"/>
      <c r="H707" s="17"/>
    </row>
    <row r="708" spans="6:8" x14ac:dyDescent="0.2">
      <c r="F708" s="17"/>
      <c r="G708" s="17"/>
      <c r="H708" s="17"/>
    </row>
    <row r="709" spans="6:8" x14ac:dyDescent="0.2">
      <c r="F709" s="17"/>
      <c r="G709" s="17"/>
      <c r="H709" s="17"/>
    </row>
    <row r="711" spans="6:8" x14ac:dyDescent="0.2">
      <c r="F711"/>
      <c r="G711"/>
      <c r="H711"/>
    </row>
    <row r="712" spans="6:8" x14ac:dyDescent="0.2">
      <c r="F712"/>
      <c r="G712"/>
      <c r="H712"/>
    </row>
    <row r="713" spans="6:8" x14ac:dyDescent="0.2">
      <c r="F713"/>
      <c r="G713"/>
      <c r="H713"/>
    </row>
    <row r="714" spans="6:8" x14ac:dyDescent="0.2">
      <c r="F714" s="17"/>
      <c r="G714" s="17"/>
      <c r="H714" s="17"/>
    </row>
    <row r="715" spans="6:8" x14ac:dyDescent="0.2">
      <c r="F715" s="17"/>
      <c r="G715" s="17"/>
      <c r="H715" s="17"/>
    </row>
    <row r="716" spans="6:8" x14ac:dyDescent="0.2">
      <c r="F716" s="17"/>
      <c r="G716" s="17"/>
      <c r="H716" s="17"/>
    </row>
    <row r="717" spans="6:8" x14ac:dyDescent="0.2">
      <c r="F717" s="128"/>
      <c r="G717" s="128"/>
      <c r="H717" s="128"/>
    </row>
    <row r="718" spans="6:8" x14ac:dyDescent="0.2">
      <c r="F718" s="17"/>
      <c r="G718" s="17"/>
      <c r="H718" s="17"/>
    </row>
    <row r="719" spans="6:8" x14ac:dyDescent="0.2">
      <c r="F719" s="17"/>
      <c r="G719" s="17"/>
      <c r="H719" s="17"/>
    </row>
    <row r="720" spans="6:8" x14ac:dyDescent="0.2">
      <c r="F720" s="17"/>
      <c r="G720" s="17"/>
      <c r="H720" s="17"/>
    </row>
    <row r="721" spans="6:8" x14ac:dyDescent="0.2">
      <c r="F721" s="17"/>
      <c r="G721" s="17"/>
      <c r="H721" s="17"/>
    </row>
    <row r="722" spans="6:8" x14ac:dyDescent="0.2">
      <c r="F722" s="17"/>
      <c r="G722" s="17"/>
      <c r="H722" s="17"/>
    </row>
    <row r="723" spans="6:8" x14ac:dyDescent="0.2">
      <c r="F723" s="17"/>
      <c r="G723" s="17"/>
      <c r="H723" s="17"/>
    </row>
    <row r="724" spans="6:8" x14ac:dyDescent="0.2">
      <c r="F724" s="17"/>
      <c r="G724" s="17"/>
      <c r="H724" s="17"/>
    </row>
    <row r="725" spans="6:8" x14ac:dyDescent="0.2">
      <c r="F725" s="17"/>
      <c r="G725" s="17"/>
      <c r="H725" s="17"/>
    </row>
    <row r="726" spans="6:8" x14ac:dyDescent="0.2">
      <c r="F726" s="17"/>
      <c r="G726" s="17"/>
      <c r="H726" s="17"/>
    </row>
    <row r="727" spans="6:8" x14ac:dyDescent="0.2">
      <c r="F727" s="17"/>
      <c r="G727" s="17"/>
      <c r="H727" s="17"/>
    </row>
    <row r="728" spans="6:8" x14ac:dyDescent="0.2">
      <c r="F728"/>
      <c r="G728"/>
      <c r="H728"/>
    </row>
    <row r="729" spans="6:8" x14ac:dyDescent="0.2">
      <c r="F729"/>
      <c r="G729"/>
      <c r="H729"/>
    </row>
    <row r="730" spans="6:8" x14ac:dyDescent="0.2">
      <c r="F730"/>
      <c r="G730"/>
      <c r="H730"/>
    </row>
    <row r="731" spans="6:8" x14ac:dyDescent="0.2">
      <c r="F731"/>
      <c r="G731"/>
      <c r="H731"/>
    </row>
    <row r="732" spans="6:8" x14ac:dyDescent="0.2">
      <c r="F732"/>
      <c r="G732"/>
      <c r="H732"/>
    </row>
    <row r="752" spans="6:8" x14ac:dyDescent="0.2">
      <c r="F752" s="17"/>
      <c r="G752" s="17"/>
      <c r="H752" s="17"/>
    </row>
    <row r="753" spans="6:8" x14ac:dyDescent="0.2">
      <c r="F753" s="17"/>
      <c r="G753" s="17"/>
      <c r="H753" s="17"/>
    </row>
    <row r="754" spans="6:8" x14ac:dyDescent="0.2">
      <c r="F754" s="17"/>
      <c r="G754" s="17"/>
      <c r="H754" s="17"/>
    </row>
    <row r="755" spans="6:8" x14ac:dyDescent="0.2">
      <c r="F755" s="17"/>
      <c r="G755" s="17"/>
      <c r="H755" s="17"/>
    </row>
    <row r="756" spans="6:8" x14ac:dyDescent="0.2">
      <c r="F756" s="17"/>
      <c r="G756" s="17"/>
      <c r="H756" s="17"/>
    </row>
    <row r="757" spans="6:8" x14ac:dyDescent="0.2">
      <c r="F757" s="17"/>
      <c r="G757" s="17"/>
      <c r="H757" s="17"/>
    </row>
    <row r="779" spans="6:8" x14ac:dyDescent="0.2">
      <c r="F779" s="17"/>
      <c r="G779" s="17"/>
      <c r="H779" s="17"/>
    </row>
    <row r="780" spans="6:8" x14ac:dyDescent="0.2">
      <c r="F780"/>
      <c r="G780"/>
      <c r="H780"/>
    </row>
    <row r="781" spans="6:8" x14ac:dyDescent="0.2">
      <c r="F781" s="17"/>
      <c r="G781" s="17"/>
      <c r="H781" s="17"/>
    </row>
    <row r="782" spans="6:8" x14ac:dyDescent="0.2">
      <c r="F782" s="17"/>
      <c r="G782" s="17"/>
      <c r="H782" s="17"/>
    </row>
    <row r="783" spans="6:8" x14ac:dyDescent="0.2">
      <c r="F783"/>
      <c r="G783"/>
      <c r="H783"/>
    </row>
    <row r="784" spans="6:8" x14ac:dyDescent="0.2">
      <c r="F784"/>
      <c r="G784"/>
      <c r="H784"/>
    </row>
    <row r="785" spans="6:8" x14ac:dyDescent="0.2">
      <c r="F785"/>
      <c r="G785"/>
      <c r="H785"/>
    </row>
    <row r="786" spans="6:8" x14ac:dyDescent="0.2">
      <c r="F786"/>
      <c r="G786"/>
      <c r="H786"/>
    </row>
    <row r="787" spans="6:8" x14ac:dyDescent="0.2">
      <c r="F787"/>
      <c r="G787"/>
      <c r="H787"/>
    </row>
    <row r="788" spans="6:8" x14ac:dyDescent="0.2">
      <c r="F788"/>
      <c r="G788"/>
      <c r="H788"/>
    </row>
    <row r="789" spans="6:8" x14ac:dyDescent="0.2">
      <c r="F789"/>
      <c r="G789"/>
      <c r="H789"/>
    </row>
    <row r="790" spans="6:8" x14ac:dyDescent="0.2">
      <c r="F790"/>
      <c r="G790"/>
      <c r="H790"/>
    </row>
    <row r="791" spans="6:8" x14ac:dyDescent="0.2">
      <c r="F791"/>
      <c r="G791"/>
      <c r="H791"/>
    </row>
    <row r="792" spans="6:8" x14ac:dyDescent="0.2">
      <c r="F792" s="17"/>
      <c r="G792" s="17"/>
      <c r="H792" s="17"/>
    </row>
    <row r="793" spans="6:8" x14ac:dyDescent="0.2">
      <c r="F793" s="17"/>
      <c r="G793" s="17"/>
      <c r="H793" s="17"/>
    </row>
    <row r="794" spans="6:8" x14ac:dyDescent="0.2">
      <c r="F794" s="17"/>
      <c r="G794" s="17"/>
      <c r="H794" s="17"/>
    </row>
    <row r="795" spans="6:8" x14ac:dyDescent="0.2">
      <c r="F795" s="17"/>
      <c r="G795" s="17"/>
      <c r="H795" s="17"/>
    </row>
    <row r="796" spans="6:8" x14ac:dyDescent="0.2">
      <c r="F796" s="17"/>
      <c r="G796" s="17"/>
      <c r="H796" s="17"/>
    </row>
    <row r="797" spans="6:8" x14ac:dyDescent="0.2">
      <c r="F797" s="17"/>
      <c r="G797" s="17"/>
      <c r="H797" s="17"/>
    </row>
    <row r="798" spans="6:8" x14ac:dyDescent="0.2">
      <c r="F798" s="17"/>
      <c r="G798" s="17"/>
      <c r="H798" s="17"/>
    </row>
    <row r="799" spans="6:8" x14ac:dyDescent="0.2">
      <c r="F799" s="17"/>
      <c r="G799" s="17"/>
      <c r="H799" s="17"/>
    </row>
    <row r="800" spans="6:8" x14ac:dyDescent="0.2">
      <c r="F800" s="17"/>
      <c r="G800" s="17"/>
      <c r="H800" s="17"/>
    </row>
    <row r="801" spans="6:8" x14ac:dyDescent="0.2">
      <c r="F801" s="17"/>
      <c r="G801" s="17"/>
      <c r="H801" s="17"/>
    </row>
    <row r="802" spans="6:8" x14ac:dyDescent="0.2">
      <c r="F802" s="17"/>
      <c r="G802" s="17"/>
      <c r="H802" s="17"/>
    </row>
    <row r="803" spans="6:8" x14ac:dyDescent="0.2">
      <c r="F803" s="17"/>
      <c r="G803" s="17"/>
      <c r="H803" s="17"/>
    </row>
    <row r="804" spans="6:8" x14ac:dyDescent="0.2">
      <c r="F804" s="17"/>
      <c r="G804" s="17"/>
      <c r="H804" s="17"/>
    </row>
    <row r="805" spans="6:8" x14ac:dyDescent="0.2">
      <c r="F805" s="17"/>
      <c r="G805" s="17"/>
      <c r="H805" s="17"/>
    </row>
    <row r="806" spans="6:8" x14ac:dyDescent="0.2">
      <c r="F806" s="17"/>
      <c r="G806" s="17"/>
      <c r="H806" s="17"/>
    </row>
    <row r="807" spans="6:8" x14ac:dyDescent="0.2">
      <c r="F807" s="17"/>
      <c r="G807" s="17"/>
      <c r="H807" s="17"/>
    </row>
    <row r="820" spans="6:8" x14ac:dyDescent="0.2">
      <c r="F820"/>
      <c r="G820"/>
      <c r="H820"/>
    </row>
    <row r="821" spans="6:8" x14ac:dyDescent="0.2">
      <c r="F821"/>
      <c r="G821"/>
      <c r="H821"/>
    </row>
    <row r="822" spans="6:8" x14ac:dyDescent="0.2">
      <c r="F822"/>
      <c r="G822"/>
      <c r="H822"/>
    </row>
    <row r="823" spans="6:8" x14ac:dyDescent="0.2">
      <c r="F823"/>
      <c r="G823"/>
      <c r="H823"/>
    </row>
    <row r="824" spans="6:8" x14ac:dyDescent="0.2">
      <c r="F824"/>
      <c r="G824"/>
      <c r="H824"/>
    </row>
    <row r="825" spans="6:8" x14ac:dyDescent="0.2">
      <c r="F825"/>
      <c r="G825"/>
      <c r="H825"/>
    </row>
    <row r="826" spans="6:8" x14ac:dyDescent="0.2">
      <c r="F826"/>
      <c r="G826"/>
      <c r="H826"/>
    </row>
    <row r="827" spans="6:8" x14ac:dyDescent="0.2">
      <c r="F827" s="17"/>
      <c r="G827" s="17"/>
      <c r="H827" s="17"/>
    </row>
    <row r="828" spans="6:8" x14ac:dyDescent="0.2">
      <c r="F828" s="17"/>
      <c r="G828" s="17"/>
      <c r="H828" s="17"/>
    </row>
    <row r="829" spans="6:8" x14ac:dyDescent="0.2">
      <c r="F829" s="17"/>
      <c r="G829" s="17"/>
      <c r="H829" s="17"/>
    </row>
    <row r="830" spans="6:8" x14ac:dyDescent="0.2">
      <c r="F830" s="17"/>
      <c r="G830" s="17"/>
      <c r="H830" s="17"/>
    </row>
    <row r="831" spans="6:8" x14ac:dyDescent="0.2">
      <c r="F831" s="17"/>
      <c r="G831" s="17"/>
      <c r="H831" s="17"/>
    </row>
    <row r="832" spans="6:8" x14ac:dyDescent="0.2">
      <c r="F832" s="17"/>
      <c r="G832" s="17"/>
      <c r="H832" s="17"/>
    </row>
    <row r="833" spans="6:8" x14ac:dyDescent="0.2">
      <c r="F833" s="17"/>
      <c r="G833" s="17"/>
      <c r="H833" s="17"/>
    </row>
    <row r="834" spans="6:8" x14ac:dyDescent="0.2">
      <c r="F834" s="17"/>
      <c r="G834" s="17"/>
      <c r="H834" s="17"/>
    </row>
    <row r="835" spans="6:8" x14ac:dyDescent="0.2">
      <c r="F835" s="17"/>
      <c r="G835" s="17"/>
      <c r="H835" s="17"/>
    </row>
    <row r="836" spans="6:8" x14ac:dyDescent="0.2">
      <c r="F836" s="17"/>
      <c r="G836" s="17"/>
      <c r="H836" s="17"/>
    </row>
    <row r="837" spans="6:8" x14ac:dyDescent="0.2">
      <c r="F837" s="17"/>
      <c r="G837" s="17"/>
      <c r="H837" s="17"/>
    </row>
    <row r="842" spans="6:8" x14ac:dyDescent="0.2">
      <c r="F842"/>
      <c r="G842"/>
      <c r="H842"/>
    </row>
    <row r="843" spans="6:8" x14ac:dyDescent="0.2">
      <c r="F843"/>
      <c r="G843"/>
      <c r="H843"/>
    </row>
    <row r="844" spans="6:8" x14ac:dyDescent="0.2">
      <c r="F844"/>
      <c r="G844"/>
      <c r="H844"/>
    </row>
    <row r="845" spans="6:8" x14ac:dyDescent="0.2">
      <c r="F845"/>
      <c r="G845"/>
      <c r="H845"/>
    </row>
    <row r="846" spans="6:8" x14ac:dyDescent="0.2">
      <c r="F846"/>
      <c r="G846"/>
      <c r="H846"/>
    </row>
    <row r="847" spans="6:8" x14ac:dyDescent="0.2">
      <c r="F847"/>
      <c r="G847"/>
      <c r="H847"/>
    </row>
    <row r="848" spans="6:8" x14ac:dyDescent="0.2">
      <c r="F848"/>
      <c r="G848"/>
      <c r="H848"/>
    </row>
    <row r="849" customFormat="1" x14ac:dyDescent="0.2"/>
    <row r="850" customFormat="1" x14ac:dyDescent="0.2"/>
    <row r="851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spans="6:8" x14ac:dyDescent="0.2">
      <c r="F865"/>
      <c r="G865"/>
      <c r="H865"/>
    </row>
    <row r="866" spans="6:8" x14ac:dyDescent="0.2">
      <c r="F866"/>
      <c r="G866"/>
      <c r="H866"/>
    </row>
    <row r="867" spans="6:8" x14ac:dyDescent="0.2">
      <c r="F867"/>
      <c r="G867"/>
      <c r="H867"/>
    </row>
    <row r="868" spans="6:8" x14ac:dyDescent="0.2">
      <c r="F868"/>
      <c r="G868"/>
      <c r="H868"/>
    </row>
    <row r="869" spans="6:8" x14ac:dyDescent="0.2">
      <c r="F869"/>
      <c r="G869"/>
      <c r="H869"/>
    </row>
    <row r="870" spans="6:8" x14ac:dyDescent="0.2">
      <c r="F870"/>
      <c r="G870"/>
      <c r="H870"/>
    </row>
    <row r="871" spans="6:8" x14ac:dyDescent="0.2">
      <c r="F871"/>
      <c r="G871"/>
      <c r="H871"/>
    </row>
    <row r="872" spans="6:8" x14ac:dyDescent="0.2">
      <c r="F872"/>
      <c r="G872"/>
      <c r="H872"/>
    </row>
    <row r="873" spans="6:8" x14ac:dyDescent="0.2">
      <c r="F873" s="17"/>
      <c r="G873" s="17"/>
      <c r="H873" s="17"/>
    </row>
    <row r="874" spans="6:8" x14ac:dyDescent="0.2">
      <c r="F874" s="17"/>
      <c r="G874" s="17"/>
      <c r="H874" s="17"/>
    </row>
    <row r="875" spans="6:8" x14ac:dyDescent="0.2">
      <c r="F875" s="17"/>
      <c r="G875" s="17"/>
      <c r="H875" s="17"/>
    </row>
    <row r="876" spans="6:8" x14ac:dyDescent="0.2">
      <c r="F876" s="17"/>
      <c r="G876" s="17"/>
      <c r="H876" s="17"/>
    </row>
    <row r="885" spans="6:8" x14ac:dyDescent="0.2">
      <c r="F885" s="17"/>
      <c r="G885" s="17"/>
      <c r="H885" s="17"/>
    </row>
    <row r="886" spans="6:8" x14ac:dyDescent="0.2">
      <c r="F886" s="17"/>
      <c r="G886" s="17"/>
      <c r="H886" s="17"/>
    </row>
    <row r="895" spans="6:8" x14ac:dyDescent="0.2">
      <c r="F895" s="17"/>
      <c r="G895" s="17"/>
      <c r="H895" s="17"/>
    </row>
    <row r="896" spans="6:8" x14ac:dyDescent="0.2">
      <c r="F896" s="17"/>
      <c r="G896" s="17"/>
      <c r="H896" s="17"/>
    </row>
    <row r="897" spans="6:8" x14ac:dyDescent="0.2">
      <c r="F897" s="17"/>
      <c r="G897" s="17"/>
      <c r="H897" s="17"/>
    </row>
    <row r="898" spans="6:8" x14ac:dyDescent="0.2">
      <c r="F898" s="17"/>
      <c r="G898" s="17"/>
      <c r="H898" s="17"/>
    </row>
    <row r="911" spans="6:8" x14ac:dyDescent="0.2">
      <c r="F911" s="17"/>
      <c r="G911" s="17"/>
      <c r="H911" s="17"/>
    </row>
    <row r="912" spans="6:8" x14ac:dyDescent="0.2">
      <c r="F912" s="17"/>
      <c r="G912" s="17"/>
      <c r="H912" s="17"/>
    </row>
    <row r="913" spans="6:8" x14ac:dyDescent="0.2">
      <c r="F913" s="17"/>
      <c r="G913" s="17"/>
      <c r="H913" s="17"/>
    </row>
    <row r="914" spans="6:8" x14ac:dyDescent="0.2">
      <c r="F914" s="17"/>
      <c r="G914" s="17"/>
      <c r="H914" s="17"/>
    </row>
    <row r="915" spans="6:8" x14ac:dyDescent="0.2">
      <c r="F915" s="17"/>
      <c r="G915" s="17"/>
      <c r="H915" s="17"/>
    </row>
    <row r="916" spans="6:8" x14ac:dyDescent="0.2">
      <c r="F916" s="17"/>
      <c r="G916" s="17"/>
      <c r="H916" s="17"/>
    </row>
    <row r="917" spans="6:8" x14ac:dyDescent="0.2">
      <c r="F917" s="17"/>
      <c r="G917" s="17"/>
      <c r="H917" s="17"/>
    </row>
    <row r="918" spans="6:8" x14ac:dyDescent="0.2">
      <c r="F918" s="17"/>
      <c r="G918" s="17"/>
      <c r="H918" s="17"/>
    </row>
    <row r="919" spans="6:8" x14ac:dyDescent="0.2">
      <c r="F919" s="17"/>
      <c r="G919" s="17"/>
      <c r="H919" s="17"/>
    </row>
    <row r="920" spans="6:8" x14ac:dyDescent="0.2">
      <c r="F920" s="17"/>
      <c r="G920" s="17"/>
      <c r="H920" s="17"/>
    </row>
    <row r="921" spans="6:8" x14ac:dyDescent="0.2">
      <c r="F921" s="17"/>
      <c r="G921" s="17"/>
      <c r="H921" s="17"/>
    </row>
    <row r="922" spans="6:8" x14ac:dyDescent="0.2">
      <c r="F922" s="17"/>
      <c r="G922" s="17"/>
      <c r="H922" s="17"/>
    </row>
    <row r="923" spans="6:8" x14ac:dyDescent="0.2">
      <c r="F923" s="28"/>
      <c r="G923" s="28"/>
      <c r="H923" s="28"/>
    </row>
    <row r="924" spans="6:8" x14ac:dyDescent="0.2">
      <c r="F924" s="17"/>
      <c r="G924" s="17"/>
      <c r="H924" s="17"/>
    </row>
    <row r="925" spans="6:8" x14ac:dyDescent="0.2">
      <c r="F925" s="17"/>
      <c r="G925" s="17"/>
      <c r="H925" s="17"/>
    </row>
    <row r="926" spans="6:8" x14ac:dyDescent="0.2">
      <c r="F926" s="17"/>
      <c r="G926" s="17"/>
      <c r="H926" s="17"/>
    </row>
    <row r="927" spans="6:8" x14ac:dyDescent="0.2">
      <c r="F927" s="17"/>
      <c r="G927" s="17"/>
      <c r="H927" s="17"/>
    </row>
    <row r="928" spans="6:8" x14ac:dyDescent="0.2">
      <c r="F928" s="17"/>
      <c r="G928" s="17"/>
      <c r="H928" s="17"/>
    </row>
    <row r="929" spans="6:8" x14ac:dyDescent="0.2">
      <c r="F929" s="17"/>
      <c r="G929" s="17"/>
      <c r="H929" s="17"/>
    </row>
    <row r="930" spans="6:8" x14ac:dyDescent="0.2">
      <c r="F930" s="17"/>
      <c r="G930" s="17"/>
      <c r="H930" s="17"/>
    </row>
    <row r="931" spans="6:8" x14ac:dyDescent="0.2">
      <c r="F931" s="17"/>
      <c r="G931" s="17"/>
      <c r="H931" s="17"/>
    </row>
    <row r="932" spans="6:8" x14ac:dyDescent="0.2">
      <c r="F932" s="17"/>
      <c r="G932" s="17"/>
      <c r="H932" s="17"/>
    </row>
    <row r="933" spans="6:8" x14ac:dyDescent="0.2">
      <c r="F933"/>
      <c r="G933"/>
      <c r="H933"/>
    </row>
    <row r="934" spans="6:8" x14ac:dyDescent="0.2">
      <c r="F934"/>
      <c r="G934"/>
      <c r="H934"/>
    </row>
    <row r="935" spans="6:8" x14ac:dyDescent="0.2">
      <c r="F935"/>
      <c r="G935"/>
      <c r="H935"/>
    </row>
    <row r="936" spans="6:8" x14ac:dyDescent="0.2">
      <c r="F936" s="17"/>
      <c r="G936" s="17"/>
      <c r="H936" s="17"/>
    </row>
    <row r="937" spans="6:8" x14ac:dyDescent="0.2">
      <c r="F937" s="17"/>
      <c r="G937" s="17"/>
      <c r="H937" s="17"/>
    </row>
    <row r="938" spans="6:8" x14ac:dyDescent="0.2">
      <c r="F938" s="17"/>
      <c r="G938" s="17"/>
      <c r="H938" s="17"/>
    </row>
    <row r="939" spans="6:8" x14ac:dyDescent="0.2">
      <c r="F939" s="17"/>
      <c r="G939" s="17"/>
      <c r="H939" s="17"/>
    </row>
    <row r="940" spans="6:8" x14ac:dyDescent="0.2">
      <c r="F940" s="17"/>
      <c r="G940" s="17"/>
      <c r="H940" s="17"/>
    </row>
    <row r="941" spans="6:8" x14ac:dyDescent="0.2">
      <c r="F941" s="17"/>
      <c r="G941" s="17"/>
      <c r="H941" s="17"/>
    </row>
    <row r="942" spans="6:8" x14ac:dyDescent="0.2">
      <c r="F942" s="17"/>
      <c r="G942" s="17"/>
      <c r="H942" s="17"/>
    </row>
    <row r="943" spans="6:8" x14ac:dyDescent="0.2">
      <c r="F943" s="17"/>
      <c r="G943" s="17"/>
      <c r="H943" s="17"/>
    </row>
    <row r="944" spans="6:8" x14ac:dyDescent="0.2">
      <c r="F944" s="17"/>
      <c r="G944" s="17"/>
      <c r="H944" s="17"/>
    </row>
    <row r="945" spans="6:8" x14ac:dyDescent="0.2">
      <c r="F945" s="17"/>
      <c r="G945" s="17"/>
      <c r="H945" s="17"/>
    </row>
    <row r="946" spans="6:8" x14ac:dyDescent="0.2">
      <c r="F946" s="17"/>
      <c r="G946" s="17"/>
      <c r="H946" s="17"/>
    </row>
    <row r="947" spans="6:8" x14ac:dyDescent="0.2">
      <c r="F947" s="17"/>
      <c r="G947" s="17"/>
      <c r="H947" s="17"/>
    </row>
    <row r="948" spans="6:8" x14ac:dyDescent="0.2">
      <c r="F948" s="17"/>
      <c r="G948" s="17"/>
      <c r="H948" s="17"/>
    </row>
    <row r="949" spans="6:8" x14ac:dyDescent="0.2">
      <c r="F949" s="17"/>
      <c r="G949" s="17"/>
      <c r="H949" s="17"/>
    </row>
    <row r="950" spans="6:8" x14ac:dyDescent="0.2">
      <c r="F950" s="17"/>
      <c r="G950" s="17"/>
      <c r="H950" s="17"/>
    </row>
    <row r="951" spans="6:8" x14ac:dyDescent="0.2">
      <c r="F951" s="17"/>
      <c r="G951" s="17"/>
      <c r="H951" s="17"/>
    </row>
    <row r="996" spans="6:8" x14ac:dyDescent="0.2">
      <c r="F996" s="17"/>
      <c r="G996" s="17"/>
      <c r="H996" s="17"/>
    </row>
    <row r="997" spans="6:8" x14ac:dyDescent="0.2">
      <c r="F997" s="17"/>
      <c r="G997" s="17"/>
      <c r="H997" s="17"/>
    </row>
    <row r="998" spans="6:8" x14ac:dyDescent="0.2">
      <c r="F998"/>
      <c r="G998"/>
      <c r="H998"/>
    </row>
    <row r="999" spans="6:8" x14ac:dyDescent="0.2">
      <c r="F999"/>
      <c r="G999"/>
      <c r="H999"/>
    </row>
    <row r="1000" spans="6:8" x14ac:dyDescent="0.2">
      <c r="F1000"/>
      <c r="G1000"/>
      <c r="H1000"/>
    </row>
    <row r="1001" spans="6:8" x14ac:dyDescent="0.2">
      <c r="F1001"/>
      <c r="G1001"/>
      <c r="H1001"/>
    </row>
    <row r="1002" spans="6:8" x14ac:dyDescent="0.2">
      <c r="F1002"/>
      <c r="G1002"/>
      <c r="H1002"/>
    </row>
    <row r="1003" spans="6:8" x14ac:dyDescent="0.2">
      <c r="F1003"/>
      <c r="G1003"/>
      <c r="H1003"/>
    </row>
    <row r="1004" spans="6:8" x14ac:dyDescent="0.2">
      <c r="F1004"/>
      <c r="G1004"/>
      <c r="H1004"/>
    </row>
    <row r="1016" spans="6:8" x14ac:dyDescent="0.2">
      <c r="F1016" s="28"/>
      <c r="G1016" s="28"/>
      <c r="H1016" s="28"/>
    </row>
    <row r="1017" spans="6:8" x14ac:dyDescent="0.2">
      <c r="F1017" s="28"/>
      <c r="G1017" s="28"/>
      <c r="H1017" s="28"/>
    </row>
    <row r="1018" spans="6:8" x14ac:dyDescent="0.2">
      <c r="F1018" s="28"/>
      <c r="G1018" s="28"/>
      <c r="H1018" s="28"/>
    </row>
    <row r="1021" spans="6:8" x14ac:dyDescent="0.2">
      <c r="F1021" s="28"/>
      <c r="G1021" s="28"/>
      <c r="H1021" s="28"/>
    </row>
    <row r="1022" spans="6:8" x14ac:dyDescent="0.2">
      <c r="F1022" s="28"/>
      <c r="G1022" s="28"/>
      <c r="H1022" s="28"/>
    </row>
    <row r="1023" spans="6:8" x14ac:dyDescent="0.2">
      <c r="F1023" s="28"/>
      <c r="G1023" s="28"/>
      <c r="H1023" s="28"/>
    </row>
    <row r="1024" spans="6:8" x14ac:dyDescent="0.2">
      <c r="F1024" s="28"/>
      <c r="G1024" s="28"/>
      <c r="H1024" s="28"/>
    </row>
    <row r="1025" spans="6:8" x14ac:dyDescent="0.2">
      <c r="F1025" s="28"/>
      <c r="G1025" s="28"/>
      <c r="H1025" s="28"/>
    </row>
    <row r="1026" spans="6:8" x14ac:dyDescent="0.2">
      <c r="F1026" s="28"/>
      <c r="G1026" s="28"/>
      <c r="H1026" s="28"/>
    </row>
    <row r="1027" spans="6:8" x14ac:dyDescent="0.2">
      <c r="F1027" s="28"/>
      <c r="G1027" s="28"/>
      <c r="H1027" s="28"/>
    </row>
    <row r="1028" spans="6:8" x14ac:dyDescent="0.2">
      <c r="F1028" s="28"/>
      <c r="G1028" s="28"/>
      <c r="H1028" s="28"/>
    </row>
    <row r="1051" spans="6:8" x14ac:dyDescent="0.2">
      <c r="F1051" s="53"/>
      <c r="G1051" s="53"/>
      <c r="H1051" s="53"/>
    </row>
    <row r="1052" spans="6:8" x14ac:dyDescent="0.2">
      <c r="F1052" s="17"/>
      <c r="G1052" s="17"/>
      <c r="H1052" s="17"/>
    </row>
    <row r="1053" spans="6:8" x14ac:dyDescent="0.2">
      <c r="F1053" s="17"/>
      <c r="G1053" s="17"/>
      <c r="H1053" s="17"/>
    </row>
    <row r="1054" spans="6:8" x14ac:dyDescent="0.2">
      <c r="F1054" s="17"/>
      <c r="G1054" s="17"/>
      <c r="H1054" s="17"/>
    </row>
    <row r="1055" spans="6:8" x14ac:dyDescent="0.2">
      <c r="F1055" s="17"/>
      <c r="G1055" s="17"/>
      <c r="H1055" s="17"/>
    </row>
    <row r="1056" spans="6:8" x14ac:dyDescent="0.2">
      <c r="F1056" s="17"/>
      <c r="G1056" s="17"/>
      <c r="H1056" s="17"/>
    </row>
    <row r="1057" spans="6:8" x14ac:dyDescent="0.2">
      <c r="F1057" s="17"/>
      <c r="G1057" s="17"/>
      <c r="H1057" s="17"/>
    </row>
    <row r="1058" spans="6:8" x14ac:dyDescent="0.2">
      <c r="F1058" s="17"/>
      <c r="G1058" s="17"/>
      <c r="H1058" s="17"/>
    </row>
    <row r="1059" spans="6:8" x14ac:dyDescent="0.2">
      <c r="F1059" s="17"/>
      <c r="G1059" s="17"/>
      <c r="H1059" s="17"/>
    </row>
    <row r="1060" spans="6:8" x14ac:dyDescent="0.2">
      <c r="F1060" s="17"/>
      <c r="G1060" s="17"/>
      <c r="H1060" s="17"/>
    </row>
    <row r="1061" spans="6:8" x14ac:dyDescent="0.2">
      <c r="F1061" s="17"/>
      <c r="G1061" s="17"/>
      <c r="H1061" s="17"/>
    </row>
    <row r="1062" spans="6:8" x14ac:dyDescent="0.2">
      <c r="F1062" s="17"/>
      <c r="G1062" s="17"/>
      <c r="H1062" s="17"/>
    </row>
    <row r="1063" spans="6:8" x14ac:dyDescent="0.2">
      <c r="F1063" s="17"/>
      <c r="G1063" s="17"/>
      <c r="H1063" s="17"/>
    </row>
    <row r="1064" spans="6:8" x14ac:dyDescent="0.2">
      <c r="F1064" s="17"/>
      <c r="G1064" s="17"/>
      <c r="H1064" s="17"/>
    </row>
    <row r="1065" spans="6:8" x14ac:dyDescent="0.2">
      <c r="F1065" s="17"/>
      <c r="G1065" s="17"/>
      <c r="H1065" s="17"/>
    </row>
    <row r="1066" spans="6:8" x14ac:dyDescent="0.2">
      <c r="F1066" s="17"/>
      <c r="G1066" s="17"/>
      <c r="H1066" s="17"/>
    </row>
    <row r="1067" spans="6:8" x14ac:dyDescent="0.2">
      <c r="F1067" s="17"/>
      <c r="G1067" s="17"/>
      <c r="H1067" s="17"/>
    </row>
    <row r="1068" spans="6:8" x14ac:dyDescent="0.2">
      <c r="F1068" s="17"/>
      <c r="G1068" s="17"/>
      <c r="H1068" s="17"/>
    </row>
    <row r="1069" spans="6:8" x14ac:dyDescent="0.2">
      <c r="F1069" s="17"/>
      <c r="G1069" s="17"/>
      <c r="H1069" s="17"/>
    </row>
    <row r="1070" spans="6:8" x14ac:dyDescent="0.2">
      <c r="F1070" s="17"/>
      <c r="G1070" s="17"/>
      <c r="H1070" s="17"/>
    </row>
    <row r="1071" spans="6:8" x14ac:dyDescent="0.2">
      <c r="F1071" s="17"/>
      <c r="G1071" s="17"/>
      <c r="H1071" s="17"/>
    </row>
    <row r="1072" spans="6:8" x14ac:dyDescent="0.2">
      <c r="F1072" s="17"/>
      <c r="G1072" s="17"/>
      <c r="H1072" s="17"/>
    </row>
    <row r="1073" spans="6:8" x14ac:dyDescent="0.2">
      <c r="F1073" s="17"/>
      <c r="G1073" s="17"/>
      <c r="H1073" s="17"/>
    </row>
    <row r="1074" spans="6:8" x14ac:dyDescent="0.2">
      <c r="F1074" s="17"/>
      <c r="G1074" s="17"/>
      <c r="H1074" s="17"/>
    </row>
  </sheetData>
  <autoFilter ref="A1:AU1" xr:uid="{AD094D09-0E91-2543-8F39-D48D3B80E8C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C7CC-E45F-1A44-9431-999CDCEAB85F}">
  <dimension ref="A1:AU1074"/>
  <sheetViews>
    <sheetView zoomScale="117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W9" sqref="AW9"/>
    </sheetView>
  </sheetViews>
  <sheetFormatPr baseColWidth="10" defaultRowHeight="16" x14ac:dyDescent="0.2"/>
  <cols>
    <col min="2" max="3" width="10.83203125" style="3"/>
    <col min="6" max="6" width="15.83203125" style="3" customWidth="1"/>
    <col min="7" max="45" width="10.83203125" style="3"/>
  </cols>
  <sheetData>
    <row r="1" spans="1:47" s="1" customFormat="1" ht="153" customHeight="1" x14ac:dyDescent="0.2">
      <c r="A1" s="1" t="s">
        <v>94</v>
      </c>
      <c r="B1" s="179" t="s">
        <v>95</v>
      </c>
      <c r="C1" s="179" t="s">
        <v>0</v>
      </c>
      <c r="D1" s="179" t="s">
        <v>96</v>
      </c>
      <c r="E1" s="179" t="s">
        <v>97</v>
      </c>
      <c r="F1" s="182" t="s">
        <v>98</v>
      </c>
      <c r="G1" s="179" t="s">
        <v>99</v>
      </c>
      <c r="H1" s="182" t="s">
        <v>100</v>
      </c>
      <c r="I1" s="1" t="s">
        <v>101</v>
      </c>
      <c r="J1" s="1" t="s">
        <v>102</v>
      </c>
      <c r="K1" s="179" t="s">
        <v>103</v>
      </c>
      <c r="L1" s="179" t="s">
        <v>104</v>
      </c>
      <c r="M1" s="181" t="s">
        <v>105</v>
      </c>
      <c r="N1" s="179" t="s">
        <v>106</v>
      </c>
      <c r="O1" s="179" t="s">
        <v>107</v>
      </c>
      <c r="P1" s="179" t="s">
        <v>108</v>
      </c>
      <c r="Q1" s="179" t="s">
        <v>109</v>
      </c>
      <c r="R1" s="179" t="s">
        <v>110</v>
      </c>
      <c r="S1" s="179" t="s">
        <v>111</v>
      </c>
      <c r="T1" s="179" t="s">
        <v>112</v>
      </c>
      <c r="U1" s="180" t="s">
        <v>113</v>
      </c>
      <c r="V1" s="180" t="s">
        <v>114</v>
      </c>
      <c r="W1" s="180" t="s">
        <v>115</v>
      </c>
      <c r="X1" s="180" t="s">
        <v>116</v>
      </c>
      <c r="Y1" s="180" t="s">
        <v>117</v>
      </c>
      <c r="Z1" s="180" t="s">
        <v>118</v>
      </c>
      <c r="AA1" s="180" t="s">
        <v>119</v>
      </c>
      <c r="AB1" s="180" t="s">
        <v>120</v>
      </c>
      <c r="AC1" s="180" t="s">
        <v>121</v>
      </c>
      <c r="AD1" s="180" t="s">
        <v>122</v>
      </c>
      <c r="AE1" s="179" t="s">
        <v>123</v>
      </c>
      <c r="AF1" s="179" t="s">
        <v>124</v>
      </c>
      <c r="AG1" s="179" t="s">
        <v>125</v>
      </c>
      <c r="AH1" s="179" t="s">
        <v>126</v>
      </c>
      <c r="AI1" s="179" t="s">
        <v>127</v>
      </c>
      <c r="AJ1" s="179" t="s">
        <v>128</v>
      </c>
      <c r="AK1" s="1" t="s">
        <v>129</v>
      </c>
      <c r="AL1" s="1" t="s">
        <v>130</v>
      </c>
      <c r="AM1" s="1" t="s">
        <v>131</v>
      </c>
      <c r="AN1" s="1" t="s">
        <v>132</v>
      </c>
      <c r="AO1" s="1" t="s">
        <v>133</v>
      </c>
      <c r="AP1" s="1" t="s">
        <v>134</v>
      </c>
      <c r="AQ1" s="1" t="s">
        <v>135</v>
      </c>
      <c r="AR1" s="1" t="s">
        <v>136</v>
      </c>
      <c r="AS1" s="1" t="s">
        <v>137</v>
      </c>
      <c r="AT1" s="1" t="s">
        <v>138</v>
      </c>
      <c r="AU1" s="1" t="s">
        <v>139</v>
      </c>
    </row>
    <row r="2" spans="1:47" x14ac:dyDescent="0.2">
      <c r="A2">
        <v>1</v>
      </c>
      <c r="C2" s="13">
        <v>21.1</v>
      </c>
      <c r="D2" s="125" t="s">
        <v>156</v>
      </c>
      <c r="E2" t="s">
        <v>491</v>
      </c>
      <c r="F2" s="3" t="s">
        <v>77</v>
      </c>
      <c r="G2" s="3" t="s">
        <v>77</v>
      </c>
      <c r="I2" s="82">
        <v>44213</v>
      </c>
      <c r="J2" s="17" t="s">
        <v>142</v>
      </c>
      <c r="K2" s="17" t="s">
        <v>203</v>
      </c>
      <c r="L2" s="17"/>
      <c r="M2" s="17"/>
      <c r="N2" s="17">
        <v>176.32</v>
      </c>
      <c r="O2" s="17">
        <v>162.47999999999999</v>
      </c>
      <c r="P2" s="17">
        <v>170.97</v>
      </c>
      <c r="Q2" s="17">
        <v>37.61</v>
      </c>
      <c r="R2" s="17">
        <v>21.95</v>
      </c>
      <c r="S2" s="17"/>
      <c r="T2" s="17"/>
      <c r="U2" s="50"/>
      <c r="V2" s="50">
        <v>48.61</v>
      </c>
      <c r="W2" s="50">
        <v>64.87</v>
      </c>
      <c r="X2" s="50">
        <v>78.930000000000007</v>
      </c>
      <c r="Y2" s="50">
        <v>33.590000000000003</v>
      </c>
      <c r="Z2" s="50">
        <v>85.23</v>
      </c>
      <c r="AA2" s="50">
        <v>69.41</v>
      </c>
      <c r="AB2" s="50">
        <v>72.540000000000006</v>
      </c>
      <c r="AC2" s="50">
        <v>13.9</v>
      </c>
      <c r="AD2" s="50">
        <v>45.59</v>
      </c>
      <c r="AE2" s="17">
        <v>25.99</v>
      </c>
      <c r="AF2" s="17">
        <v>26.11</v>
      </c>
      <c r="AG2" s="17">
        <v>32.18</v>
      </c>
      <c r="AH2" s="17">
        <v>35.22</v>
      </c>
      <c r="AI2" s="17">
        <v>1.4079999999999999</v>
      </c>
      <c r="AJ2" s="54"/>
      <c r="AK2" s="54"/>
      <c r="AL2" s="17">
        <v>9.9</v>
      </c>
      <c r="AM2" s="17"/>
      <c r="AN2" s="17"/>
      <c r="AO2" s="17">
        <v>11.5</v>
      </c>
      <c r="AP2" s="17">
        <v>105.7</v>
      </c>
      <c r="AQ2" s="17"/>
      <c r="AR2" s="17">
        <v>31.77</v>
      </c>
      <c r="AS2" s="17"/>
      <c r="AT2" s="3" t="s">
        <v>146</v>
      </c>
      <c r="AU2" s="3"/>
    </row>
    <row r="3" spans="1:47" x14ac:dyDescent="0.2">
      <c r="A3">
        <v>2</v>
      </c>
      <c r="C3" s="13">
        <v>21.2</v>
      </c>
      <c r="D3" s="125" t="s">
        <v>156</v>
      </c>
      <c r="E3" t="s">
        <v>491</v>
      </c>
      <c r="F3" s="3" t="s">
        <v>77</v>
      </c>
      <c r="G3" s="3" t="s">
        <v>77</v>
      </c>
      <c r="I3" s="82">
        <v>44213</v>
      </c>
      <c r="J3" s="17" t="s">
        <v>142</v>
      </c>
      <c r="K3" s="17" t="s">
        <v>235</v>
      </c>
      <c r="L3" s="17"/>
      <c r="M3" s="17"/>
      <c r="N3" s="17">
        <v>188.46</v>
      </c>
      <c r="O3" s="17">
        <v>164.5</v>
      </c>
      <c r="P3" s="17">
        <v>173.86</v>
      </c>
      <c r="Q3" s="17">
        <v>41.28</v>
      </c>
      <c r="R3" s="17">
        <v>16.920000000000002</v>
      </c>
      <c r="S3" s="17"/>
      <c r="T3" s="17"/>
      <c r="U3" s="50"/>
      <c r="V3" s="50">
        <v>46.6</v>
      </c>
      <c r="W3" s="50">
        <v>66.66</v>
      </c>
      <c r="X3" s="50">
        <v>81.89</v>
      </c>
      <c r="Y3" s="50">
        <v>34.869999999999997</v>
      </c>
      <c r="Z3" s="50">
        <v>88.2</v>
      </c>
      <c r="AA3" s="50">
        <v>74.86</v>
      </c>
      <c r="AB3" s="50">
        <v>66.680000000000007</v>
      </c>
      <c r="AC3" s="50">
        <v>6.77</v>
      </c>
      <c r="AD3" s="50">
        <v>45.5</v>
      </c>
      <c r="AE3" s="17">
        <v>24.73</v>
      </c>
      <c r="AF3" s="17">
        <v>37.07</v>
      </c>
      <c r="AG3" s="17">
        <v>26.94</v>
      </c>
      <c r="AH3" s="17">
        <v>44.49</v>
      </c>
      <c r="AI3" s="17">
        <v>1.419</v>
      </c>
      <c r="AJ3" s="17">
        <v>1.1000000000000001</v>
      </c>
      <c r="AK3" s="17"/>
      <c r="AL3" s="17">
        <v>56</v>
      </c>
      <c r="AM3" s="17"/>
      <c r="AN3" s="17"/>
      <c r="AO3" s="17">
        <v>8.75</v>
      </c>
      <c r="AP3" s="17">
        <v>78.239999999999995</v>
      </c>
      <c r="AQ3" s="17"/>
      <c r="AR3" s="17">
        <v>33.93</v>
      </c>
      <c r="AS3" s="17"/>
      <c r="AT3" s="3" t="s">
        <v>146</v>
      </c>
      <c r="AU3" s="3"/>
    </row>
    <row r="4" spans="1:47" x14ac:dyDescent="0.2">
      <c r="A4">
        <v>3</v>
      </c>
      <c r="C4" s="13">
        <v>21.3</v>
      </c>
      <c r="D4" s="125" t="s">
        <v>156</v>
      </c>
      <c r="E4" t="s">
        <v>491</v>
      </c>
      <c r="F4" s="3" t="s">
        <v>77</v>
      </c>
      <c r="G4" s="3" t="s">
        <v>77</v>
      </c>
      <c r="I4" s="82">
        <v>44213</v>
      </c>
      <c r="J4" s="17" t="s">
        <v>142</v>
      </c>
      <c r="K4" s="17" t="s">
        <v>203</v>
      </c>
      <c r="L4" s="17"/>
      <c r="M4" s="17"/>
      <c r="N4" s="17">
        <v>160.1</v>
      </c>
      <c r="O4" s="17">
        <v>162.75</v>
      </c>
      <c r="P4" s="17">
        <v>165.27</v>
      </c>
      <c r="Q4" s="17">
        <v>36.450000000000003</v>
      </c>
      <c r="R4" s="17">
        <v>20.93</v>
      </c>
      <c r="S4" s="17"/>
      <c r="T4" s="17"/>
      <c r="U4" s="50"/>
      <c r="V4" s="50">
        <v>45.16</v>
      </c>
      <c r="W4" s="50">
        <v>68.150000000000006</v>
      </c>
      <c r="X4" s="50">
        <v>80.45</v>
      </c>
      <c r="Y4" s="50">
        <v>35.340000000000003</v>
      </c>
      <c r="Z4" s="50">
        <v>8.59</v>
      </c>
      <c r="AA4" s="50">
        <v>71.62</v>
      </c>
      <c r="AB4" s="50">
        <v>70.430000000000007</v>
      </c>
      <c r="AC4" s="50">
        <v>3.77</v>
      </c>
      <c r="AD4" s="50">
        <v>41.14</v>
      </c>
      <c r="AE4" s="17">
        <v>30.19</v>
      </c>
      <c r="AF4" s="17">
        <v>38.56</v>
      </c>
      <c r="AG4" s="17">
        <v>25.18</v>
      </c>
      <c r="AH4" s="17">
        <v>34.46</v>
      </c>
      <c r="AI4" s="17">
        <v>1.5089999999999999</v>
      </c>
      <c r="AJ4" s="54"/>
      <c r="AK4" s="54"/>
      <c r="AL4" s="17">
        <v>12.1</v>
      </c>
      <c r="AM4" s="17"/>
      <c r="AN4" s="17"/>
      <c r="AO4" s="17">
        <v>13.15</v>
      </c>
      <c r="AP4" s="17">
        <v>89.06</v>
      </c>
      <c r="AQ4" s="17"/>
      <c r="AR4" s="17">
        <v>29.13</v>
      </c>
      <c r="AS4" s="17"/>
      <c r="AT4" s="3" t="s">
        <v>146</v>
      </c>
      <c r="AU4" s="3"/>
    </row>
    <row r="5" spans="1:47" x14ac:dyDescent="0.2">
      <c r="A5">
        <v>4</v>
      </c>
      <c r="C5" s="13">
        <v>21.4</v>
      </c>
      <c r="D5" s="125" t="s">
        <v>156</v>
      </c>
      <c r="E5" t="s">
        <v>491</v>
      </c>
      <c r="F5" s="3" t="s">
        <v>77</v>
      </c>
      <c r="G5" s="3" t="s">
        <v>77</v>
      </c>
      <c r="I5" s="82">
        <v>44213</v>
      </c>
      <c r="J5" s="17" t="s">
        <v>142</v>
      </c>
      <c r="K5" s="17" t="s">
        <v>203</v>
      </c>
      <c r="L5" s="17"/>
      <c r="M5" s="17"/>
      <c r="N5" s="17">
        <v>163.13</v>
      </c>
      <c r="O5" s="17">
        <v>154.65</v>
      </c>
      <c r="P5" s="17">
        <v>166.52</v>
      </c>
      <c r="Q5" s="17">
        <v>34.159999999999997</v>
      </c>
      <c r="R5" s="17">
        <v>16.93</v>
      </c>
      <c r="S5" s="17"/>
      <c r="T5" s="17"/>
      <c r="U5" s="50"/>
      <c r="V5" s="50">
        <v>44.52</v>
      </c>
      <c r="W5" s="50">
        <v>65.819999999999993</v>
      </c>
      <c r="X5" s="50">
        <v>76.849999999999994</v>
      </c>
      <c r="Y5" s="50">
        <v>34</v>
      </c>
      <c r="Z5" s="50">
        <v>85.37</v>
      </c>
      <c r="AA5" s="50">
        <v>70.12</v>
      </c>
      <c r="AB5" s="50">
        <v>70.39</v>
      </c>
      <c r="AC5" s="50">
        <v>3.53</v>
      </c>
      <c r="AD5" s="50">
        <v>43.64</v>
      </c>
      <c r="AE5" s="17">
        <v>27.09</v>
      </c>
      <c r="AF5" s="17">
        <v>36.979999999999997</v>
      </c>
      <c r="AG5" s="17">
        <v>29.86</v>
      </c>
      <c r="AH5" s="17">
        <v>38.28</v>
      </c>
      <c r="AI5" s="17">
        <v>1.4</v>
      </c>
      <c r="AJ5" s="54"/>
      <c r="AK5" s="54"/>
      <c r="AL5" s="17">
        <v>8</v>
      </c>
      <c r="AM5" s="17"/>
      <c r="AN5" s="17"/>
      <c r="AO5" s="17">
        <v>10.78</v>
      </c>
      <c r="AP5" s="17">
        <v>93.98</v>
      </c>
      <c r="AQ5" s="17"/>
      <c r="AR5" s="17">
        <v>37.93</v>
      </c>
      <c r="AS5" s="17"/>
      <c r="AT5" s="3" t="s">
        <v>146</v>
      </c>
      <c r="AU5" s="3"/>
    </row>
    <row r="6" spans="1:47" x14ac:dyDescent="0.2">
      <c r="A6">
        <v>5</v>
      </c>
      <c r="B6" s="3">
        <v>1</v>
      </c>
      <c r="C6" s="13">
        <v>21.5</v>
      </c>
      <c r="D6" s="126" t="s">
        <v>168</v>
      </c>
      <c r="E6" t="s">
        <v>169</v>
      </c>
      <c r="F6" s="3" t="s">
        <v>170</v>
      </c>
      <c r="H6" s="3" t="s">
        <v>177</v>
      </c>
      <c r="I6" s="127">
        <v>44216</v>
      </c>
      <c r="J6" s="17" t="s">
        <v>142</v>
      </c>
      <c r="K6" s="17" t="s">
        <v>235</v>
      </c>
      <c r="L6" s="17"/>
      <c r="M6" s="17"/>
      <c r="N6" s="17">
        <v>296.64999999999998</v>
      </c>
      <c r="O6" s="17">
        <v>182.55</v>
      </c>
      <c r="P6" s="17">
        <v>206.68</v>
      </c>
      <c r="Q6" s="17">
        <v>44.57</v>
      </c>
      <c r="R6" s="17">
        <v>31.41</v>
      </c>
      <c r="S6" s="17"/>
      <c r="T6" s="17"/>
      <c r="U6" s="50"/>
      <c r="V6" s="50">
        <v>54.04</v>
      </c>
      <c r="W6" s="50">
        <v>74.8</v>
      </c>
      <c r="X6" s="50">
        <v>94.43</v>
      </c>
      <c r="Y6" s="50">
        <v>48.31</v>
      </c>
      <c r="Z6" s="50">
        <v>104.27</v>
      </c>
      <c r="AA6" s="50">
        <v>88.3</v>
      </c>
      <c r="AB6" s="50">
        <v>82.47</v>
      </c>
      <c r="AC6" s="50">
        <v>0.28999999999999998</v>
      </c>
      <c r="AD6" s="50">
        <v>54.65</v>
      </c>
      <c r="AE6" s="17">
        <v>28.41</v>
      </c>
      <c r="AF6" s="17">
        <v>37.11</v>
      </c>
      <c r="AG6" s="17">
        <v>32.700000000000003</v>
      </c>
      <c r="AH6" s="17">
        <v>38.25</v>
      </c>
      <c r="AI6" s="17">
        <v>1.1659999999999999</v>
      </c>
      <c r="AJ6" s="17">
        <v>52.83</v>
      </c>
      <c r="AK6" s="17"/>
      <c r="AL6" s="17"/>
      <c r="AM6" s="17"/>
      <c r="AN6" s="17">
        <v>115</v>
      </c>
      <c r="AO6" s="17">
        <v>10.42</v>
      </c>
      <c r="AP6" s="128"/>
      <c r="AQ6" s="17"/>
      <c r="AR6" s="17">
        <v>50.71</v>
      </c>
      <c r="AS6" s="17"/>
      <c r="AT6" s="3" t="s">
        <v>146</v>
      </c>
      <c r="AU6" s="3"/>
    </row>
    <row r="7" spans="1:47" x14ac:dyDescent="0.2">
      <c r="A7">
        <v>6</v>
      </c>
      <c r="B7" s="3">
        <v>2</v>
      </c>
      <c r="C7" s="13">
        <v>21.6</v>
      </c>
      <c r="D7" s="126" t="s">
        <v>168</v>
      </c>
      <c r="E7" t="s">
        <v>169</v>
      </c>
      <c r="F7" s="3" t="s">
        <v>170</v>
      </c>
      <c r="H7" s="3" t="s">
        <v>177</v>
      </c>
      <c r="I7" s="127">
        <v>44216</v>
      </c>
      <c r="J7" s="17" t="s">
        <v>142</v>
      </c>
      <c r="K7" s="17" t="s">
        <v>235</v>
      </c>
      <c r="L7" s="17"/>
      <c r="M7" s="17"/>
      <c r="N7" s="17">
        <v>288.14999999999998</v>
      </c>
      <c r="O7" s="17">
        <v>184.27</v>
      </c>
      <c r="P7" s="17">
        <v>197.22</v>
      </c>
      <c r="Q7" s="17">
        <v>41.31</v>
      </c>
      <c r="R7" s="17">
        <v>27.1</v>
      </c>
      <c r="S7" s="17"/>
      <c r="T7" s="17"/>
      <c r="U7" s="50"/>
      <c r="V7" s="50">
        <v>53.47</v>
      </c>
      <c r="W7" s="50">
        <v>72.239999999999995</v>
      </c>
      <c r="X7" s="50">
        <v>94.3</v>
      </c>
      <c r="Y7" s="50">
        <v>45.7</v>
      </c>
      <c r="Z7" s="50">
        <v>104.94</v>
      </c>
      <c r="AA7" s="50">
        <v>87.25</v>
      </c>
      <c r="AB7" s="50">
        <v>82.64</v>
      </c>
      <c r="AC7" s="50">
        <v>0.03</v>
      </c>
      <c r="AD7" s="50">
        <v>50.86</v>
      </c>
      <c r="AE7" s="17">
        <v>34.729999999999997</v>
      </c>
      <c r="AF7" s="17">
        <v>42.8</v>
      </c>
      <c r="AG7" s="17">
        <v>42.79</v>
      </c>
      <c r="AH7" s="17">
        <v>37.46</v>
      </c>
      <c r="AI7" s="17">
        <v>1.4350000000000001</v>
      </c>
      <c r="AJ7" s="17">
        <v>48.19</v>
      </c>
      <c r="AK7" s="17"/>
      <c r="AL7" s="17"/>
      <c r="AM7" s="17"/>
      <c r="AN7" s="17">
        <v>110</v>
      </c>
      <c r="AO7" s="17">
        <v>13.34</v>
      </c>
      <c r="AP7" s="128"/>
      <c r="AQ7" s="17"/>
      <c r="AR7" s="17">
        <v>53.03</v>
      </c>
      <c r="AS7" s="17"/>
      <c r="AT7" s="3" t="s">
        <v>146</v>
      </c>
      <c r="AU7" s="3"/>
    </row>
    <row r="8" spans="1:47" x14ac:dyDescent="0.2">
      <c r="A8">
        <v>7</v>
      </c>
      <c r="B8" s="3">
        <v>3</v>
      </c>
      <c r="C8" s="13">
        <v>21.7</v>
      </c>
      <c r="D8" s="126" t="s">
        <v>168</v>
      </c>
      <c r="E8" t="s">
        <v>169</v>
      </c>
      <c r="F8" s="3" t="s">
        <v>170</v>
      </c>
      <c r="G8" s="3" t="s">
        <v>30</v>
      </c>
      <c r="I8" s="127">
        <v>44216</v>
      </c>
      <c r="J8" s="17" t="s">
        <v>142</v>
      </c>
      <c r="K8" s="17" t="s">
        <v>235</v>
      </c>
      <c r="L8" s="17"/>
      <c r="M8" s="17"/>
      <c r="N8" s="17">
        <v>302.74</v>
      </c>
      <c r="O8" s="17">
        <v>196.45</v>
      </c>
      <c r="P8" s="17">
        <v>209.52</v>
      </c>
      <c r="Q8" s="17">
        <v>38.32</v>
      </c>
      <c r="R8" s="17">
        <v>37.700000000000003</v>
      </c>
      <c r="S8" s="17"/>
      <c r="T8" s="17"/>
      <c r="U8" s="50"/>
      <c r="V8" s="50">
        <v>55</v>
      </c>
      <c r="W8" s="50">
        <v>75.290000000000006</v>
      </c>
      <c r="X8" s="50">
        <v>93.67</v>
      </c>
      <c r="Y8" s="50">
        <v>40.69</v>
      </c>
      <c r="Z8" s="50">
        <v>103.74</v>
      </c>
      <c r="AA8" s="50">
        <v>86.27</v>
      </c>
      <c r="AB8" s="50">
        <v>83.28</v>
      </c>
      <c r="AC8" s="50">
        <v>0</v>
      </c>
      <c r="AD8" s="50">
        <v>54.67</v>
      </c>
      <c r="AE8" s="17">
        <v>40.94</v>
      </c>
      <c r="AF8" s="17">
        <v>40.94</v>
      </c>
      <c r="AG8" s="17">
        <v>42.53</v>
      </c>
      <c r="AH8" s="17">
        <v>36.880000000000003</v>
      </c>
      <c r="AI8" s="17">
        <v>1.0660000000000001</v>
      </c>
      <c r="AJ8" s="17">
        <v>58.1</v>
      </c>
      <c r="AK8" s="17"/>
      <c r="AL8" s="17"/>
      <c r="AM8" s="17"/>
      <c r="AN8" s="17"/>
      <c r="AO8" s="17">
        <v>9.91</v>
      </c>
      <c r="AP8" s="128"/>
      <c r="AQ8" s="17"/>
      <c r="AR8" s="17">
        <v>51.77</v>
      </c>
      <c r="AS8" s="17"/>
      <c r="AT8" s="3" t="s">
        <v>146</v>
      </c>
      <c r="AU8" s="3"/>
    </row>
    <row r="9" spans="1:47" x14ac:dyDescent="0.2">
      <c r="A9">
        <v>8</v>
      </c>
      <c r="B9" s="3">
        <v>4</v>
      </c>
      <c r="C9" s="13">
        <v>21.8</v>
      </c>
      <c r="D9" s="126" t="s">
        <v>168</v>
      </c>
      <c r="E9" t="s">
        <v>169</v>
      </c>
      <c r="F9" s="3" t="s">
        <v>170</v>
      </c>
      <c r="G9" s="35"/>
      <c r="H9" s="3" t="s">
        <v>177</v>
      </c>
      <c r="I9" s="127">
        <v>44216</v>
      </c>
      <c r="J9" s="17" t="s">
        <v>142</v>
      </c>
      <c r="K9" s="17" t="s">
        <v>235</v>
      </c>
      <c r="L9" s="17"/>
      <c r="M9" s="17"/>
      <c r="N9" s="17">
        <v>304.20999999999998</v>
      </c>
      <c r="O9" s="17">
        <v>191.32</v>
      </c>
      <c r="P9" s="17">
        <v>200.02</v>
      </c>
      <c r="Q9" s="17">
        <v>37.450000000000003</v>
      </c>
      <c r="R9" s="17">
        <v>33.270000000000003</v>
      </c>
      <c r="S9" s="17"/>
      <c r="T9" s="17"/>
      <c r="U9" s="50"/>
      <c r="V9" s="50">
        <v>56.3</v>
      </c>
      <c r="W9" s="50">
        <v>76.5</v>
      </c>
      <c r="X9" s="50">
        <v>97.29</v>
      </c>
      <c r="Y9" s="50">
        <v>42.54</v>
      </c>
      <c r="Z9" s="50">
        <v>106.13</v>
      </c>
      <c r="AA9" s="50">
        <v>89.19</v>
      </c>
      <c r="AB9" s="50">
        <v>83.71</v>
      </c>
      <c r="AC9" s="50">
        <v>0.02</v>
      </c>
      <c r="AD9" s="50">
        <v>54.01</v>
      </c>
      <c r="AE9" s="17">
        <v>35.229999999999997</v>
      </c>
      <c r="AF9" s="17">
        <v>35.97</v>
      </c>
      <c r="AG9" s="17">
        <v>30.81</v>
      </c>
      <c r="AH9" s="17">
        <v>34.83</v>
      </c>
      <c r="AI9" s="17">
        <v>1.1060000000000001</v>
      </c>
      <c r="AJ9" s="17">
        <v>58.03</v>
      </c>
      <c r="AK9" s="17"/>
      <c r="AL9" s="17"/>
      <c r="AM9" s="17"/>
      <c r="AN9" s="17">
        <v>120</v>
      </c>
      <c r="AO9" s="17">
        <v>12.06</v>
      </c>
      <c r="AP9" s="128"/>
      <c r="AQ9" s="17"/>
      <c r="AR9" s="17">
        <v>50.26</v>
      </c>
      <c r="AS9" s="17"/>
      <c r="AT9" s="3" t="s">
        <v>146</v>
      </c>
      <c r="AU9" s="3"/>
    </row>
    <row r="10" spans="1:47" x14ac:dyDescent="0.2">
      <c r="A10">
        <v>9</v>
      </c>
      <c r="B10" s="3">
        <v>5</v>
      </c>
      <c r="C10" s="13">
        <v>21.9</v>
      </c>
      <c r="D10" s="126" t="s">
        <v>168</v>
      </c>
      <c r="E10" t="s">
        <v>169</v>
      </c>
      <c r="F10" s="3" t="s">
        <v>170</v>
      </c>
      <c r="G10" s="35"/>
      <c r="H10" s="3" t="s">
        <v>177</v>
      </c>
      <c r="I10" s="127">
        <v>44216</v>
      </c>
      <c r="J10" s="17" t="s">
        <v>142</v>
      </c>
      <c r="K10" s="17" t="s">
        <v>235</v>
      </c>
      <c r="L10" s="17"/>
      <c r="M10" s="17"/>
      <c r="N10" s="17">
        <v>303.13</v>
      </c>
      <c r="O10" s="17">
        <v>184.19</v>
      </c>
      <c r="P10" s="17">
        <v>195.12</v>
      </c>
      <c r="Q10" s="17">
        <v>43.7</v>
      </c>
      <c r="R10" s="17">
        <v>27.06</v>
      </c>
      <c r="S10" s="17"/>
      <c r="T10" s="17"/>
      <c r="U10" s="50"/>
      <c r="V10" s="50">
        <v>54.38</v>
      </c>
      <c r="W10" s="50">
        <v>75.38</v>
      </c>
      <c r="X10" s="50">
        <v>97.56</v>
      </c>
      <c r="Y10" s="50">
        <v>42.96</v>
      </c>
      <c r="Z10" s="50">
        <v>104.33</v>
      </c>
      <c r="AA10" s="50">
        <v>86.94</v>
      </c>
      <c r="AB10" s="50">
        <v>81.88</v>
      </c>
      <c r="AC10" s="50">
        <v>0.41</v>
      </c>
      <c r="AD10" s="50">
        <v>54.23</v>
      </c>
      <c r="AE10" s="17">
        <v>28.68</v>
      </c>
      <c r="AF10" s="17">
        <v>37.14</v>
      </c>
      <c r="AG10" s="17">
        <v>30.15</v>
      </c>
      <c r="AH10" s="17">
        <v>35.76</v>
      </c>
      <c r="AI10" s="17">
        <v>1.38</v>
      </c>
      <c r="AJ10" s="17">
        <v>52.35</v>
      </c>
      <c r="AK10" s="17"/>
      <c r="AL10" s="17"/>
      <c r="AM10" s="17"/>
      <c r="AN10" s="17">
        <v>145</v>
      </c>
      <c r="AO10" s="17">
        <v>13.7</v>
      </c>
      <c r="AP10" s="128"/>
      <c r="AQ10" s="17"/>
      <c r="AR10" s="17">
        <v>51.02</v>
      </c>
      <c r="AS10" s="17"/>
      <c r="AT10" s="3" t="s">
        <v>146</v>
      </c>
      <c r="AU10" s="3"/>
    </row>
    <row r="11" spans="1:47" x14ac:dyDescent="0.2">
      <c r="A11" s="115">
        <v>10.000000000000142</v>
      </c>
      <c r="B11" s="3">
        <v>6</v>
      </c>
      <c r="C11" s="12" t="s">
        <v>8</v>
      </c>
      <c r="D11" s="126" t="s">
        <v>168</v>
      </c>
      <c r="E11" t="s">
        <v>169</v>
      </c>
      <c r="F11" s="3" t="s">
        <v>170</v>
      </c>
      <c r="H11" s="3" t="s">
        <v>177</v>
      </c>
      <c r="I11" s="127">
        <v>44216</v>
      </c>
      <c r="J11" s="17" t="s">
        <v>142</v>
      </c>
      <c r="K11" s="17" t="s">
        <v>235</v>
      </c>
      <c r="L11" s="17"/>
      <c r="M11" s="17"/>
      <c r="N11" s="17">
        <v>310.8</v>
      </c>
      <c r="O11" s="17">
        <v>181.19</v>
      </c>
      <c r="P11" s="17">
        <v>185.15</v>
      </c>
      <c r="Q11" s="17">
        <v>39.880000000000003</v>
      </c>
      <c r="R11" s="17">
        <v>27.18</v>
      </c>
      <c r="S11" s="17"/>
      <c r="T11" s="17"/>
      <c r="U11" s="50"/>
      <c r="V11" s="50">
        <v>52.49</v>
      </c>
      <c r="W11" s="50">
        <v>77.510000000000005</v>
      </c>
      <c r="X11" s="50">
        <v>103.76</v>
      </c>
      <c r="Y11" s="50">
        <v>42.9</v>
      </c>
      <c r="Z11" s="50">
        <v>109.53</v>
      </c>
      <c r="AA11" s="50">
        <v>90.87</v>
      </c>
      <c r="AB11" s="50">
        <v>87.18</v>
      </c>
      <c r="AC11" s="50">
        <v>1.33</v>
      </c>
      <c r="AD11" s="50">
        <v>53.87</v>
      </c>
      <c r="AE11" s="17">
        <v>27.5</v>
      </c>
      <c r="AF11" s="17">
        <v>37.76</v>
      </c>
      <c r="AG11" s="17">
        <v>27.62</v>
      </c>
      <c r="AH11" s="17">
        <v>33.479999999999997</v>
      </c>
      <c r="AI11" s="17">
        <v>1.206</v>
      </c>
      <c r="AJ11" s="17">
        <v>56.23</v>
      </c>
      <c r="AK11" s="17"/>
      <c r="AL11" s="17"/>
      <c r="AM11" s="17"/>
      <c r="AN11" s="17">
        <v>130</v>
      </c>
      <c r="AO11" s="17">
        <v>13.79</v>
      </c>
      <c r="AP11" s="128"/>
      <c r="AQ11" s="17"/>
      <c r="AR11" s="17">
        <v>54.51</v>
      </c>
      <c r="AS11" s="17"/>
      <c r="AT11" s="3" t="s">
        <v>146</v>
      </c>
      <c r="AU11" s="3"/>
    </row>
    <row r="12" spans="1:47" x14ac:dyDescent="0.2">
      <c r="A12" s="115">
        <v>10.999999999999943</v>
      </c>
      <c r="B12" s="3">
        <v>7</v>
      </c>
      <c r="C12" s="6">
        <v>21.11</v>
      </c>
      <c r="D12" s="126" t="s">
        <v>168</v>
      </c>
      <c r="E12" t="s">
        <v>169</v>
      </c>
      <c r="F12" s="3" t="s">
        <v>170</v>
      </c>
      <c r="H12" s="3" t="s">
        <v>177</v>
      </c>
      <c r="I12" s="127">
        <v>44216</v>
      </c>
      <c r="J12" s="17" t="s">
        <v>142</v>
      </c>
      <c r="K12" s="17" t="s">
        <v>235</v>
      </c>
      <c r="L12" s="17"/>
      <c r="M12" s="17"/>
      <c r="N12" s="17">
        <v>317.52</v>
      </c>
      <c r="O12" s="17">
        <v>191.36</v>
      </c>
      <c r="P12" s="17">
        <v>197.5</v>
      </c>
      <c r="Q12" s="17">
        <v>39.200000000000003</v>
      </c>
      <c r="R12" s="17">
        <v>33.39</v>
      </c>
      <c r="S12" s="17"/>
      <c r="T12" s="17"/>
      <c r="U12" s="50"/>
      <c r="V12" s="50">
        <v>55.33</v>
      </c>
      <c r="W12" s="50">
        <v>74.819999999999993</v>
      </c>
      <c r="X12" s="50">
        <v>97.45</v>
      </c>
      <c r="Y12" s="50">
        <v>40.380000000000003</v>
      </c>
      <c r="Z12" s="50">
        <v>105.83</v>
      </c>
      <c r="AA12" s="50">
        <v>88.04</v>
      </c>
      <c r="AB12" s="50">
        <v>86.46</v>
      </c>
      <c r="AC12" s="50">
        <v>0.03</v>
      </c>
      <c r="AD12" s="50">
        <v>56.84</v>
      </c>
      <c r="AE12" s="17">
        <v>34.39</v>
      </c>
      <c r="AF12" s="17">
        <v>38.799999999999997</v>
      </c>
      <c r="AG12" s="17">
        <v>36.25</v>
      </c>
      <c r="AH12" s="17">
        <v>36.229999999999997</v>
      </c>
      <c r="AI12" s="17">
        <v>1.141</v>
      </c>
      <c r="AJ12" s="17">
        <v>57.89</v>
      </c>
      <c r="AK12" s="17"/>
      <c r="AL12" s="17"/>
      <c r="AM12" s="17"/>
      <c r="AN12" s="17">
        <v>160</v>
      </c>
      <c r="AO12" s="17">
        <v>12.45</v>
      </c>
      <c r="AP12" s="128"/>
      <c r="AQ12" s="17"/>
      <c r="AR12" s="17">
        <v>51.53</v>
      </c>
      <c r="AS12" s="17"/>
      <c r="AT12" s="3" t="s">
        <v>146</v>
      </c>
      <c r="AU12" s="3"/>
    </row>
    <row r="13" spans="1:47" x14ac:dyDescent="0.2">
      <c r="A13" s="115">
        <v>12.000000000000099</v>
      </c>
      <c r="B13" s="3">
        <v>8</v>
      </c>
      <c r="C13" s="6">
        <v>21.12</v>
      </c>
      <c r="D13" s="126" t="s">
        <v>168</v>
      </c>
      <c r="E13" t="s">
        <v>169</v>
      </c>
      <c r="F13" s="3" t="s">
        <v>170</v>
      </c>
      <c r="H13" s="3" t="s">
        <v>177</v>
      </c>
      <c r="I13" s="127">
        <v>44216</v>
      </c>
      <c r="J13" s="17" t="s">
        <v>142</v>
      </c>
      <c r="K13" s="17" t="s">
        <v>235</v>
      </c>
      <c r="L13" s="17"/>
      <c r="M13" s="17"/>
      <c r="N13" s="17">
        <v>300.83</v>
      </c>
      <c r="O13" s="17">
        <v>181.96</v>
      </c>
      <c r="P13" s="17">
        <v>180.84</v>
      </c>
      <c r="Q13" s="17">
        <v>42.46</v>
      </c>
      <c r="R13" s="17">
        <v>29.31</v>
      </c>
      <c r="S13" s="17"/>
      <c r="T13" s="17"/>
      <c r="U13" s="50"/>
      <c r="V13" s="50">
        <v>55.74</v>
      </c>
      <c r="W13" s="50">
        <v>74.75</v>
      </c>
      <c r="X13" s="50">
        <v>102.17</v>
      </c>
      <c r="Y13" s="50">
        <v>41.59</v>
      </c>
      <c r="Z13" s="50">
        <v>107.56</v>
      </c>
      <c r="AA13" s="50">
        <v>88.91</v>
      </c>
      <c r="AB13" s="50">
        <v>85.68</v>
      </c>
      <c r="AC13" s="50">
        <v>1.99</v>
      </c>
      <c r="AD13" s="50">
        <v>54.81</v>
      </c>
      <c r="AE13" s="17">
        <v>30.06</v>
      </c>
      <c r="AF13" s="17">
        <v>35.56</v>
      </c>
      <c r="AG13" s="17">
        <v>27.7</v>
      </c>
      <c r="AH13" s="17">
        <v>34.33</v>
      </c>
      <c r="AI13" s="17">
        <v>1.111</v>
      </c>
      <c r="AJ13" s="17">
        <v>52.74</v>
      </c>
      <c r="AK13" s="17"/>
      <c r="AL13" s="17"/>
      <c r="AM13" s="17"/>
      <c r="AN13" s="17">
        <v>167</v>
      </c>
      <c r="AO13" s="17">
        <v>14.2</v>
      </c>
      <c r="AP13" s="128"/>
      <c r="AQ13" s="17"/>
      <c r="AR13" s="17">
        <v>49.98</v>
      </c>
      <c r="AS13" s="17"/>
      <c r="AT13" s="3" t="s">
        <v>146</v>
      </c>
      <c r="AU13" s="3"/>
    </row>
    <row r="14" spans="1:47" x14ac:dyDescent="0.2">
      <c r="A14" s="115">
        <v>12.999999999999901</v>
      </c>
      <c r="B14" s="3">
        <v>9</v>
      </c>
      <c r="C14" s="6">
        <v>21.13</v>
      </c>
      <c r="D14" s="126" t="s">
        <v>168</v>
      </c>
      <c r="E14" t="s">
        <v>169</v>
      </c>
      <c r="F14" s="3" t="s">
        <v>170</v>
      </c>
      <c r="H14" s="3" t="s">
        <v>177</v>
      </c>
      <c r="I14" s="127">
        <v>44216</v>
      </c>
      <c r="J14" s="17" t="s">
        <v>142</v>
      </c>
      <c r="K14" s="17" t="s">
        <v>235</v>
      </c>
      <c r="L14" s="17"/>
      <c r="M14" s="17"/>
      <c r="N14" s="17">
        <v>311.45999999999998</v>
      </c>
      <c r="O14" s="17">
        <v>181.82</v>
      </c>
      <c r="P14" s="17">
        <v>190.09</v>
      </c>
      <c r="Q14" s="17">
        <v>41.85</v>
      </c>
      <c r="R14" s="17">
        <v>24.92</v>
      </c>
      <c r="S14" s="17"/>
      <c r="T14" s="17"/>
      <c r="U14" s="50"/>
      <c r="V14" s="50">
        <v>52.58</v>
      </c>
      <c r="W14" s="50">
        <v>76.34</v>
      </c>
      <c r="X14" s="50">
        <v>101.99</v>
      </c>
      <c r="Y14" s="50">
        <v>44.03</v>
      </c>
      <c r="Z14" s="50">
        <v>109.26</v>
      </c>
      <c r="AA14" s="50">
        <v>91.66</v>
      </c>
      <c r="AB14" s="50">
        <v>86.05</v>
      </c>
      <c r="AC14" s="50">
        <v>0.8</v>
      </c>
      <c r="AD14" s="50">
        <v>55.17</v>
      </c>
      <c r="AE14" s="17">
        <v>23.94</v>
      </c>
      <c r="AF14" s="17">
        <v>39.83</v>
      </c>
      <c r="AG14" s="17">
        <v>27.06</v>
      </c>
      <c r="AH14" s="17">
        <v>34.590000000000003</v>
      </c>
      <c r="AI14" s="17">
        <v>1.121</v>
      </c>
      <c r="AJ14" s="17">
        <v>50.14</v>
      </c>
      <c r="AK14" s="17"/>
      <c r="AL14" s="17"/>
      <c r="AM14" s="17"/>
      <c r="AN14" s="17">
        <v>153</v>
      </c>
      <c r="AO14" s="17">
        <v>16.45</v>
      </c>
      <c r="AP14" s="128"/>
      <c r="AQ14" s="17"/>
      <c r="AR14" s="17">
        <v>52.52</v>
      </c>
      <c r="AS14" s="17"/>
      <c r="AT14" s="3" t="s">
        <v>146</v>
      </c>
      <c r="AU14" s="3"/>
    </row>
    <row r="15" spans="1:47" x14ac:dyDescent="0.2">
      <c r="A15" s="115">
        <v>14.000000000000057</v>
      </c>
      <c r="B15" s="3">
        <v>10</v>
      </c>
      <c r="C15" s="6">
        <v>21.14</v>
      </c>
      <c r="D15" s="126" t="s">
        <v>168</v>
      </c>
      <c r="E15" t="s">
        <v>169</v>
      </c>
      <c r="F15" s="3" t="s">
        <v>170</v>
      </c>
      <c r="H15" s="3" t="s">
        <v>177</v>
      </c>
      <c r="I15" s="127">
        <v>44221</v>
      </c>
      <c r="J15" s="17" t="s">
        <v>142</v>
      </c>
      <c r="K15" s="17" t="s">
        <v>235</v>
      </c>
      <c r="L15" s="17"/>
      <c r="M15" s="17"/>
      <c r="N15" s="17">
        <v>289.20999999999998</v>
      </c>
      <c r="O15" s="17">
        <v>188.79</v>
      </c>
      <c r="P15" s="17">
        <v>206.68</v>
      </c>
      <c r="Q15" s="17">
        <v>41.8</v>
      </c>
      <c r="R15" s="17">
        <v>33.43</v>
      </c>
      <c r="S15" s="17"/>
      <c r="T15" s="17"/>
      <c r="U15" s="50"/>
      <c r="V15" s="50">
        <v>52.98</v>
      </c>
      <c r="W15" s="50">
        <v>76.14</v>
      </c>
      <c r="X15" s="50">
        <v>95.66</v>
      </c>
      <c r="Y15" s="50">
        <v>43.73</v>
      </c>
      <c r="Z15" s="50">
        <v>104.55</v>
      </c>
      <c r="AA15" s="50">
        <v>85.81</v>
      </c>
      <c r="AB15" s="50">
        <v>81.48</v>
      </c>
      <c r="AC15" s="50">
        <v>2.0699999999999998</v>
      </c>
      <c r="AD15" s="50">
        <v>51.71</v>
      </c>
      <c r="AE15" s="17">
        <v>28.47</v>
      </c>
      <c r="AF15" s="17">
        <v>39.82</v>
      </c>
      <c r="AG15" s="17">
        <v>28.07</v>
      </c>
      <c r="AH15" s="17">
        <v>38.549999999999997</v>
      </c>
      <c r="AI15" s="17">
        <v>1.216</v>
      </c>
      <c r="AJ15" s="17">
        <v>48.01</v>
      </c>
      <c r="AK15" s="17"/>
      <c r="AL15" s="17">
        <v>18</v>
      </c>
      <c r="AM15" s="17"/>
      <c r="AN15" s="17">
        <v>75</v>
      </c>
      <c r="AO15" s="17">
        <v>8.56</v>
      </c>
      <c r="AP15" s="128"/>
      <c r="AQ15" s="17"/>
      <c r="AR15" s="17">
        <v>51.76</v>
      </c>
      <c r="AS15" s="17"/>
      <c r="AT15" s="3" t="s">
        <v>146</v>
      </c>
      <c r="AU15" s="3"/>
    </row>
    <row r="16" spans="1:47" x14ac:dyDescent="0.2">
      <c r="A16" s="115">
        <v>14.999999999999858</v>
      </c>
      <c r="B16" s="3">
        <v>11</v>
      </c>
      <c r="C16" s="6">
        <v>21.15</v>
      </c>
      <c r="D16" s="126" t="s">
        <v>168</v>
      </c>
      <c r="E16" t="s">
        <v>169</v>
      </c>
      <c r="F16" s="3" t="s">
        <v>170</v>
      </c>
      <c r="H16" s="3" t="s">
        <v>177</v>
      </c>
      <c r="I16" s="127">
        <v>44221</v>
      </c>
      <c r="J16" s="17" t="s">
        <v>142</v>
      </c>
      <c r="K16" s="17" t="s">
        <v>235</v>
      </c>
      <c r="L16" s="17"/>
      <c r="M16" s="17"/>
      <c r="N16" s="17">
        <v>295.08</v>
      </c>
      <c r="O16" s="17">
        <v>183.85</v>
      </c>
      <c r="P16" s="17">
        <v>187.14</v>
      </c>
      <c r="Q16" s="17">
        <v>41.74</v>
      </c>
      <c r="R16" s="17">
        <v>24.83</v>
      </c>
      <c r="S16" s="17"/>
      <c r="T16" s="17"/>
      <c r="U16" s="50"/>
      <c r="V16" s="50">
        <v>50.67</v>
      </c>
      <c r="W16" s="50">
        <v>73.09</v>
      </c>
      <c r="X16" s="50">
        <v>103.2</v>
      </c>
      <c r="Y16" s="50">
        <v>43.54</v>
      </c>
      <c r="Z16" s="50">
        <v>108.38</v>
      </c>
      <c r="AA16" s="50">
        <v>88.65</v>
      </c>
      <c r="AB16" s="50">
        <v>86.65</v>
      </c>
      <c r="AC16" s="50">
        <v>5.48</v>
      </c>
      <c r="AD16" s="50">
        <v>50.73</v>
      </c>
      <c r="AE16" s="17">
        <v>26.12</v>
      </c>
      <c r="AF16" s="17">
        <v>34.450000000000003</v>
      </c>
      <c r="AG16" s="17">
        <v>23.61</v>
      </c>
      <c r="AH16" s="17">
        <v>37.26</v>
      </c>
      <c r="AI16" s="17">
        <v>1.2509999999999999</v>
      </c>
      <c r="AJ16" s="17">
        <v>51.23</v>
      </c>
      <c r="AK16" s="17"/>
      <c r="AL16" s="17"/>
      <c r="AM16" s="17"/>
      <c r="AN16" s="17">
        <v>113</v>
      </c>
      <c r="AO16" s="17">
        <v>18.03</v>
      </c>
      <c r="AP16" s="128"/>
      <c r="AQ16" s="17"/>
      <c r="AR16" s="17">
        <v>54.17</v>
      </c>
      <c r="AS16" s="17"/>
      <c r="AT16" s="3" t="s">
        <v>146</v>
      </c>
      <c r="AU16" s="3"/>
    </row>
    <row r="17" spans="1:47" x14ac:dyDescent="0.2">
      <c r="A17" s="115">
        <v>16.000000000000014</v>
      </c>
      <c r="C17" s="6">
        <v>21.16</v>
      </c>
      <c r="D17" s="129" t="s">
        <v>140</v>
      </c>
      <c r="E17" t="s">
        <v>141</v>
      </c>
      <c r="F17" s="3" t="s">
        <v>62</v>
      </c>
      <c r="G17" s="3" t="s">
        <v>47</v>
      </c>
      <c r="H17" s="3" t="s">
        <v>62</v>
      </c>
      <c r="I17" s="82">
        <v>44234</v>
      </c>
      <c r="J17" s="17" t="s">
        <v>492</v>
      </c>
      <c r="K17" s="17" t="s">
        <v>203</v>
      </c>
      <c r="L17" s="17"/>
      <c r="M17" s="17"/>
      <c r="N17" s="17">
        <v>170.4</v>
      </c>
      <c r="O17" s="17">
        <v>173.43</v>
      </c>
      <c r="P17" s="17">
        <v>178.29</v>
      </c>
      <c r="Q17" s="17">
        <v>34.31</v>
      </c>
      <c r="R17" s="17">
        <v>27.71</v>
      </c>
      <c r="S17" s="17"/>
      <c r="T17" s="17"/>
      <c r="U17" s="50"/>
      <c r="V17" s="50">
        <v>45.62</v>
      </c>
      <c r="W17" s="50">
        <v>59.42</v>
      </c>
      <c r="X17" s="50">
        <v>70.55</v>
      </c>
      <c r="Y17" s="50">
        <v>34.39</v>
      </c>
      <c r="Z17" s="50">
        <v>73.16</v>
      </c>
      <c r="AA17" s="50">
        <v>60.42</v>
      </c>
      <c r="AB17" s="50">
        <v>57.29</v>
      </c>
      <c r="AC17" s="50">
        <v>11.84</v>
      </c>
      <c r="AD17" s="50">
        <v>51.17</v>
      </c>
      <c r="AE17" s="17">
        <v>41.43</v>
      </c>
      <c r="AF17" s="17">
        <v>43.35</v>
      </c>
      <c r="AG17" s="17">
        <v>40.83</v>
      </c>
      <c r="AH17" s="17">
        <v>40.93</v>
      </c>
      <c r="AI17" s="130">
        <v>1.1353800000000001</v>
      </c>
      <c r="AJ17" s="17"/>
      <c r="AK17" s="17"/>
      <c r="AL17" s="17"/>
      <c r="AM17" s="17"/>
      <c r="AN17" s="17"/>
      <c r="AO17" s="17"/>
      <c r="AP17" s="17"/>
      <c r="AQ17" s="17"/>
      <c r="AR17" s="17">
        <v>31.7</v>
      </c>
      <c r="AS17" s="17"/>
      <c r="AT17" s="3" t="s">
        <v>493</v>
      </c>
      <c r="AU17" s="3"/>
    </row>
    <row r="18" spans="1:47" x14ac:dyDescent="0.2">
      <c r="A18" s="115">
        <v>17.000000000000171</v>
      </c>
      <c r="C18" s="6">
        <v>21.17</v>
      </c>
      <c r="D18" s="129" t="s">
        <v>140</v>
      </c>
      <c r="E18" t="s">
        <v>141</v>
      </c>
      <c r="F18" s="3" t="s">
        <v>61</v>
      </c>
      <c r="H18" s="3" t="s">
        <v>61</v>
      </c>
      <c r="I18" s="82">
        <v>44219</v>
      </c>
      <c r="J18" s="17" t="s">
        <v>492</v>
      </c>
      <c r="K18" s="17" t="s">
        <v>203</v>
      </c>
      <c r="L18" s="17"/>
      <c r="M18" s="17"/>
      <c r="N18" s="17">
        <v>175</v>
      </c>
      <c r="O18" s="17">
        <v>182.35</v>
      </c>
      <c r="P18" s="17">
        <v>186.76</v>
      </c>
      <c r="Q18" s="17">
        <v>40.090000000000003</v>
      </c>
      <c r="R18" s="17">
        <v>34.630000000000003</v>
      </c>
      <c r="S18" s="17"/>
      <c r="T18" s="17"/>
      <c r="U18" s="50"/>
      <c r="V18" s="50">
        <v>44.17</v>
      </c>
      <c r="W18" s="50">
        <v>58.04</v>
      </c>
      <c r="X18" s="50">
        <v>72.62</v>
      </c>
      <c r="Y18" s="50">
        <v>32.840000000000003</v>
      </c>
      <c r="Z18" s="50">
        <v>77.88</v>
      </c>
      <c r="AA18" s="50">
        <v>61.47</v>
      </c>
      <c r="AB18" s="50">
        <v>58.57</v>
      </c>
      <c r="AC18" s="50">
        <v>12.81</v>
      </c>
      <c r="AD18" s="50">
        <v>50.06</v>
      </c>
      <c r="AE18" s="17">
        <v>45.71</v>
      </c>
      <c r="AF18" s="17">
        <v>36.049999999999997</v>
      </c>
      <c r="AG18" s="17">
        <v>41.01</v>
      </c>
      <c r="AH18" s="17">
        <v>38.44</v>
      </c>
      <c r="AI18" s="130">
        <v>0.94742000000000004</v>
      </c>
      <c r="AJ18" s="17"/>
      <c r="AK18" s="17"/>
      <c r="AL18" s="17"/>
      <c r="AM18" s="17"/>
      <c r="AN18" s="17"/>
      <c r="AO18" s="17"/>
      <c r="AP18" s="17"/>
      <c r="AQ18" s="17"/>
      <c r="AR18" s="17">
        <v>34.9</v>
      </c>
      <c r="AS18" s="17"/>
      <c r="AT18" s="3" t="s">
        <v>493</v>
      </c>
      <c r="AU18" s="3"/>
    </row>
    <row r="19" spans="1:47" x14ac:dyDescent="0.2">
      <c r="A19" s="115">
        <v>17.999999999999972</v>
      </c>
      <c r="C19" s="6">
        <v>21.18</v>
      </c>
      <c r="D19" s="129" t="s">
        <v>140</v>
      </c>
      <c r="E19" t="s">
        <v>141</v>
      </c>
      <c r="F19" s="3" t="s">
        <v>62</v>
      </c>
      <c r="H19" s="3" t="s">
        <v>62</v>
      </c>
      <c r="I19" s="82">
        <v>44234</v>
      </c>
      <c r="J19" s="17" t="s">
        <v>492</v>
      </c>
      <c r="K19" s="17" t="s">
        <v>203</v>
      </c>
      <c r="L19" s="17"/>
      <c r="M19" s="17"/>
      <c r="N19" s="17">
        <v>195.2</v>
      </c>
      <c r="O19" s="17">
        <v>170.47</v>
      </c>
      <c r="P19" s="17">
        <v>183.35</v>
      </c>
      <c r="Q19" s="17">
        <v>37.020000000000003</v>
      </c>
      <c r="R19" s="17">
        <v>39.340000000000003</v>
      </c>
      <c r="S19" s="17"/>
      <c r="T19" s="17"/>
      <c r="U19" s="50"/>
      <c r="V19" s="50">
        <v>60.36</v>
      </c>
      <c r="W19" s="50">
        <v>74.94</v>
      </c>
      <c r="X19" s="50">
        <v>79.36</v>
      </c>
      <c r="Y19" s="50">
        <v>41.62</v>
      </c>
      <c r="Z19" s="50">
        <v>84.28</v>
      </c>
      <c r="AA19" s="50">
        <v>67.790000000000006</v>
      </c>
      <c r="AB19" s="50">
        <v>69.06</v>
      </c>
      <c r="AC19" s="50">
        <v>7.64</v>
      </c>
      <c r="AD19" s="50">
        <v>52.6</v>
      </c>
      <c r="AE19" s="17">
        <v>37.15</v>
      </c>
      <c r="AF19" s="17">
        <v>42.8</v>
      </c>
      <c r="AG19" s="17">
        <v>39.26</v>
      </c>
      <c r="AH19" s="17">
        <v>40.9</v>
      </c>
      <c r="AI19" s="130">
        <v>1.34239</v>
      </c>
      <c r="AJ19" s="17"/>
      <c r="AK19" s="17"/>
      <c r="AL19" s="17"/>
      <c r="AM19" s="17"/>
      <c r="AN19" s="17"/>
      <c r="AO19" s="17"/>
      <c r="AP19" s="17"/>
      <c r="AQ19" s="17"/>
      <c r="AR19" s="17">
        <v>43.3</v>
      </c>
      <c r="AS19" s="17"/>
      <c r="AT19" s="3" t="s">
        <v>493</v>
      </c>
      <c r="AU19" s="3"/>
    </row>
    <row r="20" spans="1:47" x14ac:dyDescent="0.2">
      <c r="A20" s="115">
        <v>19.000000000000128</v>
      </c>
      <c r="C20" s="6">
        <v>21.19</v>
      </c>
      <c r="D20" s="129" t="s">
        <v>140</v>
      </c>
      <c r="E20" t="s">
        <v>141</v>
      </c>
      <c r="F20" s="3" t="s">
        <v>62</v>
      </c>
      <c r="H20" s="3" t="s">
        <v>62</v>
      </c>
      <c r="I20" s="82">
        <v>44213</v>
      </c>
      <c r="J20" s="17" t="s">
        <v>492</v>
      </c>
      <c r="K20" s="17" t="s">
        <v>203</v>
      </c>
      <c r="L20" s="17"/>
      <c r="M20" s="17"/>
      <c r="N20" s="17">
        <v>168.3</v>
      </c>
      <c r="O20" s="17">
        <v>170.81</v>
      </c>
      <c r="P20" s="17">
        <v>173.14</v>
      </c>
      <c r="Q20" s="17">
        <v>35.590000000000003</v>
      </c>
      <c r="R20" s="17">
        <v>64.59</v>
      </c>
      <c r="S20" s="17"/>
      <c r="T20" s="17"/>
      <c r="U20" s="50"/>
      <c r="V20" s="50">
        <v>40.79</v>
      </c>
      <c r="W20" s="50">
        <v>59.15</v>
      </c>
      <c r="X20" s="50">
        <v>66.67</v>
      </c>
      <c r="Y20" s="50">
        <v>33.1</v>
      </c>
      <c r="Z20" s="50">
        <v>73.42</v>
      </c>
      <c r="AA20" s="50">
        <v>60.95</v>
      </c>
      <c r="AB20" s="50">
        <v>55.78</v>
      </c>
      <c r="AC20" s="50">
        <v>12.78</v>
      </c>
      <c r="AD20" s="50">
        <v>50.26</v>
      </c>
      <c r="AE20" s="17">
        <v>40.36</v>
      </c>
      <c r="AF20" s="17">
        <v>34.81</v>
      </c>
      <c r="AG20" s="17">
        <v>37.25</v>
      </c>
      <c r="AH20" s="17">
        <v>38.64</v>
      </c>
      <c r="AI20" s="17">
        <v>0.90300000000000002</v>
      </c>
      <c r="AJ20" s="17"/>
      <c r="AK20" s="17"/>
      <c r="AL20" s="17"/>
      <c r="AM20" s="17"/>
      <c r="AN20" s="17"/>
      <c r="AO20" s="17"/>
      <c r="AP20" s="17"/>
      <c r="AQ20" s="17"/>
      <c r="AR20" s="17">
        <v>28.3</v>
      </c>
      <c r="AS20" s="17"/>
      <c r="AT20" s="3" t="s">
        <v>493</v>
      </c>
      <c r="AU20" s="3"/>
    </row>
    <row r="21" spans="1:47" x14ac:dyDescent="0.2">
      <c r="A21" s="115">
        <v>19.999999999999929</v>
      </c>
      <c r="C21" s="7" t="s">
        <v>494</v>
      </c>
      <c r="D21" s="129" t="s">
        <v>140</v>
      </c>
      <c r="E21" t="s">
        <v>141</v>
      </c>
      <c r="F21" s="3" t="s">
        <v>61</v>
      </c>
      <c r="H21" s="3" t="s">
        <v>61</v>
      </c>
      <c r="I21" s="82">
        <v>44218</v>
      </c>
      <c r="J21" s="17" t="s">
        <v>492</v>
      </c>
      <c r="K21" s="17" t="s">
        <v>203</v>
      </c>
      <c r="L21" s="17"/>
      <c r="M21" s="17"/>
      <c r="N21" s="17">
        <v>175.9</v>
      </c>
      <c r="O21" s="17">
        <v>178.55</v>
      </c>
      <c r="P21" s="17">
        <v>176.64</v>
      </c>
      <c r="Q21" s="17">
        <v>36.840000000000003</v>
      </c>
      <c r="R21" s="17">
        <v>31.02</v>
      </c>
      <c r="S21" s="17"/>
      <c r="T21" s="17"/>
      <c r="U21" s="50"/>
      <c r="V21" s="50">
        <v>44.68</v>
      </c>
      <c r="W21" s="50">
        <v>59.1</v>
      </c>
      <c r="X21" s="50">
        <v>68.099999999999994</v>
      </c>
      <c r="Y21" s="50">
        <v>29.39</v>
      </c>
      <c r="Z21" s="50">
        <v>73.58</v>
      </c>
      <c r="AA21" s="50">
        <v>61.58</v>
      </c>
      <c r="AB21" s="50">
        <v>55.66</v>
      </c>
      <c r="AC21" s="50">
        <v>12.32</v>
      </c>
      <c r="AD21" s="50">
        <v>50.74</v>
      </c>
      <c r="AE21" s="17">
        <v>38.47</v>
      </c>
      <c r="AF21" s="17">
        <v>36.090000000000003</v>
      </c>
      <c r="AG21" s="17">
        <v>38.11</v>
      </c>
      <c r="AH21" s="17">
        <v>41.19</v>
      </c>
      <c r="AI21" s="17">
        <v>0.91400000000000003</v>
      </c>
      <c r="AJ21" s="17"/>
      <c r="AK21" s="17"/>
      <c r="AL21" s="17"/>
      <c r="AM21" s="17"/>
      <c r="AN21" s="17"/>
      <c r="AO21" s="17"/>
      <c r="AP21" s="17"/>
      <c r="AQ21" s="17"/>
      <c r="AR21" s="17">
        <v>32.1</v>
      </c>
      <c r="AS21" s="17"/>
      <c r="AT21" s="3" t="s">
        <v>493</v>
      </c>
      <c r="AU21" s="3"/>
    </row>
    <row r="22" spans="1:47" x14ac:dyDescent="0.2">
      <c r="A22" s="115">
        <v>21.000000000000085</v>
      </c>
      <c r="C22" s="6">
        <v>21.21</v>
      </c>
      <c r="D22" s="129" t="s">
        <v>140</v>
      </c>
      <c r="E22" t="s">
        <v>141</v>
      </c>
      <c r="F22" s="3" t="s">
        <v>61</v>
      </c>
      <c r="H22" s="3" t="s">
        <v>61</v>
      </c>
      <c r="I22" s="82">
        <v>44218</v>
      </c>
      <c r="J22" s="17" t="s">
        <v>492</v>
      </c>
      <c r="K22" s="17" t="s">
        <v>203</v>
      </c>
      <c r="L22" s="17"/>
      <c r="M22" s="17"/>
      <c r="N22" s="17">
        <v>177</v>
      </c>
      <c r="O22" s="17">
        <v>168.51</v>
      </c>
      <c r="P22" s="17">
        <v>173.39</v>
      </c>
      <c r="Q22" s="17">
        <v>34.5</v>
      </c>
      <c r="R22" s="17">
        <v>26.71</v>
      </c>
      <c r="S22" s="17"/>
      <c r="T22" s="17"/>
      <c r="U22" s="50"/>
      <c r="V22" s="50">
        <v>50.79</v>
      </c>
      <c r="W22" s="50">
        <v>64.34</v>
      </c>
      <c r="X22" s="50">
        <v>70.25</v>
      </c>
      <c r="Y22" s="50">
        <v>33.39</v>
      </c>
      <c r="Z22" s="50">
        <v>73.75</v>
      </c>
      <c r="AA22" s="50">
        <v>61.26</v>
      </c>
      <c r="AB22" s="50">
        <v>57.13</v>
      </c>
      <c r="AC22" s="50">
        <v>12.11</v>
      </c>
      <c r="AD22" s="50">
        <v>51.2</v>
      </c>
      <c r="AE22" s="17">
        <v>34.76</v>
      </c>
      <c r="AF22" s="17">
        <v>39.03</v>
      </c>
      <c r="AG22" s="17">
        <v>39.409999999999997</v>
      </c>
      <c r="AH22" s="17">
        <v>37.51</v>
      </c>
      <c r="AI22" s="17">
        <v>1.0009999999999999</v>
      </c>
      <c r="AJ22" s="17"/>
      <c r="AK22" s="17"/>
      <c r="AL22" s="17"/>
      <c r="AM22" s="17"/>
      <c r="AN22" s="17"/>
      <c r="AO22" s="17"/>
      <c r="AP22" s="17"/>
      <c r="AQ22" s="17"/>
      <c r="AR22" s="17">
        <v>31.4</v>
      </c>
      <c r="AS22" s="17"/>
      <c r="AT22" s="3" t="s">
        <v>493</v>
      </c>
      <c r="AU22" s="3"/>
    </row>
    <row r="23" spans="1:47" x14ac:dyDescent="0.2">
      <c r="A23" s="115">
        <v>21.999999999999886</v>
      </c>
      <c r="C23" s="6">
        <v>21.22</v>
      </c>
      <c r="D23" s="129" t="s">
        <v>140</v>
      </c>
      <c r="E23" t="s">
        <v>141</v>
      </c>
      <c r="F23" s="3" t="s">
        <v>61</v>
      </c>
      <c r="H23" s="3" t="s">
        <v>61</v>
      </c>
      <c r="I23" s="82">
        <v>44235</v>
      </c>
      <c r="J23" s="17" t="s">
        <v>492</v>
      </c>
      <c r="K23" s="17" t="s">
        <v>235</v>
      </c>
      <c r="L23" s="17"/>
      <c r="M23" s="17"/>
      <c r="N23" s="17">
        <v>217.2</v>
      </c>
      <c r="O23" s="17">
        <v>163.66999999999999</v>
      </c>
      <c r="P23" s="17">
        <v>167.32</v>
      </c>
      <c r="Q23" s="17">
        <v>32.11</v>
      </c>
      <c r="R23" s="17">
        <v>20.29</v>
      </c>
      <c r="S23" s="17"/>
      <c r="T23" s="17"/>
      <c r="U23" s="50"/>
      <c r="V23" s="50">
        <v>41.1</v>
      </c>
      <c r="W23" s="50">
        <v>57.05</v>
      </c>
      <c r="X23" s="50">
        <v>66.150000000000006</v>
      </c>
      <c r="Y23" s="50">
        <v>35.85</v>
      </c>
      <c r="Z23" s="50">
        <v>72.16</v>
      </c>
      <c r="AA23" s="50">
        <v>65.540000000000006</v>
      </c>
      <c r="AB23" s="50">
        <v>59.27</v>
      </c>
      <c r="AC23" s="50">
        <v>12.52</v>
      </c>
      <c r="AD23" s="50">
        <v>56.51</v>
      </c>
      <c r="AE23" s="17">
        <v>29.45</v>
      </c>
      <c r="AF23" s="17">
        <v>30.71</v>
      </c>
      <c r="AG23" s="17">
        <v>32.46</v>
      </c>
      <c r="AH23" s="17">
        <v>37.840000000000003</v>
      </c>
      <c r="AI23" s="17">
        <v>0.874</v>
      </c>
      <c r="AJ23" s="17">
        <v>47.5</v>
      </c>
      <c r="AK23" s="17"/>
      <c r="AL23" s="17"/>
      <c r="AM23" s="17"/>
      <c r="AN23" s="17"/>
      <c r="AO23" s="17"/>
      <c r="AP23" s="17"/>
      <c r="AQ23" s="17"/>
      <c r="AR23" s="17">
        <v>34.6</v>
      </c>
      <c r="AS23" s="17"/>
      <c r="AT23" s="3" t="s">
        <v>493</v>
      </c>
      <c r="AU23" s="3"/>
    </row>
    <row r="24" spans="1:47" x14ac:dyDescent="0.2">
      <c r="A24" s="115">
        <v>23.000000000000043</v>
      </c>
      <c r="C24" s="6">
        <v>21.23</v>
      </c>
      <c r="D24" s="129" t="s">
        <v>140</v>
      </c>
      <c r="E24" t="s">
        <v>141</v>
      </c>
      <c r="F24" s="3" t="s">
        <v>61</v>
      </c>
      <c r="H24" s="3" t="s">
        <v>61</v>
      </c>
      <c r="I24" s="82">
        <v>44235</v>
      </c>
      <c r="J24" s="17" t="s">
        <v>492</v>
      </c>
      <c r="K24" s="17" t="s">
        <v>203</v>
      </c>
      <c r="L24" s="17"/>
      <c r="M24" s="17"/>
      <c r="N24" s="17">
        <v>167.6</v>
      </c>
      <c r="O24" s="17">
        <v>164.97</v>
      </c>
      <c r="P24" s="17">
        <v>175.95</v>
      </c>
      <c r="Q24" s="17">
        <v>37.71</v>
      </c>
      <c r="R24" s="17">
        <v>21.72</v>
      </c>
      <c r="S24" s="17"/>
      <c r="T24" s="17"/>
      <c r="U24" s="50"/>
      <c r="V24" s="50">
        <v>44.44</v>
      </c>
      <c r="W24" s="50">
        <v>55.55</v>
      </c>
      <c r="X24" s="50">
        <v>66.819999999999993</v>
      </c>
      <c r="Y24" s="50">
        <v>32.74</v>
      </c>
      <c r="Z24" s="50">
        <v>71.510000000000005</v>
      </c>
      <c r="AA24" s="50">
        <v>59.05</v>
      </c>
      <c r="AB24" s="50">
        <v>58.29</v>
      </c>
      <c r="AC24" s="50">
        <v>16.07</v>
      </c>
      <c r="AD24" s="50">
        <v>50.92</v>
      </c>
      <c r="AE24" s="17">
        <v>38.130000000000003</v>
      </c>
      <c r="AF24" s="17">
        <v>36.79</v>
      </c>
      <c r="AG24" s="17">
        <v>39.17</v>
      </c>
      <c r="AH24" s="17">
        <v>38.5</v>
      </c>
      <c r="AI24" s="17">
        <v>1.008</v>
      </c>
      <c r="AJ24" s="17"/>
      <c r="AK24" s="17"/>
      <c r="AL24" s="17"/>
      <c r="AM24" s="17"/>
      <c r="AN24" s="17"/>
      <c r="AO24" s="17"/>
      <c r="AP24" s="17"/>
      <c r="AQ24" s="17"/>
      <c r="AR24" s="17">
        <v>34.4</v>
      </c>
      <c r="AS24" s="17"/>
      <c r="AT24" s="3" t="s">
        <v>493</v>
      </c>
      <c r="AU24" s="3"/>
    </row>
    <row r="25" spans="1:47" x14ac:dyDescent="0.2">
      <c r="A25" s="115">
        <v>23.999999999999844</v>
      </c>
      <c r="C25" s="6">
        <v>21.24</v>
      </c>
      <c r="D25" s="129" t="s">
        <v>140</v>
      </c>
      <c r="E25" t="s">
        <v>141</v>
      </c>
      <c r="F25" s="3" t="s">
        <v>62</v>
      </c>
      <c r="H25" s="3" t="s">
        <v>62</v>
      </c>
      <c r="I25" s="82">
        <v>44228</v>
      </c>
      <c r="J25" s="17" t="s">
        <v>492</v>
      </c>
      <c r="K25" s="17" t="s">
        <v>235</v>
      </c>
      <c r="L25" s="17"/>
      <c r="M25" s="17"/>
      <c r="N25" s="17">
        <v>245.4</v>
      </c>
      <c r="O25" s="17">
        <v>169.95</v>
      </c>
      <c r="P25" s="17">
        <v>176.31</v>
      </c>
      <c r="Q25" s="17">
        <v>33.46</v>
      </c>
      <c r="R25" s="17">
        <v>21.52</v>
      </c>
      <c r="S25" s="17"/>
      <c r="T25" s="17"/>
      <c r="U25" s="50"/>
      <c r="V25" s="50">
        <v>41.24</v>
      </c>
      <c r="W25" s="50">
        <v>59.69</v>
      </c>
      <c r="X25" s="50">
        <v>71.36</v>
      </c>
      <c r="Y25" s="50">
        <v>29.9</v>
      </c>
      <c r="Z25" s="50">
        <v>79.72</v>
      </c>
      <c r="AA25" s="50">
        <v>67.58</v>
      </c>
      <c r="AB25" s="50">
        <v>60.72</v>
      </c>
      <c r="AC25" s="50">
        <v>16</v>
      </c>
      <c r="AD25" s="50">
        <v>58.8</v>
      </c>
      <c r="AE25" s="17">
        <v>34.64</v>
      </c>
      <c r="AF25" s="17">
        <v>37.119999999999997</v>
      </c>
      <c r="AG25" s="17">
        <v>34.71</v>
      </c>
      <c r="AH25" s="17">
        <v>35.94</v>
      </c>
      <c r="AI25" s="17">
        <v>1.0840000000000001</v>
      </c>
      <c r="AJ25" s="17">
        <v>50.7</v>
      </c>
      <c r="AK25" s="17"/>
      <c r="AL25" s="17"/>
      <c r="AM25" s="17"/>
      <c r="AN25" s="17"/>
      <c r="AO25" s="17"/>
      <c r="AP25" s="17"/>
      <c r="AQ25" s="17"/>
      <c r="AR25" s="17">
        <v>36.799999999999997</v>
      </c>
      <c r="AS25" s="17"/>
      <c r="AT25" s="3" t="s">
        <v>493</v>
      </c>
      <c r="AU25" s="3"/>
    </row>
    <row r="26" spans="1:47" x14ac:dyDescent="0.2">
      <c r="A26" s="115">
        <v>25</v>
      </c>
      <c r="C26" s="6">
        <v>21.25</v>
      </c>
      <c r="D26" s="129" t="s">
        <v>140</v>
      </c>
      <c r="E26" t="s">
        <v>141</v>
      </c>
      <c r="F26" s="3" t="s">
        <v>62</v>
      </c>
      <c r="H26" s="3" t="s">
        <v>62</v>
      </c>
      <c r="I26" s="82">
        <v>44233</v>
      </c>
      <c r="J26" s="17" t="s">
        <v>492</v>
      </c>
      <c r="K26" s="17" t="s">
        <v>235</v>
      </c>
      <c r="L26" s="17"/>
      <c r="M26" s="17"/>
      <c r="N26" s="17">
        <v>247.7</v>
      </c>
      <c r="O26" s="17">
        <v>185.59</v>
      </c>
      <c r="P26" s="17">
        <v>187.65</v>
      </c>
      <c r="Q26" s="17">
        <v>38.14</v>
      </c>
      <c r="R26" s="17">
        <v>27.64</v>
      </c>
      <c r="S26" s="17"/>
      <c r="T26" s="17"/>
      <c r="U26" s="50"/>
      <c r="V26" s="50">
        <v>42.96</v>
      </c>
      <c r="W26" s="50">
        <v>64.75</v>
      </c>
      <c r="X26" s="50">
        <v>76.67</v>
      </c>
      <c r="Y26" s="50">
        <v>35.340000000000003</v>
      </c>
      <c r="Z26" s="50">
        <v>79.42</v>
      </c>
      <c r="AA26" s="50">
        <v>69.88</v>
      </c>
      <c r="AB26" s="50">
        <v>63.03</v>
      </c>
      <c r="AC26" s="50">
        <v>12.23</v>
      </c>
      <c r="AD26" s="50">
        <v>59.54</v>
      </c>
      <c r="AE26" s="17">
        <v>40.71</v>
      </c>
      <c r="AF26" s="17">
        <v>44.32</v>
      </c>
      <c r="AG26" s="17">
        <v>41.11</v>
      </c>
      <c r="AH26" s="17">
        <v>38.869999999999997</v>
      </c>
      <c r="AI26" s="17">
        <v>0.91900000000000004</v>
      </c>
      <c r="AJ26" s="17">
        <v>47.2</v>
      </c>
      <c r="AK26" s="17"/>
      <c r="AL26" s="17"/>
      <c r="AM26" s="17"/>
      <c r="AN26" s="17"/>
      <c r="AO26" s="17"/>
      <c r="AP26" s="17"/>
      <c r="AQ26" s="17"/>
      <c r="AR26" s="17">
        <v>38.200000000000003</v>
      </c>
      <c r="AS26" s="17"/>
      <c r="AT26" s="3" t="s">
        <v>493</v>
      </c>
      <c r="AU26" s="3"/>
    </row>
    <row r="27" spans="1:47" x14ac:dyDescent="0.2">
      <c r="A27" s="115">
        <v>26.000000000000156</v>
      </c>
      <c r="B27" s="3">
        <v>12</v>
      </c>
      <c r="C27" s="6">
        <v>21.26</v>
      </c>
      <c r="D27" s="126" t="s">
        <v>168</v>
      </c>
      <c r="E27" t="s">
        <v>169</v>
      </c>
      <c r="F27" s="3" t="s">
        <v>170</v>
      </c>
      <c r="I27" s="82">
        <v>44224</v>
      </c>
      <c r="J27" s="17" t="s">
        <v>142</v>
      </c>
      <c r="K27" s="17" t="s">
        <v>235</v>
      </c>
      <c r="L27" s="17"/>
      <c r="M27" s="17"/>
      <c r="N27" s="17">
        <v>296.07</v>
      </c>
      <c r="O27" s="17">
        <v>187.63</v>
      </c>
      <c r="P27" s="17">
        <v>193.47</v>
      </c>
      <c r="Q27" s="17">
        <v>42.91</v>
      </c>
      <c r="R27" s="17">
        <v>30.78</v>
      </c>
      <c r="S27" s="17"/>
      <c r="T27" s="17"/>
      <c r="U27" s="50">
        <v>68.95</v>
      </c>
      <c r="V27" s="50">
        <v>52.56</v>
      </c>
      <c r="W27" s="50">
        <v>75.84</v>
      </c>
      <c r="X27" s="50">
        <v>99.78</v>
      </c>
      <c r="Y27" s="50">
        <v>40.04</v>
      </c>
      <c r="Z27" s="50">
        <v>108.05</v>
      </c>
      <c r="AA27" s="50">
        <v>89.73</v>
      </c>
      <c r="AB27" s="50">
        <v>84.23</v>
      </c>
      <c r="AC27" s="50">
        <v>5.87</v>
      </c>
      <c r="AD27" s="50">
        <v>52.71</v>
      </c>
      <c r="AE27" s="17">
        <v>28.69</v>
      </c>
      <c r="AF27" s="17">
        <v>37.07</v>
      </c>
      <c r="AG27" s="17">
        <v>32.68</v>
      </c>
      <c r="AH27" s="17">
        <v>35.700000000000003</v>
      </c>
      <c r="AI27" s="17">
        <v>1.149</v>
      </c>
      <c r="AJ27" s="17">
        <v>49.16</v>
      </c>
      <c r="AK27" s="17"/>
      <c r="AL27" s="17"/>
      <c r="AM27" s="17"/>
      <c r="AN27" s="17">
        <v>115</v>
      </c>
      <c r="AO27" s="17">
        <v>10.51</v>
      </c>
      <c r="AP27" s="17">
        <v>56.85</v>
      </c>
      <c r="AQ27" s="17"/>
      <c r="AR27" s="17">
        <v>50.07</v>
      </c>
      <c r="AS27" s="17"/>
      <c r="AT27" s="3" t="s">
        <v>146</v>
      </c>
      <c r="AU27" s="3"/>
    </row>
    <row r="28" spans="1:47" x14ac:dyDescent="0.2">
      <c r="A28" s="115">
        <v>26.999999999999957</v>
      </c>
      <c r="B28" s="3">
        <v>13</v>
      </c>
      <c r="C28" s="6">
        <v>21.27</v>
      </c>
      <c r="D28" s="126" t="s">
        <v>168</v>
      </c>
      <c r="E28" t="s">
        <v>169</v>
      </c>
      <c r="F28" s="3" t="s">
        <v>170</v>
      </c>
      <c r="G28" s="3" t="s">
        <v>30</v>
      </c>
      <c r="I28" s="82">
        <v>44224</v>
      </c>
      <c r="J28" s="17" t="s">
        <v>142</v>
      </c>
      <c r="K28" s="17" t="s">
        <v>235</v>
      </c>
      <c r="L28" s="17"/>
      <c r="M28" s="17"/>
      <c r="N28" s="17">
        <v>281.77999999999997</v>
      </c>
      <c r="O28" s="17">
        <v>183.3</v>
      </c>
      <c r="P28" s="17">
        <v>185.75</v>
      </c>
      <c r="Q28" s="17">
        <v>39.69</v>
      </c>
      <c r="R28" s="17">
        <v>29.75</v>
      </c>
      <c r="S28" s="17"/>
      <c r="T28" s="17"/>
      <c r="U28" s="50">
        <v>65.33</v>
      </c>
      <c r="V28" s="50">
        <v>50.19</v>
      </c>
      <c r="W28" s="50">
        <v>73.73</v>
      </c>
      <c r="X28" s="50">
        <v>100.73</v>
      </c>
      <c r="Y28" s="50">
        <v>43.58</v>
      </c>
      <c r="Z28" s="50">
        <v>106.79</v>
      </c>
      <c r="AA28" s="50">
        <v>88.73</v>
      </c>
      <c r="AB28" s="50">
        <v>82.81</v>
      </c>
      <c r="AC28" s="50">
        <v>7.67</v>
      </c>
      <c r="AD28" s="50">
        <v>54.34</v>
      </c>
      <c r="AE28" s="17">
        <v>28.91</v>
      </c>
      <c r="AF28" s="17">
        <v>38.92</v>
      </c>
      <c r="AG28" s="17">
        <v>28.69</v>
      </c>
      <c r="AH28" s="17">
        <v>36.33</v>
      </c>
      <c r="AI28" s="17">
        <v>1.008</v>
      </c>
      <c r="AJ28" s="17">
        <v>50.55</v>
      </c>
      <c r="AK28" s="17"/>
      <c r="AL28" s="17"/>
      <c r="AM28" s="17"/>
      <c r="AN28" s="17">
        <v>107</v>
      </c>
      <c r="AO28" s="17">
        <v>9.0299999999999994</v>
      </c>
      <c r="AP28" s="17">
        <v>60.07</v>
      </c>
      <c r="AQ28" s="17"/>
      <c r="AR28" s="17">
        <v>42.64</v>
      </c>
      <c r="AS28" s="17"/>
      <c r="AT28" s="3" t="s">
        <v>146</v>
      </c>
      <c r="AU28" s="3"/>
    </row>
    <row r="29" spans="1:47" x14ac:dyDescent="0.2">
      <c r="A29" s="115">
        <v>28.000000000000114</v>
      </c>
      <c r="B29" s="3">
        <v>14</v>
      </c>
      <c r="C29" s="6">
        <v>21.28</v>
      </c>
      <c r="D29" s="126" t="s">
        <v>168</v>
      </c>
      <c r="E29" t="s">
        <v>169</v>
      </c>
      <c r="F29" s="3" t="s">
        <v>170</v>
      </c>
      <c r="G29" s="3" t="s">
        <v>30</v>
      </c>
      <c r="I29" s="82">
        <v>44224</v>
      </c>
      <c r="J29" s="17" t="s">
        <v>142</v>
      </c>
      <c r="K29" s="17" t="s">
        <v>235</v>
      </c>
      <c r="L29" s="17"/>
      <c r="M29" s="17"/>
      <c r="N29" s="17">
        <v>278.77999999999997</v>
      </c>
      <c r="O29" s="17">
        <v>192.7</v>
      </c>
      <c r="P29" s="17">
        <v>212.04</v>
      </c>
      <c r="Q29" s="17">
        <v>40.93</v>
      </c>
      <c r="R29" s="17">
        <v>40.93</v>
      </c>
      <c r="S29" s="17"/>
      <c r="T29" s="17"/>
      <c r="U29" s="50">
        <v>68.739999999999995</v>
      </c>
      <c r="V29" s="50">
        <v>52.34</v>
      </c>
      <c r="W29" s="50">
        <v>76.540000000000006</v>
      </c>
      <c r="X29" s="50">
        <v>95.68</v>
      </c>
      <c r="Y29" s="50">
        <v>44.63</v>
      </c>
      <c r="Z29" s="50">
        <v>103.7</v>
      </c>
      <c r="AA29" s="50">
        <v>88.46</v>
      </c>
      <c r="AB29" s="50">
        <v>79.09</v>
      </c>
      <c r="AC29" s="50">
        <v>0.04</v>
      </c>
      <c r="AD29" s="50">
        <v>53.03</v>
      </c>
      <c r="AE29" s="17">
        <v>30.41</v>
      </c>
      <c r="AF29" s="17">
        <v>39.229999999999997</v>
      </c>
      <c r="AG29" s="17">
        <v>31.72</v>
      </c>
      <c r="AH29" s="17">
        <v>33.450000000000003</v>
      </c>
      <c r="AI29" s="17">
        <v>1.0509999999999999</v>
      </c>
      <c r="AJ29" s="17">
        <v>52.74</v>
      </c>
      <c r="AK29" s="17"/>
      <c r="AL29" s="17"/>
      <c r="AM29" s="17"/>
      <c r="AN29" s="17">
        <v>110</v>
      </c>
      <c r="AO29" s="17">
        <v>12.05</v>
      </c>
      <c r="AP29" s="17">
        <v>51.01</v>
      </c>
      <c r="AQ29" s="17"/>
      <c r="AR29" s="17">
        <v>42.95</v>
      </c>
      <c r="AS29" s="17"/>
      <c r="AT29" s="3" t="s">
        <v>146</v>
      </c>
      <c r="AU29" s="3"/>
    </row>
    <row r="30" spans="1:47" x14ac:dyDescent="0.2">
      <c r="A30" s="115">
        <v>28.999999999999915</v>
      </c>
      <c r="C30" s="6">
        <v>21.29</v>
      </c>
      <c r="D30" s="129" t="s">
        <v>140</v>
      </c>
      <c r="E30" t="s">
        <v>141</v>
      </c>
      <c r="F30" s="3" t="s">
        <v>60</v>
      </c>
      <c r="H30" s="3" t="s">
        <v>60</v>
      </c>
      <c r="I30" s="82">
        <v>44235</v>
      </c>
      <c r="J30" s="17" t="s">
        <v>492</v>
      </c>
      <c r="K30" s="17" t="s">
        <v>235</v>
      </c>
      <c r="L30" s="17"/>
      <c r="M30" s="17"/>
      <c r="N30" s="17">
        <v>249.2</v>
      </c>
      <c r="O30" s="17">
        <v>144.96</v>
      </c>
      <c r="P30" s="17">
        <v>156.5</v>
      </c>
      <c r="Q30" s="17">
        <v>25.95</v>
      </c>
      <c r="R30" s="17">
        <v>16.27</v>
      </c>
      <c r="S30" s="17"/>
      <c r="T30" s="17"/>
      <c r="U30" s="50"/>
      <c r="V30" s="50">
        <v>41.97</v>
      </c>
      <c r="W30" s="50">
        <v>60.16</v>
      </c>
      <c r="X30" s="50"/>
      <c r="Y30" s="50"/>
      <c r="Z30" s="50">
        <v>81.430000000000007</v>
      </c>
      <c r="AA30" s="50">
        <v>70.849999999999994</v>
      </c>
      <c r="AB30" s="50">
        <v>66.430000000000007</v>
      </c>
      <c r="AC30" s="50">
        <v>7.33</v>
      </c>
      <c r="AD30" s="50">
        <v>57.65</v>
      </c>
      <c r="AE30" s="17">
        <v>31.8</v>
      </c>
      <c r="AF30" s="17">
        <v>36.54</v>
      </c>
      <c r="AG30" s="17">
        <v>25.52</v>
      </c>
      <c r="AH30" s="17">
        <v>34.880000000000003</v>
      </c>
      <c r="AI30" s="17">
        <v>1.2450000000000001</v>
      </c>
      <c r="AJ30" s="17">
        <v>48.5</v>
      </c>
      <c r="AK30" s="17"/>
      <c r="AL30" s="17"/>
      <c r="AM30" s="17"/>
      <c r="AN30" s="17"/>
      <c r="AO30" s="17"/>
      <c r="AP30" s="17"/>
      <c r="AQ30" s="17"/>
      <c r="AR30" s="17">
        <v>38.700000000000003</v>
      </c>
      <c r="AS30" s="17"/>
      <c r="AT30" s="3" t="s">
        <v>493</v>
      </c>
      <c r="AU30" s="3"/>
    </row>
    <row r="31" spans="1:47" x14ac:dyDescent="0.2">
      <c r="A31" s="115">
        <v>30.000000000000071</v>
      </c>
      <c r="C31" s="7" t="s">
        <v>495</v>
      </c>
      <c r="D31" s="129" t="s">
        <v>140</v>
      </c>
      <c r="E31" t="s">
        <v>141</v>
      </c>
      <c r="F31" s="3" t="s">
        <v>60</v>
      </c>
      <c r="H31" s="3" t="s">
        <v>60</v>
      </c>
      <c r="I31" s="82">
        <v>44226</v>
      </c>
      <c r="J31" s="17" t="s">
        <v>492</v>
      </c>
      <c r="K31" s="17" t="s">
        <v>235</v>
      </c>
      <c r="L31" s="17"/>
      <c r="M31" s="17"/>
      <c r="N31" s="17">
        <v>257.10000000000002</v>
      </c>
      <c r="O31" s="17">
        <v>145.66</v>
      </c>
      <c r="P31" s="17">
        <v>160.86000000000001</v>
      </c>
      <c r="Q31" s="17">
        <v>26.25</v>
      </c>
      <c r="R31" s="17">
        <v>21.67</v>
      </c>
      <c r="S31" s="17"/>
      <c r="T31" s="17"/>
      <c r="U31" s="50"/>
      <c r="V31" s="50">
        <v>40.950000000000003</v>
      </c>
      <c r="W31" s="50">
        <v>62.17</v>
      </c>
      <c r="X31" s="50"/>
      <c r="Y31" s="50"/>
      <c r="Z31" s="50">
        <v>80.510000000000005</v>
      </c>
      <c r="AA31" s="50">
        <v>71.599999999999994</v>
      </c>
      <c r="AB31" s="50">
        <v>66.290000000000006</v>
      </c>
      <c r="AC31" s="50">
        <v>13.55</v>
      </c>
      <c r="AD31" s="50">
        <v>58.43</v>
      </c>
      <c r="AE31" s="17">
        <v>27.89</v>
      </c>
      <c r="AF31" s="17">
        <v>33.369999999999997</v>
      </c>
      <c r="AG31" s="17">
        <v>33.57</v>
      </c>
      <c r="AH31" s="17">
        <v>36.51</v>
      </c>
      <c r="AI31" s="17">
        <v>1.286</v>
      </c>
      <c r="AJ31" s="17">
        <v>54.9</v>
      </c>
      <c r="AK31" s="17"/>
      <c r="AL31" s="17"/>
      <c r="AM31" s="17"/>
      <c r="AN31" s="17"/>
      <c r="AO31" s="17"/>
      <c r="AP31" s="17"/>
      <c r="AQ31" s="17"/>
      <c r="AR31" s="17">
        <v>43.5</v>
      </c>
      <c r="AS31" s="17"/>
      <c r="AT31" s="3" t="s">
        <v>493</v>
      </c>
      <c r="AU31" s="3"/>
    </row>
    <row r="32" spans="1:47" x14ac:dyDescent="0.2">
      <c r="A32" s="115">
        <v>30.999999999999872</v>
      </c>
      <c r="C32" s="6">
        <v>21.31</v>
      </c>
      <c r="D32" s="129" t="s">
        <v>140</v>
      </c>
      <c r="E32" t="s">
        <v>141</v>
      </c>
      <c r="F32" s="3" t="s">
        <v>60</v>
      </c>
      <c r="H32" s="3" t="s">
        <v>60</v>
      </c>
      <c r="I32" s="82">
        <v>44226</v>
      </c>
      <c r="J32" s="17" t="s">
        <v>492</v>
      </c>
      <c r="K32" s="17" t="s">
        <v>203</v>
      </c>
      <c r="L32" s="17"/>
      <c r="M32" s="17"/>
      <c r="N32" s="17">
        <v>203.8</v>
      </c>
      <c r="O32" s="17">
        <v>144.85</v>
      </c>
      <c r="P32" s="17">
        <v>148.58000000000001</v>
      </c>
      <c r="Q32" s="17">
        <v>27.95</v>
      </c>
      <c r="R32" s="17">
        <v>21.36</v>
      </c>
      <c r="S32" s="17"/>
      <c r="T32" s="17"/>
      <c r="U32" s="50"/>
      <c r="V32" s="50">
        <v>46.07</v>
      </c>
      <c r="W32" s="50">
        <v>57.96</v>
      </c>
      <c r="X32" s="50">
        <v>75.09</v>
      </c>
      <c r="Y32" s="50"/>
      <c r="Z32" s="50">
        <v>80.72</v>
      </c>
      <c r="AA32" s="50">
        <v>66.930000000000007</v>
      </c>
      <c r="AB32" s="50">
        <v>63.9</v>
      </c>
      <c r="AC32" s="50">
        <v>8.65</v>
      </c>
      <c r="AD32" s="50">
        <v>53.68</v>
      </c>
      <c r="AE32" s="17">
        <v>32.450000000000003</v>
      </c>
      <c r="AF32" s="17">
        <v>34.1</v>
      </c>
      <c r="AG32" s="17">
        <v>35.46</v>
      </c>
      <c r="AH32" s="17">
        <v>37.340000000000003</v>
      </c>
      <c r="AI32" s="17">
        <v>1.3140000000000001</v>
      </c>
      <c r="AJ32" s="54"/>
      <c r="AK32" s="54"/>
      <c r="AL32" s="17"/>
      <c r="AM32" s="17"/>
      <c r="AN32" s="17"/>
      <c r="AO32" s="17"/>
      <c r="AP32" s="17"/>
      <c r="AQ32" s="17"/>
      <c r="AR32" s="17">
        <v>43.8</v>
      </c>
      <c r="AS32" s="17"/>
      <c r="AT32" s="3" t="s">
        <v>493</v>
      </c>
      <c r="AU32" s="3"/>
    </row>
    <row r="33" spans="1:47" x14ac:dyDescent="0.2">
      <c r="A33" s="115">
        <v>32.000000000000028</v>
      </c>
      <c r="C33" s="6">
        <v>21.32</v>
      </c>
      <c r="D33" s="129" t="s">
        <v>140</v>
      </c>
      <c r="E33" t="s">
        <v>141</v>
      </c>
      <c r="F33" s="3" t="s">
        <v>60</v>
      </c>
      <c r="H33" s="3" t="s">
        <v>60</v>
      </c>
      <c r="I33" s="82">
        <v>44226</v>
      </c>
      <c r="J33" s="17" t="s">
        <v>492</v>
      </c>
      <c r="K33" s="17" t="s">
        <v>203</v>
      </c>
      <c r="L33" s="17"/>
      <c r="M33" s="17"/>
      <c r="N33" s="17">
        <v>201.9</v>
      </c>
      <c r="O33" s="17">
        <v>139.31</v>
      </c>
      <c r="P33" s="17">
        <v>150.31</v>
      </c>
      <c r="Q33" s="17">
        <v>27.99</v>
      </c>
      <c r="R33" s="17">
        <v>15.71</v>
      </c>
      <c r="S33" s="17"/>
      <c r="T33" s="17"/>
      <c r="U33" s="50"/>
      <c r="V33" s="50">
        <v>45.92</v>
      </c>
      <c r="W33" s="50">
        <v>37.78</v>
      </c>
      <c r="X33" s="50">
        <v>77.14</v>
      </c>
      <c r="Y33" s="50">
        <v>40.21</v>
      </c>
      <c r="Z33" s="50">
        <v>79.62</v>
      </c>
      <c r="AA33" s="50">
        <v>66.75</v>
      </c>
      <c r="AB33" s="50">
        <v>66.31</v>
      </c>
      <c r="AC33" s="50">
        <v>12.62</v>
      </c>
      <c r="AD33" s="50">
        <v>52.77</v>
      </c>
      <c r="AE33" s="17">
        <v>25.1</v>
      </c>
      <c r="AF33" s="17">
        <v>34.92</v>
      </c>
      <c r="AG33" s="17">
        <v>30.32</v>
      </c>
      <c r="AH33" s="17">
        <v>40.43</v>
      </c>
      <c r="AI33" s="17">
        <v>1.423</v>
      </c>
      <c r="AJ33" s="54"/>
      <c r="AK33" s="54"/>
      <c r="AL33" s="17"/>
      <c r="AM33" s="17"/>
      <c r="AN33" s="17"/>
      <c r="AO33" s="17"/>
      <c r="AP33" s="17"/>
      <c r="AQ33" s="17"/>
      <c r="AR33" s="17">
        <v>41.7</v>
      </c>
      <c r="AS33" s="17"/>
      <c r="AT33" s="3" t="s">
        <v>493</v>
      </c>
      <c r="AU33" s="3"/>
    </row>
    <row r="34" spans="1:47" x14ac:dyDescent="0.2">
      <c r="A34" s="115">
        <v>32.999999999999829</v>
      </c>
      <c r="C34" s="6">
        <v>21.33</v>
      </c>
      <c r="D34" s="129" t="s">
        <v>140</v>
      </c>
      <c r="E34" t="s">
        <v>141</v>
      </c>
      <c r="F34" s="3" t="s">
        <v>60</v>
      </c>
      <c r="H34" s="3" t="s">
        <v>60</v>
      </c>
      <c r="I34" s="82">
        <v>44226</v>
      </c>
      <c r="J34" s="17" t="s">
        <v>492</v>
      </c>
      <c r="K34" s="17" t="s">
        <v>203</v>
      </c>
      <c r="L34" s="17"/>
      <c r="M34" s="17"/>
      <c r="N34" s="17">
        <v>212</v>
      </c>
      <c r="O34" s="17">
        <v>138.88999999999999</v>
      </c>
      <c r="P34" s="17">
        <v>151.81</v>
      </c>
      <c r="Q34" s="17">
        <v>26.42</v>
      </c>
      <c r="R34" s="17">
        <v>19.63</v>
      </c>
      <c r="S34" s="17"/>
      <c r="T34" s="17"/>
      <c r="U34" s="50"/>
      <c r="V34" s="50">
        <v>45.72</v>
      </c>
      <c r="W34" s="50">
        <v>61.45</v>
      </c>
      <c r="X34" s="50">
        <v>75.52</v>
      </c>
      <c r="Y34" s="50"/>
      <c r="Z34" s="50">
        <v>80.56</v>
      </c>
      <c r="AA34" s="50">
        <v>64.319999999999993</v>
      </c>
      <c r="AB34" s="50">
        <v>65.7</v>
      </c>
      <c r="AC34" s="50">
        <v>9.1</v>
      </c>
      <c r="AD34" s="50">
        <v>53.78</v>
      </c>
      <c r="AE34" s="17">
        <v>27.76</v>
      </c>
      <c r="AF34" s="17">
        <v>39.159999999999997</v>
      </c>
      <c r="AG34" s="17">
        <v>36.68</v>
      </c>
      <c r="AH34" s="17">
        <v>40.380000000000003</v>
      </c>
      <c r="AI34" s="17">
        <v>1.3460000000000001</v>
      </c>
      <c r="AJ34" s="54"/>
      <c r="AK34" s="54"/>
      <c r="AL34" s="17"/>
      <c r="AM34" s="17"/>
      <c r="AN34" s="17"/>
      <c r="AO34" s="17"/>
      <c r="AP34" s="17"/>
      <c r="AQ34" s="17"/>
      <c r="AR34" s="17">
        <v>47.5</v>
      </c>
      <c r="AS34" s="17"/>
      <c r="AT34" s="3" t="s">
        <v>493</v>
      </c>
      <c r="AU34" s="3"/>
    </row>
    <row r="35" spans="1:47" x14ac:dyDescent="0.2">
      <c r="A35" s="115">
        <v>33.999999999999986</v>
      </c>
      <c r="C35" s="6">
        <v>21.34</v>
      </c>
      <c r="D35" s="129" t="s">
        <v>140</v>
      </c>
      <c r="E35" t="s">
        <v>141</v>
      </c>
      <c r="F35" s="3" t="s">
        <v>62</v>
      </c>
      <c r="H35" s="3" t="s">
        <v>62</v>
      </c>
      <c r="I35" s="82">
        <v>44236</v>
      </c>
      <c r="J35" s="17" t="s">
        <v>492</v>
      </c>
      <c r="K35" s="17" t="s">
        <v>203</v>
      </c>
      <c r="L35" s="17"/>
      <c r="M35" s="17"/>
      <c r="N35" s="17">
        <v>198.7</v>
      </c>
      <c r="O35" s="17">
        <v>151.01</v>
      </c>
      <c r="P35" s="17">
        <v>165.14</v>
      </c>
      <c r="Q35" s="17">
        <v>35.01</v>
      </c>
      <c r="R35" s="17">
        <v>27.87</v>
      </c>
      <c r="S35" s="17"/>
      <c r="T35" s="17"/>
      <c r="U35" s="50">
        <v>64.63</v>
      </c>
      <c r="V35" s="50">
        <v>52.88</v>
      </c>
      <c r="W35" s="50">
        <v>67.42</v>
      </c>
      <c r="X35" s="50">
        <v>76.28</v>
      </c>
      <c r="Y35" s="50">
        <v>35.979999999999997</v>
      </c>
      <c r="Z35" s="50">
        <v>82.33</v>
      </c>
      <c r="AA35" s="50">
        <v>66.540000000000006</v>
      </c>
      <c r="AB35" s="50">
        <v>64.92</v>
      </c>
      <c r="AC35" s="50">
        <v>12.88</v>
      </c>
      <c r="AD35" s="50">
        <v>52.72</v>
      </c>
      <c r="AE35" s="17">
        <v>30.84</v>
      </c>
      <c r="AF35" s="17">
        <v>35.880000000000003</v>
      </c>
      <c r="AG35" s="17">
        <v>35.65</v>
      </c>
      <c r="AH35" s="17">
        <v>37.5</v>
      </c>
      <c r="AI35" s="17">
        <v>1.51</v>
      </c>
      <c r="AJ35" s="54"/>
      <c r="AK35" s="54"/>
      <c r="AL35" s="17"/>
      <c r="AM35" s="17"/>
      <c r="AN35" s="17"/>
      <c r="AO35" s="17"/>
      <c r="AP35" s="17"/>
      <c r="AQ35" s="17"/>
      <c r="AR35" s="17">
        <v>40.6</v>
      </c>
      <c r="AS35" s="17"/>
      <c r="AT35" s="3" t="s">
        <v>493</v>
      </c>
      <c r="AU35" s="3"/>
    </row>
    <row r="36" spans="1:47" x14ac:dyDescent="0.2">
      <c r="A36" s="115">
        <v>35.000000000000142</v>
      </c>
      <c r="C36" s="6">
        <v>21.35</v>
      </c>
      <c r="D36" s="129" t="s">
        <v>140</v>
      </c>
      <c r="E36" t="s">
        <v>141</v>
      </c>
      <c r="F36" s="3" t="s">
        <v>62</v>
      </c>
      <c r="H36" s="3" t="s">
        <v>62</v>
      </c>
      <c r="I36" s="82">
        <v>44236</v>
      </c>
      <c r="J36" s="17" t="s">
        <v>492</v>
      </c>
      <c r="K36" s="17" t="s">
        <v>203</v>
      </c>
      <c r="L36" s="17"/>
      <c r="M36" s="17"/>
      <c r="N36" s="17">
        <v>194</v>
      </c>
      <c r="O36" s="17">
        <v>150.66</v>
      </c>
      <c r="P36" s="17">
        <v>165.72</v>
      </c>
      <c r="Q36" s="17">
        <v>38.24</v>
      </c>
      <c r="R36" s="17">
        <v>26.22</v>
      </c>
      <c r="S36" s="17"/>
      <c r="T36" s="17"/>
      <c r="U36" s="50">
        <v>63.15</v>
      </c>
      <c r="V36" s="50">
        <v>51.68</v>
      </c>
      <c r="W36" s="50">
        <v>64.13</v>
      </c>
      <c r="X36" s="50">
        <v>70.489999999999995</v>
      </c>
      <c r="Y36" s="50">
        <v>39.840000000000003</v>
      </c>
      <c r="Z36" s="50">
        <v>81.03</v>
      </c>
      <c r="AA36" s="50">
        <v>64.73</v>
      </c>
      <c r="AB36" s="50">
        <v>64.39</v>
      </c>
      <c r="AC36" s="50">
        <v>14.4</v>
      </c>
      <c r="AD36" s="50">
        <v>51.11</v>
      </c>
      <c r="AE36" s="17">
        <v>28.92</v>
      </c>
      <c r="AF36" s="17">
        <v>41.98</v>
      </c>
      <c r="AG36" s="17">
        <v>35.04</v>
      </c>
      <c r="AH36" s="17">
        <v>42.47</v>
      </c>
      <c r="AI36" s="17">
        <v>1.27</v>
      </c>
      <c r="AJ36" s="54"/>
      <c r="AK36" s="54"/>
      <c r="AL36" s="17"/>
      <c r="AM36" s="17"/>
      <c r="AN36" s="17"/>
      <c r="AO36" s="17"/>
      <c r="AP36" s="17"/>
      <c r="AQ36" s="17"/>
      <c r="AR36" s="17">
        <v>42.6</v>
      </c>
      <c r="AS36" s="17"/>
      <c r="AT36" s="3" t="s">
        <v>493</v>
      </c>
      <c r="AU36" s="3"/>
    </row>
    <row r="37" spans="1:47" x14ac:dyDescent="0.2">
      <c r="A37" s="115">
        <v>35.999999999999943</v>
      </c>
      <c r="C37" s="6">
        <v>21.36</v>
      </c>
      <c r="D37" s="129" t="s">
        <v>140</v>
      </c>
      <c r="E37" t="s">
        <v>141</v>
      </c>
      <c r="F37" s="3" t="s">
        <v>62</v>
      </c>
      <c r="H37" s="3" t="s">
        <v>62</v>
      </c>
      <c r="I37" s="82">
        <v>44236</v>
      </c>
      <c r="J37" s="17" t="s">
        <v>492</v>
      </c>
      <c r="K37" s="17" t="s">
        <v>203</v>
      </c>
      <c r="L37" s="17"/>
      <c r="M37" s="17"/>
      <c r="N37" s="17">
        <v>193.7</v>
      </c>
      <c r="O37" s="17">
        <v>169.39</v>
      </c>
      <c r="P37" s="17">
        <v>177.26</v>
      </c>
      <c r="Q37" s="17">
        <v>35.94</v>
      </c>
      <c r="R37" s="17">
        <v>30.82</v>
      </c>
      <c r="S37" s="17"/>
      <c r="T37" s="17"/>
      <c r="U37" s="50">
        <v>66.13</v>
      </c>
      <c r="V37" s="50">
        <v>54.13</v>
      </c>
      <c r="W37" s="50">
        <v>67.37</v>
      </c>
      <c r="X37" s="50">
        <v>76.87</v>
      </c>
      <c r="Y37" s="50">
        <v>37.07</v>
      </c>
      <c r="Z37" s="50">
        <v>81.290000000000006</v>
      </c>
      <c r="AA37" s="50">
        <v>64.42</v>
      </c>
      <c r="AB37" s="50">
        <v>66.42</v>
      </c>
      <c r="AC37" s="50">
        <v>12.9</v>
      </c>
      <c r="AD37" s="50">
        <v>52.07</v>
      </c>
      <c r="AE37" s="17"/>
      <c r="AF37" s="17"/>
      <c r="AG37" s="17"/>
      <c r="AH37" s="17"/>
      <c r="AI37" s="17">
        <v>1.3779999999999999</v>
      </c>
      <c r="AJ37" s="54"/>
      <c r="AK37" s="54"/>
      <c r="AL37" s="17"/>
      <c r="AM37" s="17"/>
      <c r="AN37" s="17"/>
      <c r="AO37" s="17"/>
      <c r="AP37" s="17"/>
      <c r="AQ37" s="17"/>
      <c r="AR37" s="17">
        <v>39</v>
      </c>
      <c r="AS37" s="17"/>
      <c r="AT37" s="3" t="s">
        <v>493</v>
      </c>
      <c r="AU37" s="3"/>
    </row>
    <row r="38" spans="1:47" x14ac:dyDescent="0.2">
      <c r="A38" s="115">
        <v>37.000000000000099</v>
      </c>
      <c r="C38" s="6">
        <v>21.37</v>
      </c>
      <c r="D38" s="129" t="s">
        <v>140</v>
      </c>
      <c r="E38" t="s">
        <v>141</v>
      </c>
      <c r="F38" s="3" t="s">
        <v>62</v>
      </c>
      <c r="H38" s="3" t="s">
        <v>62</v>
      </c>
      <c r="I38" s="82">
        <v>44236</v>
      </c>
      <c r="J38" s="17" t="s">
        <v>492</v>
      </c>
      <c r="K38" s="17" t="s">
        <v>203</v>
      </c>
      <c r="L38" s="17"/>
      <c r="M38" s="17"/>
      <c r="N38" s="17">
        <v>201.8</v>
      </c>
      <c r="O38" s="17">
        <v>165.45</v>
      </c>
      <c r="P38" s="17">
        <v>171.39</v>
      </c>
      <c r="Q38" s="17">
        <v>35.64</v>
      </c>
      <c r="R38" s="17">
        <v>57.52</v>
      </c>
      <c r="S38" s="17"/>
      <c r="T38" s="17"/>
      <c r="U38" s="50">
        <v>65.7</v>
      </c>
      <c r="V38" s="50">
        <v>54.56</v>
      </c>
      <c r="W38" s="50">
        <v>65.59</v>
      </c>
      <c r="X38" s="50">
        <v>77.709999999999994</v>
      </c>
      <c r="Y38" s="50">
        <v>35.93</v>
      </c>
      <c r="Z38" s="50">
        <v>82.78</v>
      </c>
      <c r="AA38" s="50">
        <v>64.61</v>
      </c>
      <c r="AB38" s="50">
        <v>67.459999999999994</v>
      </c>
      <c r="AC38" s="50">
        <v>11.24</v>
      </c>
      <c r="AD38" s="50">
        <v>53.5</v>
      </c>
      <c r="AE38" s="17">
        <v>34.46</v>
      </c>
      <c r="AF38" s="17">
        <v>34.159999999999997</v>
      </c>
      <c r="AG38" s="17">
        <v>40.04</v>
      </c>
      <c r="AH38" s="17">
        <v>37.92</v>
      </c>
      <c r="AI38" s="17">
        <v>1.506</v>
      </c>
      <c r="AJ38" s="54"/>
      <c r="AK38" s="54"/>
      <c r="AL38" s="17"/>
      <c r="AM38" s="17"/>
      <c r="AN38" s="17"/>
      <c r="AO38" s="17"/>
      <c r="AP38" s="17"/>
      <c r="AQ38" s="17"/>
      <c r="AR38" s="17">
        <v>44.4</v>
      </c>
      <c r="AS38" s="17"/>
      <c r="AT38" s="3" t="s">
        <v>493</v>
      </c>
      <c r="AU38" s="3"/>
    </row>
    <row r="39" spans="1:47" x14ac:dyDescent="0.2">
      <c r="A39" s="115">
        <v>37.999999999999901</v>
      </c>
      <c r="C39" s="6">
        <v>21.38</v>
      </c>
      <c r="D39" s="129" t="s">
        <v>140</v>
      </c>
      <c r="E39" t="s">
        <v>141</v>
      </c>
      <c r="F39" s="3" t="s">
        <v>60</v>
      </c>
      <c r="H39" s="3" t="s">
        <v>60</v>
      </c>
      <c r="I39" s="82">
        <v>44224</v>
      </c>
      <c r="J39" s="17" t="s">
        <v>492</v>
      </c>
      <c r="K39" s="17" t="s">
        <v>203</v>
      </c>
      <c r="L39" s="17"/>
      <c r="M39" s="17"/>
      <c r="N39" s="17">
        <v>209.6</v>
      </c>
      <c r="O39" s="17">
        <v>138.66</v>
      </c>
      <c r="P39" s="17">
        <v>151.57</v>
      </c>
      <c r="Q39" s="17">
        <v>27.58</v>
      </c>
      <c r="R39" s="17">
        <v>15.4</v>
      </c>
      <c r="S39" s="17"/>
      <c r="T39" s="17"/>
      <c r="U39" s="50">
        <v>51.19</v>
      </c>
      <c r="V39" s="50">
        <v>34.9</v>
      </c>
      <c r="W39" s="50">
        <v>57.48</v>
      </c>
      <c r="X39" s="50">
        <v>69.63</v>
      </c>
      <c r="Y39" s="50"/>
      <c r="Z39" s="50">
        <v>78.02</v>
      </c>
      <c r="AA39" s="50">
        <v>64.67</v>
      </c>
      <c r="AB39" s="50">
        <v>64.13</v>
      </c>
      <c r="AC39" s="50">
        <v>13.59</v>
      </c>
      <c r="AD39" s="50">
        <v>55.12</v>
      </c>
      <c r="AE39" s="17">
        <v>25.84</v>
      </c>
      <c r="AF39" s="17">
        <v>37.69</v>
      </c>
      <c r="AG39" s="17">
        <v>35.25</v>
      </c>
      <c r="AH39" s="17">
        <v>38.44</v>
      </c>
      <c r="AI39" s="17">
        <v>1.6839999999999999</v>
      </c>
      <c r="AJ39" s="54"/>
      <c r="AK39" s="54"/>
      <c r="AL39" s="17"/>
      <c r="AM39" s="17"/>
      <c r="AN39" s="17"/>
      <c r="AO39" s="17"/>
      <c r="AP39" s="17"/>
      <c r="AQ39" s="17"/>
      <c r="AR39" s="17">
        <v>43.6</v>
      </c>
      <c r="AS39" s="17"/>
      <c r="AT39" s="3" t="s">
        <v>493</v>
      </c>
      <c r="AU39" s="3"/>
    </row>
    <row r="40" spans="1:47" x14ac:dyDescent="0.2">
      <c r="A40" s="115">
        <v>39.000000000000057</v>
      </c>
      <c r="C40" s="6">
        <v>21.39</v>
      </c>
      <c r="D40" s="129" t="s">
        <v>140</v>
      </c>
      <c r="E40" t="s">
        <v>141</v>
      </c>
      <c r="F40" s="3" t="s">
        <v>61</v>
      </c>
      <c r="H40" s="3" t="s">
        <v>61</v>
      </c>
      <c r="I40" s="82">
        <v>44225</v>
      </c>
      <c r="J40" s="17" t="s">
        <v>492</v>
      </c>
      <c r="K40" s="17" t="s">
        <v>203</v>
      </c>
      <c r="L40" s="17"/>
      <c r="M40" s="17"/>
      <c r="N40" s="17"/>
      <c r="O40" s="17">
        <v>161.66999999999999</v>
      </c>
      <c r="P40" s="17">
        <v>171.87</v>
      </c>
      <c r="Q40" s="17">
        <v>34.090000000000003</v>
      </c>
      <c r="R40" s="17">
        <v>27.05</v>
      </c>
      <c r="S40" s="17"/>
      <c r="T40" s="17"/>
      <c r="U40" s="50">
        <v>41.87</v>
      </c>
      <c r="V40" s="50">
        <v>50.8</v>
      </c>
      <c r="W40" s="50">
        <v>56.4</v>
      </c>
      <c r="X40" s="50">
        <v>64.92</v>
      </c>
      <c r="Y40" s="50">
        <v>33.07</v>
      </c>
      <c r="Z40" s="50">
        <v>72.55</v>
      </c>
      <c r="AA40" s="50">
        <v>61.3</v>
      </c>
      <c r="AB40" s="50">
        <v>55.61</v>
      </c>
      <c r="AC40" s="50">
        <v>15.81</v>
      </c>
      <c r="AD40" s="50">
        <v>50.62</v>
      </c>
      <c r="AE40" s="17">
        <v>38.49</v>
      </c>
      <c r="AF40" s="17">
        <v>34.270000000000003</v>
      </c>
      <c r="AG40" s="17">
        <v>38.380000000000003</v>
      </c>
      <c r="AH40" s="17">
        <v>38.81</v>
      </c>
      <c r="AI40" s="17">
        <v>1.1120000000000001</v>
      </c>
      <c r="AJ40" s="54"/>
      <c r="AK40" s="54"/>
      <c r="AL40" s="17"/>
      <c r="AM40" s="17"/>
      <c r="AN40" s="17"/>
      <c r="AO40" s="17"/>
      <c r="AP40" s="17"/>
      <c r="AQ40" s="17"/>
      <c r="AR40" s="17">
        <v>33.299999999999997</v>
      </c>
      <c r="AS40" s="17"/>
      <c r="AT40" s="3" t="s">
        <v>493</v>
      </c>
      <c r="AU40" s="3"/>
    </row>
    <row r="41" spans="1:47" x14ac:dyDescent="0.2">
      <c r="A41" s="115">
        <v>39.999999999999858</v>
      </c>
      <c r="C41" s="6">
        <v>21.4</v>
      </c>
      <c r="D41" s="129" t="s">
        <v>140</v>
      </c>
      <c r="E41" t="s">
        <v>141</v>
      </c>
      <c r="F41" s="3" t="s">
        <v>61</v>
      </c>
      <c r="H41" s="3" t="s">
        <v>61</v>
      </c>
      <c r="I41" s="82">
        <v>44225</v>
      </c>
      <c r="J41" s="17" t="s">
        <v>492</v>
      </c>
      <c r="K41" s="17" t="s">
        <v>203</v>
      </c>
      <c r="L41" s="17"/>
      <c r="M41" s="17"/>
      <c r="N41" s="17"/>
      <c r="O41" s="17">
        <v>157.66999999999999</v>
      </c>
      <c r="P41" s="17">
        <v>167.36</v>
      </c>
      <c r="Q41" s="17">
        <v>35.340000000000003</v>
      </c>
      <c r="R41" s="17">
        <v>23.75</v>
      </c>
      <c r="S41" s="17"/>
      <c r="T41" s="17"/>
      <c r="U41" s="50">
        <v>40.39</v>
      </c>
      <c r="V41" s="50">
        <v>53.26</v>
      </c>
      <c r="W41" s="50">
        <v>61.6</v>
      </c>
      <c r="X41" s="50">
        <v>68.17</v>
      </c>
      <c r="Y41" s="50">
        <v>31.41</v>
      </c>
      <c r="Z41" s="50">
        <v>73.67</v>
      </c>
      <c r="AA41" s="50">
        <v>61.47</v>
      </c>
      <c r="AB41" s="50">
        <v>57.09</v>
      </c>
      <c r="AC41" s="50">
        <v>13.71</v>
      </c>
      <c r="AD41" s="50">
        <v>50.16</v>
      </c>
      <c r="AE41" s="17">
        <v>35.270000000000003</v>
      </c>
      <c r="AF41" s="17">
        <v>36.159999999999997</v>
      </c>
      <c r="AG41" s="17">
        <v>38.450000000000003</v>
      </c>
      <c r="AH41" s="17">
        <v>38.78</v>
      </c>
      <c r="AI41" s="17">
        <v>1.012</v>
      </c>
      <c r="AJ41" s="54"/>
      <c r="AK41" s="54"/>
      <c r="AL41" s="17"/>
      <c r="AM41" s="17"/>
      <c r="AN41" s="17"/>
      <c r="AO41" s="17"/>
      <c r="AP41" s="17"/>
      <c r="AQ41" s="17"/>
      <c r="AR41" s="17">
        <v>31.6</v>
      </c>
      <c r="AS41" s="17"/>
      <c r="AT41" s="3" t="s">
        <v>493</v>
      </c>
      <c r="AU41" s="3"/>
    </row>
    <row r="42" spans="1:47" x14ac:dyDescent="0.2">
      <c r="A42" s="115">
        <v>41.000000000000014</v>
      </c>
      <c r="C42" s="6">
        <v>21.41</v>
      </c>
      <c r="D42" s="129" t="s">
        <v>140</v>
      </c>
      <c r="E42" t="s">
        <v>141</v>
      </c>
      <c r="F42" s="3" t="s">
        <v>62</v>
      </c>
      <c r="H42" s="3" t="s">
        <v>62</v>
      </c>
      <c r="I42" s="82">
        <v>44233</v>
      </c>
      <c r="J42" s="17" t="s">
        <v>492</v>
      </c>
      <c r="K42" s="17" t="s">
        <v>203</v>
      </c>
      <c r="L42" s="17"/>
      <c r="M42" s="17"/>
      <c r="N42" s="17">
        <v>173.3</v>
      </c>
      <c r="O42" s="17">
        <v>176.75</v>
      </c>
      <c r="P42" s="17">
        <v>181.03</v>
      </c>
      <c r="Q42" s="17">
        <v>37.380000000000003</v>
      </c>
      <c r="R42" s="17">
        <v>28.91</v>
      </c>
      <c r="S42" s="17"/>
      <c r="T42" s="17"/>
      <c r="U42" s="50">
        <v>42.66</v>
      </c>
      <c r="V42" s="50">
        <v>52.18</v>
      </c>
      <c r="W42" s="50">
        <v>58.17</v>
      </c>
      <c r="X42" s="50">
        <v>70.319999999999993</v>
      </c>
      <c r="Y42" s="50">
        <v>29.42</v>
      </c>
      <c r="Z42" s="50">
        <v>74.08</v>
      </c>
      <c r="AA42" s="50">
        <v>62.7</v>
      </c>
      <c r="AB42" s="50">
        <v>58.86</v>
      </c>
      <c r="AC42" s="50">
        <v>15.13</v>
      </c>
      <c r="AD42" s="50">
        <v>51.56</v>
      </c>
      <c r="AE42" s="17">
        <v>43.66</v>
      </c>
      <c r="AF42" s="17">
        <v>39.909999999999997</v>
      </c>
      <c r="AG42" s="17">
        <v>40.42</v>
      </c>
      <c r="AH42" s="17">
        <v>39.42</v>
      </c>
      <c r="AI42" s="17">
        <v>1.1080000000000001</v>
      </c>
      <c r="AJ42" s="54"/>
      <c r="AK42" s="54"/>
      <c r="AL42" s="17"/>
      <c r="AM42" s="17"/>
      <c r="AN42" s="17"/>
      <c r="AO42" s="17"/>
      <c r="AP42" s="17"/>
      <c r="AQ42" s="17"/>
      <c r="AR42" s="17">
        <v>33.6</v>
      </c>
      <c r="AS42" s="17"/>
      <c r="AT42" s="3" t="s">
        <v>493</v>
      </c>
      <c r="AU42" s="3"/>
    </row>
    <row r="43" spans="1:47" x14ac:dyDescent="0.2">
      <c r="A43" s="115">
        <v>42.000000000000171</v>
      </c>
      <c r="C43" s="6">
        <v>21.42</v>
      </c>
      <c r="D43" s="129" t="s">
        <v>140</v>
      </c>
      <c r="E43" t="s">
        <v>141</v>
      </c>
      <c r="F43" s="3" t="s">
        <v>60</v>
      </c>
      <c r="H43" s="3" t="s">
        <v>60</v>
      </c>
      <c r="I43" s="82">
        <v>44216</v>
      </c>
      <c r="J43" s="17" t="s">
        <v>492</v>
      </c>
      <c r="K43" s="17" t="s">
        <v>203</v>
      </c>
      <c r="L43" s="17"/>
      <c r="M43" s="17"/>
      <c r="N43" s="17">
        <v>199.9</v>
      </c>
      <c r="O43" s="17">
        <v>139.03</v>
      </c>
      <c r="P43" s="17">
        <v>149.15</v>
      </c>
      <c r="Q43" s="17">
        <v>25.44</v>
      </c>
      <c r="R43" s="17">
        <v>17.22</v>
      </c>
      <c r="S43" s="17"/>
      <c r="T43" s="17"/>
      <c r="U43" s="50">
        <v>39.15</v>
      </c>
      <c r="V43" s="50">
        <v>49.48</v>
      </c>
      <c r="W43" s="50">
        <v>61.37</v>
      </c>
      <c r="X43" s="50">
        <v>71.03</v>
      </c>
      <c r="Y43" s="50"/>
      <c r="Z43" s="50">
        <v>75.069999999999993</v>
      </c>
      <c r="AA43" s="50">
        <v>62.42</v>
      </c>
      <c r="AB43" s="50">
        <v>65.099999999999994</v>
      </c>
      <c r="AC43" s="50">
        <v>13.6</v>
      </c>
      <c r="AD43" s="50">
        <v>53.61</v>
      </c>
      <c r="AE43" s="17">
        <v>27.98</v>
      </c>
      <c r="AF43" s="17">
        <v>30.65</v>
      </c>
      <c r="AG43" s="17">
        <v>32.25</v>
      </c>
      <c r="AH43" s="17">
        <v>33.299999999999997</v>
      </c>
      <c r="AI43" s="17">
        <v>1.619</v>
      </c>
      <c r="AJ43" s="54"/>
      <c r="AK43" s="54"/>
      <c r="AL43" s="17"/>
      <c r="AM43" s="17"/>
      <c r="AN43" s="17"/>
      <c r="AO43" s="17"/>
      <c r="AP43" s="17"/>
      <c r="AQ43" s="17"/>
      <c r="AR43" s="17">
        <v>39.5</v>
      </c>
      <c r="AS43" s="17"/>
      <c r="AT43" s="3" t="s">
        <v>493</v>
      </c>
      <c r="AU43" s="3"/>
    </row>
    <row r="44" spans="1:47" x14ac:dyDescent="0.2">
      <c r="A44" s="115">
        <v>42.999999999999972</v>
      </c>
      <c r="C44" s="6">
        <v>21.43</v>
      </c>
      <c r="D44" s="129" t="s">
        <v>140</v>
      </c>
      <c r="E44" t="s">
        <v>141</v>
      </c>
      <c r="F44" s="3" t="s">
        <v>60</v>
      </c>
      <c r="H44" s="3" t="s">
        <v>60</v>
      </c>
      <c r="I44" s="82">
        <v>44216</v>
      </c>
      <c r="J44" s="17" t="s">
        <v>492</v>
      </c>
      <c r="K44" s="17" t="s">
        <v>203</v>
      </c>
      <c r="L44" s="17"/>
      <c r="M44" s="17"/>
      <c r="N44" s="17">
        <v>205.9</v>
      </c>
      <c r="O44" s="17">
        <v>137.79</v>
      </c>
      <c r="P44" s="17">
        <v>151.21</v>
      </c>
      <c r="Q44" s="17">
        <v>23.39</v>
      </c>
      <c r="R44" s="17">
        <v>15.98</v>
      </c>
      <c r="S44" s="17"/>
      <c r="T44" s="17"/>
      <c r="U44" s="50">
        <v>39.6</v>
      </c>
      <c r="V44" s="50">
        <v>50.61</v>
      </c>
      <c r="W44" s="50">
        <v>60.65</v>
      </c>
      <c r="X44" s="50">
        <v>69.14</v>
      </c>
      <c r="Y44" s="50"/>
      <c r="Z44" s="50">
        <v>75.17</v>
      </c>
      <c r="AA44" s="50">
        <v>62.12</v>
      </c>
      <c r="AB44" s="50">
        <v>65.98</v>
      </c>
      <c r="AC44" s="50">
        <v>18</v>
      </c>
      <c r="AD44" s="50">
        <v>54.83</v>
      </c>
      <c r="AE44" s="17">
        <v>24.6</v>
      </c>
      <c r="AF44" s="17">
        <v>29.13</v>
      </c>
      <c r="AG44" s="17">
        <v>27.42</v>
      </c>
      <c r="AH44" s="17">
        <v>33.659999999999997</v>
      </c>
      <c r="AI44" s="17">
        <v>1.524</v>
      </c>
      <c r="AJ44" s="54"/>
      <c r="AK44" s="54"/>
      <c r="AL44" s="17"/>
      <c r="AM44" s="17"/>
      <c r="AN44" s="17"/>
      <c r="AO44" s="17"/>
      <c r="AP44" s="17"/>
      <c r="AQ44" s="17"/>
      <c r="AR44" s="17">
        <v>39.299999999999997</v>
      </c>
      <c r="AS44" s="17"/>
      <c r="AT44" s="3" t="s">
        <v>493</v>
      </c>
      <c r="AU44" s="3"/>
    </row>
    <row r="45" spans="1:47" x14ac:dyDescent="0.2">
      <c r="A45" s="115">
        <v>44.000000000000128</v>
      </c>
      <c r="B45" s="3">
        <v>1</v>
      </c>
      <c r="C45" s="6">
        <v>21.44</v>
      </c>
      <c r="D45" s="129" t="s">
        <v>140</v>
      </c>
      <c r="E45" t="s">
        <v>141</v>
      </c>
      <c r="F45" s="3" t="s">
        <v>60</v>
      </c>
      <c r="H45" s="3" t="s">
        <v>60</v>
      </c>
      <c r="I45" s="127">
        <v>44249</v>
      </c>
      <c r="J45" s="17" t="s">
        <v>142</v>
      </c>
      <c r="K45" s="17" t="s">
        <v>203</v>
      </c>
      <c r="L45" s="17"/>
      <c r="M45" s="17"/>
      <c r="N45" s="17">
        <v>215.6</v>
      </c>
      <c r="O45" s="17">
        <v>154.44999999999999</v>
      </c>
      <c r="P45" s="17">
        <v>171.04</v>
      </c>
      <c r="Q45" s="17">
        <v>24.05</v>
      </c>
      <c r="R45" s="17">
        <v>20.350000000000001</v>
      </c>
      <c r="S45" s="17"/>
      <c r="T45" s="17"/>
      <c r="U45" s="50">
        <v>64.959999999999994</v>
      </c>
      <c r="V45" s="50">
        <v>48.16</v>
      </c>
      <c r="W45" s="50">
        <v>69.239999999999995</v>
      </c>
      <c r="X45" s="50">
        <v>86.12</v>
      </c>
      <c r="Y45" s="50">
        <v>41.68</v>
      </c>
      <c r="Z45" s="50">
        <v>93.12</v>
      </c>
      <c r="AA45" s="50">
        <v>70.97</v>
      </c>
      <c r="AB45" s="50">
        <v>73.87</v>
      </c>
      <c r="AC45" s="50">
        <v>10.31</v>
      </c>
      <c r="AD45" s="50">
        <v>49.14</v>
      </c>
      <c r="AE45" s="17">
        <v>28.01</v>
      </c>
      <c r="AF45" s="17">
        <v>31.76</v>
      </c>
      <c r="AG45" s="17">
        <v>51.85</v>
      </c>
      <c r="AH45" s="17">
        <v>42.54</v>
      </c>
      <c r="AI45" s="17">
        <v>2.0979999999999999</v>
      </c>
      <c r="AJ45" s="54"/>
      <c r="AK45" s="54"/>
      <c r="AL45" s="17"/>
      <c r="AM45" s="17"/>
      <c r="AN45" s="17">
        <v>61</v>
      </c>
      <c r="AO45" s="17">
        <v>23.7</v>
      </c>
      <c r="AP45" s="17">
        <v>66.900000000000006</v>
      </c>
      <c r="AQ45" s="17"/>
      <c r="AR45" s="17">
        <v>57.8</v>
      </c>
      <c r="AS45" s="17"/>
      <c r="AT45" s="3" t="s">
        <v>146</v>
      </c>
      <c r="AU45" s="3"/>
    </row>
    <row r="46" spans="1:47" x14ac:dyDescent="0.2">
      <c r="A46" s="115">
        <v>44.999999999999929</v>
      </c>
      <c r="B46" s="3">
        <v>2</v>
      </c>
      <c r="C46" s="6">
        <v>21.45</v>
      </c>
      <c r="D46" s="129" t="s">
        <v>140</v>
      </c>
      <c r="E46" t="s">
        <v>141</v>
      </c>
      <c r="F46" s="3" t="s">
        <v>60</v>
      </c>
      <c r="H46" s="3" t="s">
        <v>60</v>
      </c>
      <c r="I46" s="127">
        <v>44249</v>
      </c>
      <c r="J46" s="17" t="s">
        <v>142</v>
      </c>
      <c r="K46" s="17" t="s">
        <v>203</v>
      </c>
      <c r="L46" s="17"/>
      <c r="M46" s="17"/>
      <c r="N46" s="17">
        <v>204.8</v>
      </c>
      <c r="O46" s="17">
        <v>147.80000000000001</v>
      </c>
      <c r="P46" s="17">
        <v>160.66999999999999</v>
      </c>
      <c r="Q46" s="17">
        <v>24.37</v>
      </c>
      <c r="R46" s="17">
        <v>13.58</v>
      </c>
      <c r="S46" s="17"/>
      <c r="T46" s="17"/>
      <c r="U46" s="50">
        <v>65.2</v>
      </c>
      <c r="V46" s="50">
        <v>48.34</v>
      </c>
      <c r="W46" s="50">
        <v>71.39</v>
      </c>
      <c r="X46" s="50">
        <v>86.72</v>
      </c>
      <c r="Y46" s="50">
        <v>39.78</v>
      </c>
      <c r="Z46" s="50">
        <v>93.62</v>
      </c>
      <c r="AA46" s="50">
        <v>72.91</v>
      </c>
      <c r="AB46" s="50">
        <v>77.27</v>
      </c>
      <c r="AC46" s="50">
        <v>8.94</v>
      </c>
      <c r="AD46" s="50">
        <v>48.84</v>
      </c>
      <c r="AE46" s="17">
        <v>27.4</v>
      </c>
      <c r="AF46" s="17">
        <v>36.89</v>
      </c>
      <c r="AG46" s="17">
        <v>46.3</v>
      </c>
      <c r="AH46" s="17">
        <v>40.74</v>
      </c>
      <c r="AI46" s="17">
        <v>1.962</v>
      </c>
      <c r="AJ46" s="54"/>
      <c r="AK46" s="54"/>
      <c r="AL46" s="17"/>
      <c r="AM46" s="17"/>
      <c r="AN46" s="17"/>
      <c r="AO46" s="17">
        <v>24</v>
      </c>
      <c r="AP46" s="17">
        <v>55.9</v>
      </c>
      <c r="AQ46" s="17"/>
      <c r="AR46" s="17">
        <v>52.4</v>
      </c>
      <c r="AS46" s="17"/>
      <c r="AT46" s="3" t="s">
        <v>146</v>
      </c>
      <c r="AU46" s="3"/>
    </row>
    <row r="47" spans="1:47" x14ac:dyDescent="0.2">
      <c r="A47" s="115">
        <v>46.000000000000085</v>
      </c>
      <c r="B47" s="3">
        <v>3</v>
      </c>
      <c r="C47" s="6">
        <v>21.46</v>
      </c>
      <c r="D47" s="129" t="s">
        <v>140</v>
      </c>
      <c r="E47" t="s">
        <v>141</v>
      </c>
      <c r="F47" s="3" t="s">
        <v>60</v>
      </c>
      <c r="H47" s="3" t="s">
        <v>60</v>
      </c>
      <c r="I47" s="127">
        <v>44249</v>
      </c>
      <c r="J47" s="17" t="s">
        <v>142</v>
      </c>
      <c r="K47" s="17" t="s">
        <v>203</v>
      </c>
      <c r="L47" s="17"/>
      <c r="M47" s="17"/>
      <c r="N47" s="17">
        <v>211.1</v>
      </c>
      <c r="O47" s="17">
        <v>153.72</v>
      </c>
      <c r="P47" s="17">
        <v>168.74</v>
      </c>
      <c r="Q47" s="17">
        <v>28.62</v>
      </c>
      <c r="R47" s="17">
        <v>18.46</v>
      </c>
      <c r="S47" s="17"/>
      <c r="T47" s="17"/>
      <c r="U47" s="50">
        <v>66.150000000000006</v>
      </c>
      <c r="V47" s="50">
        <v>55.4</v>
      </c>
      <c r="W47" s="50">
        <v>72.59</v>
      </c>
      <c r="X47" s="50">
        <v>87.76</v>
      </c>
      <c r="Y47" s="50">
        <v>42.81</v>
      </c>
      <c r="Z47" s="50">
        <v>96.04</v>
      </c>
      <c r="AA47" s="50">
        <v>75.33</v>
      </c>
      <c r="AB47" s="50">
        <v>76.900000000000006</v>
      </c>
      <c r="AC47" s="50">
        <v>9.36</v>
      </c>
      <c r="AD47" s="50">
        <v>46.37</v>
      </c>
      <c r="AE47" s="17">
        <v>24.5</v>
      </c>
      <c r="AF47" s="17">
        <v>36.28</v>
      </c>
      <c r="AG47" s="17">
        <v>31.64</v>
      </c>
      <c r="AH47" s="17">
        <v>42.91</v>
      </c>
      <c r="AI47" s="17">
        <v>2.2930000000000001</v>
      </c>
      <c r="AJ47" s="54"/>
      <c r="AK47" s="54"/>
      <c r="AL47" s="17"/>
      <c r="AM47" s="17"/>
      <c r="AN47" s="17">
        <v>55</v>
      </c>
      <c r="AO47" s="17">
        <v>18.5</v>
      </c>
      <c r="AP47" s="17">
        <v>73.8</v>
      </c>
      <c r="AQ47" s="17"/>
      <c r="AR47" s="17">
        <v>55.6</v>
      </c>
      <c r="AS47" s="17"/>
      <c r="AT47" s="3" t="s">
        <v>146</v>
      </c>
      <c r="AU47" s="3"/>
    </row>
    <row r="48" spans="1:47" x14ac:dyDescent="0.2">
      <c r="A48" s="115">
        <v>46.999999999999886</v>
      </c>
      <c r="B48" s="3">
        <v>4</v>
      </c>
      <c r="C48" s="6">
        <v>21.47</v>
      </c>
      <c r="D48" s="129" t="s">
        <v>140</v>
      </c>
      <c r="E48" t="s">
        <v>141</v>
      </c>
      <c r="F48" s="3" t="s">
        <v>62</v>
      </c>
      <c r="H48" s="3" t="s">
        <v>62</v>
      </c>
      <c r="I48" s="127">
        <v>44249</v>
      </c>
      <c r="J48" s="17" t="s">
        <v>142</v>
      </c>
      <c r="K48" s="17" t="s">
        <v>203</v>
      </c>
      <c r="L48" s="17"/>
      <c r="M48" s="17"/>
      <c r="N48" s="17">
        <v>206.4</v>
      </c>
      <c r="O48" s="17">
        <v>186.3</v>
      </c>
      <c r="P48" s="17">
        <v>206.36</v>
      </c>
      <c r="Q48" s="17">
        <v>41.87</v>
      </c>
      <c r="R48" s="17">
        <v>32.61</v>
      </c>
      <c r="S48" s="17"/>
      <c r="T48" s="17"/>
      <c r="U48" s="50">
        <v>65.709999999999994</v>
      </c>
      <c r="V48" s="50">
        <v>56.2</v>
      </c>
      <c r="W48" s="50">
        <v>75.67</v>
      </c>
      <c r="X48" s="50">
        <v>92.06</v>
      </c>
      <c r="Y48" s="50">
        <v>44.3</v>
      </c>
      <c r="Z48" s="50">
        <v>101.32</v>
      </c>
      <c r="AA48" s="50">
        <v>77</v>
      </c>
      <c r="AB48" s="50">
        <v>77.290000000000006</v>
      </c>
      <c r="AC48" s="50">
        <v>16.38</v>
      </c>
      <c r="AD48" s="50">
        <v>44.63</v>
      </c>
      <c r="AE48" s="17">
        <v>35.799999999999997</v>
      </c>
      <c r="AF48" s="17">
        <v>37.26</v>
      </c>
      <c r="AG48" s="17">
        <v>35.159999999999997</v>
      </c>
      <c r="AH48" s="17">
        <v>40.520000000000003</v>
      </c>
      <c r="AI48" s="17">
        <v>1.5069999999999999</v>
      </c>
      <c r="AJ48" s="54"/>
      <c r="AK48" s="54"/>
      <c r="AL48" s="17"/>
      <c r="AM48" s="17"/>
      <c r="AN48" s="17">
        <v>45</v>
      </c>
      <c r="AO48" s="17">
        <v>9.3000000000000007</v>
      </c>
      <c r="AP48" s="17">
        <v>100.4</v>
      </c>
      <c r="AQ48" s="17"/>
      <c r="AR48" s="17">
        <v>42.7</v>
      </c>
      <c r="AS48" s="17"/>
      <c r="AT48" s="3" t="s">
        <v>146</v>
      </c>
      <c r="AU48" s="3"/>
    </row>
    <row r="49" spans="1:47" x14ac:dyDescent="0.2">
      <c r="A49" s="115">
        <v>48.000000000000043</v>
      </c>
      <c r="B49" s="3">
        <v>5</v>
      </c>
      <c r="C49" s="6">
        <v>21.48</v>
      </c>
      <c r="D49" s="129" t="s">
        <v>140</v>
      </c>
      <c r="E49" t="s">
        <v>141</v>
      </c>
      <c r="F49" s="3" t="s">
        <v>62</v>
      </c>
      <c r="H49" s="3" t="s">
        <v>62</v>
      </c>
      <c r="I49" s="127">
        <v>44249</v>
      </c>
      <c r="J49" s="17" t="s">
        <v>142</v>
      </c>
      <c r="K49" s="17" t="s">
        <v>203</v>
      </c>
      <c r="L49" s="17"/>
      <c r="M49" s="17"/>
      <c r="N49" s="17">
        <v>218.4</v>
      </c>
      <c r="O49" s="17">
        <v>190.07</v>
      </c>
      <c r="P49" s="17">
        <v>203.96</v>
      </c>
      <c r="Q49" s="17">
        <v>42.74</v>
      </c>
      <c r="R49" s="17">
        <v>33.76</v>
      </c>
      <c r="S49" s="17"/>
      <c r="T49" s="17"/>
      <c r="U49" s="50">
        <v>70.55</v>
      </c>
      <c r="V49" s="50">
        <v>58.12</v>
      </c>
      <c r="W49" s="50">
        <v>76.319999999999993</v>
      </c>
      <c r="X49" s="50">
        <v>90.98</v>
      </c>
      <c r="Y49" s="50">
        <v>43.68</v>
      </c>
      <c r="Z49" s="50">
        <v>100.6</v>
      </c>
      <c r="AA49" s="50">
        <v>77.91</v>
      </c>
      <c r="AB49" s="50">
        <v>75.989999999999995</v>
      </c>
      <c r="AC49" s="50">
        <v>15.12</v>
      </c>
      <c r="AD49" s="50">
        <v>46.58</v>
      </c>
      <c r="AE49" s="17">
        <v>35.79</v>
      </c>
      <c r="AF49" s="17">
        <v>38.49</v>
      </c>
      <c r="AG49" s="17">
        <v>34.229999999999997</v>
      </c>
      <c r="AH49" s="17">
        <v>44.05</v>
      </c>
      <c r="AI49" s="17">
        <v>1.772</v>
      </c>
      <c r="AJ49" s="54"/>
      <c r="AK49" s="54"/>
      <c r="AL49" s="17"/>
      <c r="AM49" s="17"/>
      <c r="AN49" s="17">
        <v>45</v>
      </c>
      <c r="AO49" s="17">
        <v>16.100000000000001</v>
      </c>
      <c r="AP49" s="17">
        <v>90.4</v>
      </c>
      <c r="AQ49" s="17"/>
      <c r="AR49" s="17">
        <v>57.1</v>
      </c>
      <c r="AS49" s="17"/>
      <c r="AT49" s="3" t="s">
        <v>146</v>
      </c>
      <c r="AU49" s="3"/>
    </row>
    <row r="50" spans="1:47" x14ac:dyDescent="0.2">
      <c r="A50" s="115">
        <v>48.999999999999844</v>
      </c>
      <c r="B50" s="3">
        <v>6</v>
      </c>
      <c r="C50" s="6">
        <v>21.49</v>
      </c>
      <c r="D50" s="129" t="s">
        <v>140</v>
      </c>
      <c r="E50" t="s">
        <v>141</v>
      </c>
      <c r="F50" s="3" t="s">
        <v>62</v>
      </c>
      <c r="H50" s="3" t="s">
        <v>62</v>
      </c>
      <c r="I50" s="127">
        <v>44249</v>
      </c>
      <c r="J50" s="17" t="s">
        <v>142</v>
      </c>
      <c r="K50" s="17" t="s">
        <v>203</v>
      </c>
      <c r="L50" s="17"/>
      <c r="M50" s="17"/>
      <c r="N50" s="17">
        <v>219.9</v>
      </c>
      <c r="O50" s="17">
        <v>179.84</v>
      </c>
      <c r="P50" s="17">
        <v>206.03</v>
      </c>
      <c r="Q50" s="17">
        <v>41.27</v>
      </c>
      <c r="R50" s="17">
        <v>29.93</v>
      </c>
      <c r="S50" s="17"/>
      <c r="T50" s="17"/>
      <c r="U50" s="50">
        <v>71.12</v>
      </c>
      <c r="V50" s="50">
        <v>61.37</v>
      </c>
      <c r="W50" s="50">
        <v>77.81</v>
      </c>
      <c r="X50" s="50">
        <v>91.73</v>
      </c>
      <c r="Y50" s="50">
        <v>44</v>
      </c>
      <c r="Z50" s="50">
        <v>101.65</v>
      </c>
      <c r="AA50" s="50">
        <v>76.5</v>
      </c>
      <c r="AB50" s="50">
        <v>80.63</v>
      </c>
      <c r="AC50" s="50">
        <v>15.94</v>
      </c>
      <c r="AD50" s="50">
        <v>48.88</v>
      </c>
      <c r="AE50" s="17">
        <v>31.08</v>
      </c>
      <c r="AF50" s="17">
        <v>36.340000000000003</v>
      </c>
      <c r="AG50" s="17">
        <v>39.450000000000003</v>
      </c>
      <c r="AH50" s="17">
        <v>40.049999999999997</v>
      </c>
      <c r="AI50" s="17">
        <v>1.89</v>
      </c>
      <c r="AJ50" s="54"/>
      <c r="AK50" s="54"/>
      <c r="AL50" s="17"/>
      <c r="AM50" s="17"/>
      <c r="AN50" s="17">
        <v>52</v>
      </c>
      <c r="AO50" s="17">
        <v>16.7</v>
      </c>
      <c r="AP50" s="17">
        <v>92.6</v>
      </c>
      <c r="AQ50" s="17"/>
      <c r="AR50" s="17">
        <v>52</v>
      </c>
      <c r="AS50" s="17"/>
      <c r="AT50" s="3" t="s">
        <v>146</v>
      </c>
      <c r="AU50" s="3"/>
    </row>
    <row r="51" spans="1:47" x14ac:dyDescent="0.2">
      <c r="A51" s="115">
        <v>50</v>
      </c>
      <c r="B51" s="3">
        <v>7</v>
      </c>
      <c r="C51" s="7" t="s">
        <v>496</v>
      </c>
      <c r="D51" s="129" t="s">
        <v>140</v>
      </c>
      <c r="E51" t="s">
        <v>141</v>
      </c>
      <c r="F51" s="3" t="s">
        <v>60</v>
      </c>
      <c r="H51" s="3" t="s">
        <v>60</v>
      </c>
      <c r="I51" s="127">
        <v>44249</v>
      </c>
      <c r="J51" s="17" t="s">
        <v>142</v>
      </c>
      <c r="K51" s="17" t="s">
        <v>203</v>
      </c>
      <c r="L51" s="17"/>
      <c r="M51" s="17"/>
      <c r="N51" s="17">
        <v>205.2</v>
      </c>
      <c r="O51" s="17">
        <v>149.36000000000001</v>
      </c>
      <c r="P51" s="17">
        <v>166.01</v>
      </c>
      <c r="Q51" s="17">
        <v>27.4</v>
      </c>
      <c r="R51" s="17">
        <v>18.649999999999999</v>
      </c>
      <c r="S51" s="17"/>
      <c r="T51" s="17"/>
      <c r="U51" s="50">
        <v>67.92</v>
      </c>
      <c r="V51" s="50">
        <v>50.26</v>
      </c>
      <c r="W51" s="50">
        <v>68.650000000000006</v>
      </c>
      <c r="X51" s="50">
        <v>86.06</v>
      </c>
      <c r="Y51" s="50">
        <v>41.44</v>
      </c>
      <c r="Z51" s="50">
        <v>94.37</v>
      </c>
      <c r="AA51" s="50">
        <v>75.5</v>
      </c>
      <c r="AB51" s="50">
        <v>74.349999999999994</v>
      </c>
      <c r="AC51" s="50">
        <v>12.89</v>
      </c>
      <c r="AD51" s="50">
        <v>46.62</v>
      </c>
      <c r="AE51" s="17">
        <v>24.49</v>
      </c>
      <c r="AF51" s="17">
        <v>34.549999999999997</v>
      </c>
      <c r="AG51" s="17">
        <v>29.65</v>
      </c>
      <c r="AH51" s="17">
        <v>40.299999999999997</v>
      </c>
      <c r="AI51" s="17">
        <v>1.845</v>
      </c>
      <c r="AJ51" s="54"/>
      <c r="AK51" s="54"/>
      <c r="AL51" s="17"/>
      <c r="AM51" s="17"/>
      <c r="AN51" s="17">
        <v>29</v>
      </c>
      <c r="AO51" s="17">
        <v>14.4</v>
      </c>
      <c r="AP51" s="17">
        <v>100.9</v>
      </c>
      <c r="AQ51" s="17"/>
      <c r="AR51" s="17">
        <v>53.8</v>
      </c>
      <c r="AS51" s="17"/>
      <c r="AT51" s="3" t="s">
        <v>146</v>
      </c>
      <c r="AU51" s="3"/>
    </row>
    <row r="52" spans="1:47" x14ac:dyDescent="0.2">
      <c r="A52" s="115">
        <v>51.000000000000156</v>
      </c>
      <c r="B52" s="3">
        <v>8</v>
      </c>
      <c r="C52" s="6">
        <v>21.51</v>
      </c>
      <c r="D52" s="129" t="s">
        <v>140</v>
      </c>
      <c r="E52" t="s">
        <v>141</v>
      </c>
      <c r="F52" s="3" t="s">
        <v>62</v>
      </c>
      <c r="H52" s="3" t="s">
        <v>62</v>
      </c>
      <c r="I52" s="127">
        <v>44249</v>
      </c>
      <c r="J52" s="17" t="s">
        <v>142</v>
      </c>
      <c r="K52" s="17" t="s">
        <v>203</v>
      </c>
      <c r="L52" s="17"/>
      <c r="M52" s="17"/>
      <c r="N52" s="17">
        <v>207.4</v>
      </c>
      <c r="O52" s="17">
        <v>192.24</v>
      </c>
      <c r="P52" s="17">
        <v>202.97</v>
      </c>
      <c r="Q52" s="17">
        <v>41.73</v>
      </c>
      <c r="R52" s="17">
        <v>33.78</v>
      </c>
      <c r="S52" s="17"/>
      <c r="T52" s="17"/>
      <c r="U52" s="50">
        <v>65.650000000000006</v>
      </c>
      <c r="V52" s="50">
        <v>57.77</v>
      </c>
      <c r="W52" s="50">
        <v>75.599999999999994</v>
      </c>
      <c r="X52" s="50">
        <v>92.97</v>
      </c>
      <c r="Y52" s="50">
        <v>42.36</v>
      </c>
      <c r="Z52" s="50">
        <v>100.47</v>
      </c>
      <c r="AA52" s="50">
        <v>76.86</v>
      </c>
      <c r="AB52" s="50">
        <v>78.05</v>
      </c>
      <c r="AC52" s="50">
        <v>14.28</v>
      </c>
      <c r="AD52" s="50">
        <v>45</v>
      </c>
      <c r="AE52" s="17">
        <v>37.119999999999997</v>
      </c>
      <c r="AF52" s="17">
        <v>38.130000000000003</v>
      </c>
      <c r="AG52" s="17">
        <v>39.47</v>
      </c>
      <c r="AH52" s="17">
        <v>40.58</v>
      </c>
      <c r="AI52" s="17">
        <v>1.6619999999999999</v>
      </c>
      <c r="AJ52" s="54"/>
      <c r="AK52" s="54"/>
      <c r="AL52" s="17"/>
      <c r="AM52" s="17"/>
      <c r="AN52" s="17"/>
      <c r="AO52" s="17"/>
      <c r="AP52" s="17"/>
      <c r="AQ52" s="17"/>
      <c r="AR52" s="17"/>
      <c r="AS52" s="17"/>
      <c r="AT52" s="3" t="s">
        <v>146</v>
      </c>
      <c r="AU52" s="3"/>
    </row>
    <row r="53" spans="1:47" x14ac:dyDescent="0.2">
      <c r="A53" s="115">
        <v>51.999999999999957</v>
      </c>
      <c r="B53" s="3">
        <v>9</v>
      </c>
      <c r="C53" s="6">
        <v>21.52</v>
      </c>
      <c r="D53" s="129" t="s">
        <v>140</v>
      </c>
      <c r="E53" t="s">
        <v>141</v>
      </c>
      <c r="F53" s="3" t="s">
        <v>62</v>
      </c>
      <c r="H53" s="3" t="s">
        <v>62</v>
      </c>
      <c r="I53" s="127">
        <v>44249</v>
      </c>
      <c r="J53" s="17" t="s">
        <v>142</v>
      </c>
      <c r="K53" s="17" t="s">
        <v>203</v>
      </c>
      <c r="L53" s="17"/>
      <c r="M53" s="17"/>
      <c r="N53" s="17">
        <v>194</v>
      </c>
      <c r="O53" s="17">
        <v>178.08</v>
      </c>
      <c r="P53" s="17">
        <v>199.37</v>
      </c>
      <c r="Q53" s="17">
        <v>39.44</v>
      </c>
      <c r="R53" s="17">
        <v>33.049999999999997</v>
      </c>
      <c r="S53" s="17"/>
      <c r="T53" s="17"/>
      <c r="U53" s="50">
        <v>65.78</v>
      </c>
      <c r="V53" s="50">
        <v>56.67</v>
      </c>
      <c r="W53" s="50">
        <v>73.83</v>
      </c>
      <c r="X53" s="50">
        <v>89.04</v>
      </c>
      <c r="Y53" s="50">
        <v>41.74</v>
      </c>
      <c r="Z53" s="50">
        <v>98.91</v>
      </c>
      <c r="AA53" s="50">
        <v>74.22</v>
      </c>
      <c r="AB53" s="50">
        <v>77.400000000000006</v>
      </c>
      <c r="AC53" s="50">
        <v>14.18</v>
      </c>
      <c r="AD53" s="50">
        <v>43.38</v>
      </c>
      <c r="AE53" s="17">
        <v>31.72</v>
      </c>
      <c r="AF53" s="17">
        <v>36.25</v>
      </c>
      <c r="AG53" s="17">
        <v>41.86</v>
      </c>
      <c r="AH53" s="17">
        <v>40.97</v>
      </c>
      <c r="AI53" s="17">
        <v>1.7450000000000001</v>
      </c>
      <c r="AJ53" s="54"/>
      <c r="AK53" s="54"/>
      <c r="AL53" s="17"/>
      <c r="AM53" s="17"/>
      <c r="AN53" s="17"/>
      <c r="AO53" s="17">
        <v>15.3</v>
      </c>
      <c r="AP53" s="17"/>
      <c r="AQ53" s="17"/>
      <c r="AR53" s="17">
        <v>52.1</v>
      </c>
      <c r="AS53" s="17"/>
      <c r="AT53" s="3" t="s">
        <v>146</v>
      </c>
      <c r="AU53" s="3"/>
    </row>
    <row r="54" spans="1:47" x14ac:dyDescent="0.2">
      <c r="A54" s="115">
        <v>53.000000000000114</v>
      </c>
      <c r="B54" s="3">
        <v>10</v>
      </c>
      <c r="C54" s="6">
        <v>21.53</v>
      </c>
      <c r="D54" s="129" t="s">
        <v>140</v>
      </c>
      <c r="E54" t="s">
        <v>141</v>
      </c>
      <c r="F54" s="3" t="s">
        <v>497</v>
      </c>
      <c r="H54" s="3" t="s">
        <v>497</v>
      </c>
      <c r="I54" s="127">
        <v>44251</v>
      </c>
      <c r="J54" s="17" t="s">
        <v>142</v>
      </c>
      <c r="K54" s="17" t="s">
        <v>235</v>
      </c>
      <c r="L54" s="17"/>
      <c r="M54" s="17"/>
      <c r="N54" s="17">
        <v>255.06</v>
      </c>
      <c r="O54" s="17">
        <v>194.98</v>
      </c>
      <c r="P54" s="17">
        <v>206.68</v>
      </c>
      <c r="Q54" s="17">
        <v>48.67</v>
      </c>
      <c r="R54" s="17">
        <v>33.200000000000003</v>
      </c>
      <c r="S54" s="17"/>
      <c r="T54" s="17"/>
      <c r="U54" s="50">
        <v>71.790000000000006</v>
      </c>
      <c r="V54" s="50">
        <v>51.92</v>
      </c>
      <c r="W54" s="50">
        <v>76.349999999999994</v>
      </c>
      <c r="X54" s="50">
        <v>89.87</v>
      </c>
      <c r="Y54" s="50">
        <v>44.31</v>
      </c>
      <c r="Z54" s="50">
        <v>100.57</v>
      </c>
      <c r="AA54" s="50">
        <v>83.15</v>
      </c>
      <c r="AB54" s="50">
        <v>77.55</v>
      </c>
      <c r="AC54" s="50">
        <v>12.67</v>
      </c>
      <c r="AD54" s="50">
        <v>52.23</v>
      </c>
      <c r="AE54" s="17">
        <v>36.71</v>
      </c>
      <c r="AF54" s="17">
        <v>40.159999999999997</v>
      </c>
      <c r="AG54" s="17">
        <v>34.64</v>
      </c>
      <c r="AH54" s="17">
        <v>41.38</v>
      </c>
      <c r="AI54" s="17">
        <v>1.27</v>
      </c>
      <c r="AJ54" s="17">
        <v>54.85</v>
      </c>
      <c r="AK54" s="17"/>
      <c r="AL54" s="17"/>
      <c r="AM54" s="17"/>
      <c r="AN54" s="17">
        <v>67</v>
      </c>
      <c r="AO54" s="17"/>
      <c r="AP54" s="17"/>
      <c r="AQ54" s="17"/>
      <c r="AR54" s="17">
        <v>48.23</v>
      </c>
      <c r="AS54" s="17"/>
      <c r="AT54" s="3" t="s">
        <v>146</v>
      </c>
      <c r="AU54" s="3"/>
    </row>
    <row r="55" spans="1:47" x14ac:dyDescent="0.2">
      <c r="A55" s="115">
        <v>53.999999999999915</v>
      </c>
      <c r="B55" s="3">
        <v>15</v>
      </c>
      <c r="C55" s="6">
        <v>21.54</v>
      </c>
      <c r="D55" s="126" t="s">
        <v>168</v>
      </c>
      <c r="E55" t="s">
        <v>232</v>
      </c>
      <c r="F55" s="3" t="s">
        <v>251</v>
      </c>
      <c r="H55" s="3" t="s">
        <v>498</v>
      </c>
      <c r="I55" s="127">
        <v>44248</v>
      </c>
      <c r="J55" s="17" t="s">
        <v>142</v>
      </c>
      <c r="K55" s="17" t="s">
        <v>235</v>
      </c>
      <c r="L55" s="17"/>
      <c r="M55" s="17"/>
      <c r="N55" s="17">
        <v>302.94</v>
      </c>
      <c r="O55" s="17">
        <v>189.6</v>
      </c>
      <c r="P55" s="17">
        <v>204.98</v>
      </c>
      <c r="Q55" s="17">
        <v>47.15</v>
      </c>
      <c r="R55" s="17">
        <v>15.06</v>
      </c>
      <c r="S55" s="17"/>
      <c r="T55" s="17"/>
      <c r="U55" s="50">
        <v>74.81</v>
      </c>
      <c r="V55" s="50">
        <v>52.81</v>
      </c>
      <c r="W55" s="50">
        <v>76.47</v>
      </c>
      <c r="X55" s="50">
        <v>99.14</v>
      </c>
      <c r="Y55" s="50">
        <v>43.01</v>
      </c>
      <c r="Z55" s="50">
        <v>105.42</v>
      </c>
      <c r="AA55" s="50">
        <v>89.8</v>
      </c>
      <c r="AB55" s="50">
        <v>74.739999999999995</v>
      </c>
      <c r="AC55" s="50">
        <v>0.63</v>
      </c>
      <c r="AD55" s="50">
        <v>54.26</v>
      </c>
      <c r="AE55" s="17">
        <v>31.63</v>
      </c>
      <c r="AF55" s="17">
        <v>45.85</v>
      </c>
      <c r="AG55" s="17">
        <v>35.74</v>
      </c>
      <c r="AH55" s="17">
        <v>49.29</v>
      </c>
      <c r="AI55" s="17">
        <v>1.0529999999999999</v>
      </c>
      <c r="AJ55" s="17">
        <v>51.46</v>
      </c>
      <c r="AK55" s="17"/>
      <c r="AL55" s="17"/>
      <c r="AM55" s="17"/>
      <c r="AN55" s="17">
        <v>140</v>
      </c>
      <c r="AO55" s="17"/>
      <c r="AP55" s="17"/>
      <c r="AQ55" s="17"/>
      <c r="AR55" s="17">
        <v>53.95</v>
      </c>
      <c r="AS55" s="17"/>
      <c r="AT55" s="3" t="s">
        <v>146</v>
      </c>
      <c r="AU55" s="3"/>
    </row>
    <row r="56" spans="1:47" x14ac:dyDescent="0.2">
      <c r="A56" s="115">
        <v>55.000000000000071</v>
      </c>
      <c r="B56" s="3">
        <v>17</v>
      </c>
      <c r="C56" s="6">
        <v>21.55</v>
      </c>
      <c r="D56" s="126" t="s">
        <v>168</v>
      </c>
      <c r="E56" t="s">
        <v>232</v>
      </c>
      <c r="F56" s="3" t="s">
        <v>251</v>
      </c>
      <c r="G56" s="3" t="s">
        <v>32</v>
      </c>
      <c r="I56" s="127">
        <v>44248</v>
      </c>
      <c r="J56" s="17" t="s">
        <v>142</v>
      </c>
      <c r="K56" s="17" t="s">
        <v>235</v>
      </c>
      <c r="L56" s="17"/>
      <c r="M56" s="17"/>
      <c r="N56" s="17">
        <v>303.11</v>
      </c>
      <c r="O56" s="17">
        <v>194.92</v>
      </c>
      <c r="P56" s="17">
        <v>201.54</v>
      </c>
      <c r="Q56" s="17">
        <v>43.57</v>
      </c>
      <c r="R56" s="17">
        <v>23.09</v>
      </c>
      <c r="S56" s="17"/>
      <c r="T56" s="17"/>
      <c r="U56" s="50">
        <v>73.61</v>
      </c>
      <c r="V56" s="50">
        <v>49.85</v>
      </c>
      <c r="W56" s="50">
        <v>75.63</v>
      </c>
      <c r="X56" s="50">
        <v>101.38</v>
      </c>
      <c r="Y56" s="50">
        <v>43.82</v>
      </c>
      <c r="Z56" s="50">
        <v>107.46</v>
      </c>
      <c r="AA56" s="50">
        <v>91.26</v>
      </c>
      <c r="AB56" s="50">
        <v>77.069999999999993</v>
      </c>
      <c r="AC56" s="50">
        <v>1.44</v>
      </c>
      <c r="AD56" s="50">
        <v>53.66</v>
      </c>
      <c r="AE56" s="17">
        <v>30.27</v>
      </c>
      <c r="AF56" s="17">
        <v>41.9</v>
      </c>
      <c r="AG56" s="17">
        <v>38.840000000000003</v>
      </c>
      <c r="AH56" s="17">
        <v>51.5</v>
      </c>
      <c r="AI56" s="17">
        <v>1.268</v>
      </c>
      <c r="AJ56" s="17">
        <v>51.98</v>
      </c>
      <c r="AK56" s="17"/>
      <c r="AL56" s="17"/>
      <c r="AM56" s="17"/>
      <c r="AN56" s="17">
        <v>111</v>
      </c>
      <c r="AO56" s="17">
        <f>23.51-7.54</f>
        <v>15.970000000000002</v>
      </c>
      <c r="AP56" s="17">
        <f>84.61-9.187</f>
        <v>75.423000000000002</v>
      </c>
      <c r="AQ56" s="17"/>
      <c r="AR56" s="17">
        <v>51.53</v>
      </c>
      <c r="AS56" s="17"/>
      <c r="AT56" s="3" t="s">
        <v>146</v>
      </c>
      <c r="AU56" s="3"/>
    </row>
    <row r="57" spans="1:47" x14ac:dyDescent="0.2">
      <c r="A57" s="115">
        <v>55.999999999999872</v>
      </c>
      <c r="B57" s="3">
        <v>18</v>
      </c>
      <c r="C57" s="6">
        <v>21.56</v>
      </c>
      <c r="D57" s="126" t="s">
        <v>168</v>
      </c>
      <c r="E57" t="s">
        <v>232</v>
      </c>
      <c r="F57" s="3" t="s">
        <v>251</v>
      </c>
      <c r="H57" s="3" t="s">
        <v>498</v>
      </c>
      <c r="I57" s="127">
        <v>44248</v>
      </c>
      <c r="J57" s="17" t="s">
        <v>142</v>
      </c>
      <c r="K57" s="17" t="s">
        <v>235</v>
      </c>
      <c r="L57" s="17"/>
      <c r="M57" s="17"/>
      <c r="N57" s="17">
        <v>294.25</v>
      </c>
      <c r="O57" s="17">
        <v>193.24</v>
      </c>
      <c r="P57" s="17">
        <v>206.68</v>
      </c>
      <c r="Q57" s="17">
        <v>47.57</v>
      </c>
      <c r="R57" s="17">
        <v>24.68</v>
      </c>
      <c r="S57" s="17"/>
      <c r="T57" s="17"/>
      <c r="U57" s="50">
        <v>64.41</v>
      </c>
      <c r="V57" s="50">
        <v>48.51</v>
      </c>
      <c r="W57" s="50">
        <v>76.33</v>
      </c>
      <c r="X57" s="50">
        <v>100.67</v>
      </c>
      <c r="Y57" s="50">
        <v>42.89</v>
      </c>
      <c r="Z57" s="50">
        <v>5.52</v>
      </c>
      <c r="AA57" s="50">
        <v>89.47</v>
      </c>
      <c r="AB57" s="50">
        <v>77.05</v>
      </c>
      <c r="AC57" s="50">
        <v>5.38</v>
      </c>
      <c r="AD57" s="50">
        <v>53.07</v>
      </c>
      <c r="AE57" s="17">
        <v>28.65</v>
      </c>
      <c r="AF57" s="17">
        <v>49.14</v>
      </c>
      <c r="AG57" s="17">
        <v>37.07</v>
      </c>
      <c r="AH57" s="17">
        <v>50.87</v>
      </c>
      <c r="AI57" s="17">
        <v>1.327</v>
      </c>
      <c r="AJ57" s="17">
        <v>55.18</v>
      </c>
      <c r="AK57" s="17"/>
      <c r="AL57" s="17"/>
      <c r="AM57" s="17"/>
      <c r="AN57" s="17">
        <v>85</v>
      </c>
      <c r="AO57" s="17">
        <f>23.91-7.48</f>
        <v>16.43</v>
      </c>
      <c r="AP57" s="17">
        <f>90.23-9.187</f>
        <v>81.043000000000006</v>
      </c>
      <c r="AQ57" s="17"/>
      <c r="AR57" s="17">
        <v>48.5</v>
      </c>
      <c r="AS57" s="17"/>
      <c r="AT57" s="3" t="s">
        <v>146</v>
      </c>
      <c r="AU57" s="3"/>
    </row>
    <row r="58" spans="1:47" x14ac:dyDescent="0.2">
      <c r="A58" s="115">
        <v>57.000000000000028</v>
      </c>
      <c r="B58" s="3">
        <v>19</v>
      </c>
      <c r="C58" s="6">
        <v>21.57</v>
      </c>
      <c r="D58" s="126" t="s">
        <v>168</v>
      </c>
      <c r="E58" t="s">
        <v>232</v>
      </c>
      <c r="F58" s="3" t="s">
        <v>251</v>
      </c>
      <c r="G58" s="3" t="s">
        <v>32</v>
      </c>
      <c r="I58" s="127">
        <v>44248</v>
      </c>
      <c r="J58" s="17" t="s">
        <v>142</v>
      </c>
      <c r="K58" s="17" t="s">
        <v>235</v>
      </c>
      <c r="L58" s="17"/>
      <c r="M58" s="17"/>
      <c r="N58" s="17">
        <v>284.35000000000002</v>
      </c>
      <c r="O58" s="17">
        <v>184.18</v>
      </c>
      <c r="P58" s="17">
        <v>206.68</v>
      </c>
      <c r="Q58" s="17">
        <v>45.8</v>
      </c>
      <c r="R58" s="17">
        <v>18.760000000000002</v>
      </c>
      <c r="S58" s="17"/>
      <c r="T58" s="17"/>
      <c r="U58" s="50">
        <v>71.47</v>
      </c>
      <c r="V58" s="50">
        <v>53.58</v>
      </c>
      <c r="W58" s="50">
        <v>74.73</v>
      </c>
      <c r="X58" s="50">
        <v>99.37</v>
      </c>
      <c r="Y58" s="50">
        <v>45.57</v>
      </c>
      <c r="Z58" s="50">
        <v>105.62</v>
      </c>
      <c r="AA58" s="50">
        <v>90.22</v>
      </c>
      <c r="AB58" s="50">
        <v>76.209999999999994</v>
      </c>
      <c r="AC58" s="50">
        <v>4.41</v>
      </c>
      <c r="AD58" s="50">
        <v>52.54</v>
      </c>
      <c r="AE58" s="17">
        <v>34.950000000000003</v>
      </c>
      <c r="AF58" s="17">
        <v>37.76</v>
      </c>
      <c r="AG58" s="17">
        <v>37.22</v>
      </c>
      <c r="AH58" s="17">
        <v>36.94</v>
      </c>
      <c r="AI58" s="17">
        <v>0.96899999999999997</v>
      </c>
      <c r="AJ58" s="17">
        <v>55.22</v>
      </c>
      <c r="AK58" s="17"/>
      <c r="AL58" s="17"/>
      <c r="AM58" s="17"/>
      <c r="AN58" s="17">
        <v>71</v>
      </c>
      <c r="AO58" s="17">
        <f>22.55-7.51</f>
        <v>15.040000000000001</v>
      </c>
      <c r="AP58" s="17">
        <f>95.18-9.15</f>
        <v>86.03</v>
      </c>
      <c r="AQ58" s="17"/>
      <c r="AR58" s="17">
        <v>41.53</v>
      </c>
      <c r="AS58" s="17"/>
      <c r="AT58" s="3" t="s">
        <v>146</v>
      </c>
      <c r="AU58" s="3"/>
    </row>
    <row r="59" spans="1:47" x14ac:dyDescent="0.2">
      <c r="A59" s="115">
        <v>57.999999999999829</v>
      </c>
      <c r="B59" s="3">
        <v>20</v>
      </c>
      <c r="C59" s="6">
        <v>21.58</v>
      </c>
      <c r="D59" s="126" t="s">
        <v>168</v>
      </c>
      <c r="E59" t="s">
        <v>232</v>
      </c>
      <c r="F59" s="3" t="s">
        <v>251</v>
      </c>
      <c r="H59" s="3" t="s">
        <v>498</v>
      </c>
      <c r="I59" s="127">
        <v>44248</v>
      </c>
      <c r="J59" s="17" t="s">
        <v>142</v>
      </c>
      <c r="K59" s="17" t="s">
        <v>235</v>
      </c>
      <c r="L59" s="17"/>
      <c r="M59" s="17"/>
      <c r="N59" s="17">
        <v>294.39999999999998</v>
      </c>
      <c r="O59" s="17">
        <v>199.17</v>
      </c>
      <c r="P59" s="17">
        <v>202.23</v>
      </c>
      <c r="Q59" s="17">
        <v>45.67</v>
      </c>
      <c r="R59" s="17">
        <v>27.87</v>
      </c>
      <c r="S59" s="17"/>
      <c r="T59" s="17"/>
      <c r="U59" s="50">
        <v>71.58</v>
      </c>
      <c r="V59" s="50">
        <v>50.02</v>
      </c>
      <c r="W59" s="50">
        <v>74.47</v>
      </c>
      <c r="X59" s="50">
        <v>103.66</v>
      </c>
      <c r="Y59" s="50">
        <v>43.69</v>
      </c>
      <c r="Z59" s="50">
        <v>107.09</v>
      </c>
      <c r="AA59" s="50">
        <v>89.81</v>
      </c>
      <c r="AB59" s="50">
        <v>77.400000000000006</v>
      </c>
      <c r="AC59" s="50">
        <v>2.72</v>
      </c>
      <c r="AD59" s="50">
        <v>52.18</v>
      </c>
      <c r="AE59" s="17">
        <v>31.33</v>
      </c>
      <c r="AF59" s="17">
        <v>49.18</v>
      </c>
      <c r="AG59" s="17">
        <v>37.659999999999997</v>
      </c>
      <c r="AH59" s="17">
        <v>49.88</v>
      </c>
      <c r="AI59" s="17">
        <v>1.0509999999999999</v>
      </c>
      <c r="AJ59" s="17">
        <v>56.79</v>
      </c>
      <c r="AK59" s="17"/>
      <c r="AL59" s="17"/>
      <c r="AM59" s="17"/>
      <c r="AN59" s="17">
        <v>75</v>
      </c>
      <c r="AO59" s="17">
        <f>21.62-7.58</f>
        <v>14.040000000000001</v>
      </c>
      <c r="AP59" s="17">
        <f>108.96-9.16</f>
        <v>99.8</v>
      </c>
      <c r="AQ59" s="17"/>
      <c r="AR59" s="17">
        <v>47.91</v>
      </c>
      <c r="AS59" s="17"/>
      <c r="AT59" s="3" t="s">
        <v>146</v>
      </c>
      <c r="AU59" s="3"/>
    </row>
    <row r="60" spans="1:47" x14ac:dyDescent="0.2">
      <c r="A60" s="115">
        <v>58.999999999999986</v>
      </c>
      <c r="B60" s="3">
        <v>22</v>
      </c>
      <c r="C60" s="6">
        <v>21.59</v>
      </c>
      <c r="D60" s="126" t="s">
        <v>168</v>
      </c>
      <c r="E60" t="s">
        <v>232</v>
      </c>
      <c r="F60" s="3" t="s">
        <v>251</v>
      </c>
      <c r="H60" s="3" t="s">
        <v>498</v>
      </c>
      <c r="I60" s="127">
        <v>44248</v>
      </c>
      <c r="J60" s="17" t="s">
        <v>142</v>
      </c>
      <c r="K60" s="17" t="s">
        <v>235</v>
      </c>
      <c r="L60" s="17"/>
      <c r="M60" s="17"/>
      <c r="N60" s="17">
        <v>279.52999999999997</v>
      </c>
      <c r="O60" s="17">
        <v>193.14</v>
      </c>
      <c r="P60" s="17">
        <v>198.04</v>
      </c>
      <c r="Q60" s="17">
        <v>43.83</v>
      </c>
      <c r="R60" s="17">
        <v>21.13</v>
      </c>
      <c r="S60" s="17"/>
      <c r="T60" s="17"/>
      <c r="U60" s="50">
        <v>70.83</v>
      </c>
      <c r="V60" s="50">
        <v>49.39</v>
      </c>
      <c r="W60" s="50">
        <v>73.16</v>
      </c>
      <c r="X60" s="50">
        <v>101.75</v>
      </c>
      <c r="Y60" s="50">
        <v>42.67</v>
      </c>
      <c r="Z60" s="50">
        <v>107.02</v>
      </c>
      <c r="AA60" s="50">
        <v>89.79</v>
      </c>
      <c r="AB60" s="50">
        <v>78.64</v>
      </c>
      <c r="AC60" s="50">
        <v>6.01</v>
      </c>
      <c r="AD60" s="50">
        <v>51.59</v>
      </c>
      <c r="AE60" s="17">
        <v>34.01</v>
      </c>
      <c r="AF60" s="17">
        <v>36.950000000000003</v>
      </c>
      <c r="AG60" s="17">
        <v>40.1</v>
      </c>
      <c r="AH60" s="17">
        <v>46.25</v>
      </c>
      <c r="AI60" s="17">
        <v>1.1399999999999999</v>
      </c>
      <c r="AJ60" s="17">
        <v>53.88</v>
      </c>
      <c r="AK60" s="17"/>
      <c r="AL60" s="17"/>
      <c r="AM60" s="17"/>
      <c r="AN60" s="17">
        <v>56</v>
      </c>
      <c r="AO60" s="17">
        <f>22.77-7.44</f>
        <v>15.329999999999998</v>
      </c>
      <c r="AP60" s="17">
        <f>79.98-9.16</f>
        <v>70.820000000000007</v>
      </c>
      <c r="AQ60" s="17"/>
      <c r="AR60" s="17">
        <v>41.81</v>
      </c>
      <c r="AS60" s="17"/>
      <c r="AT60" s="3" t="s">
        <v>146</v>
      </c>
      <c r="AU60" s="3"/>
    </row>
    <row r="61" spans="1:47" x14ac:dyDescent="0.2">
      <c r="A61" s="115">
        <v>60.000000000000142</v>
      </c>
      <c r="B61" s="3">
        <v>24</v>
      </c>
      <c r="C61" s="7" t="s">
        <v>26</v>
      </c>
      <c r="D61" s="126" t="s">
        <v>168</v>
      </c>
      <c r="E61" t="s">
        <v>232</v>
      </c>
      <c r="F61" s="3" t="s">
        <v>251</v>
      </c>
      <c r="G61" s="3" t="s">
        <v>32</v>
      </c>
      <c r="I61" s="127">
        <v>44248</v>
      </c>
      <c r="J61" s="17" t="s">
        <v>142</v>
      </c>
      <c r="K61" s="17" t="s">
        <v>235</v>
      </c>
      <c r="L61" s="17"/>
      <c r="M61" s="17"/>
      <c r="N61" s="17">
        <v>280.42</v>
      </c>
      <c r="O61" s="17">
        <v>186.62</v>
      </c>
      <c r="P61" s="17">
        <v>197.29</v>
      </c>
      <c r="Q61" s="17">
        <v>45.75</v>
      </c>
      <c r="R61" s="17">
        <v>20.87</v>
      </c>
      <c r="S61" s="17"/>
      <c r="T61" s="17"/>
      <c r="U61" s="50">
        <v>72.45</v>
      </c>
      <c r="V61" s="50">
        <v>49.16</v>
      </c>
      <c r="W61" s="50">
        <v>76.22</v>
      </c>
      <c r="X61" s="50">
        <v>100.91</v>
      </c>
      <c r="Y61" s="50">
        <v>45.12</v>
      </c>
      <c r="Z61" s="50">
        <v>106.6</v>
      </c>
      <c r="AA61" s="50">
        <v>90.57</v>
      </c>
      <c r="AB61" s="50">
        <v>77.930000000000007</v>
      </c>
      <c r="AC61" s="50">
        <v>4.91</v>
      </c>
      <c r="AD61" s="50">
        <v>51.55</v>
      </c>
      <c r="AE61" s="17">
        <v>38.32</v>
      </c>
      <c r="AF61" s="17">
        <v>51.59</v>
      </c>
      <c r="AG61" s="17">
        <v>36.020000000000003</v>
      </c>
      <c r="AH61" s="17">
        <v>50.79</v>
      </c>
      <c r="AI61" s="17">
        <v>0.94299999999999995</v>
      </c>
      <c r="AJ61" s="17">
        <v>51.54</v>
      </c>
      <c r="AK61" s="17"/>
      <c r="AL61" s="17"/>
      <c r="AM61" s="17"/>
      <c r="AN61" s="17">
        <v>70</v>
      </c>
      <c r="AO61" s="17">
        <f>21.79-7.32</f>
        <v>14.469999999999999</v>
      </c>
      <c r="AP61" s="17">
        <f>92.87-9.167</f>
        <v>83.703000000000003</v>
      </c>
      <c r="AQ61" s="17"/>
      <c r="AR61" s="17">
        <v>42.93</v>
      </c>
      <c r="AS61" s="17"/>
      <c r="AT61" s="3" t="s">
        <v>146</v>
      </c>
      <c r="AU61" s="3"/>
    </row>
    <row r="62" spans="1:47" x14ac:dyDescent="0.2">
      <c r="A62" s="115">
        <v>60.999999999999943</v>
      </c>
      <c r="B62" s="3">
        <v>25</v>
      </c>
      <c r="C62" s="6">
        <v>21.61</v>
      </c>
      <c r="D62" s="126" t="s">
        <v>168</v>
      </c>
      <c r="E62" t="s">
        <v>232</v>
      </c>
      <c r="F62" s="3" t="s">
        <v>251</v>
      </c>
      <c r="H62" s="3" t="s">
        <v>498</v>
      </c>
      <c r="I62" s="127">
        <v>44248</v>
      </c>
      <c r="J62" s="17" t="s">
        <v>142</v>
      </c>
      <c r="K62" s="17" t="s">
        <v>235</v>
      </c>
      <c r="L62" s="17"/>
      <c r="M62" s="17"/>
      <c r="N62" s="17">
        <v>286.72000000000003</v>
      </c>
      <c r="O62" s="17">
        <v>195.39</v>
      </c>
      <c r="P62" s="17">
        <v>202.36</v>
      </c>
      <c r="Q62" s="17">
        <v>45.51</v>
      </c>
      <c r="R62" s="17">
        <v>24.94</v>
      </c>
      <c r="S62" s="17"/>
      <c r="T62" s="17"/>
      <c r="U62" s="50">
        <v>73.040000000000006</v>
      </c>
      <c r="V62" s="50">
        <v>49.65</v>
      </c>
      <c r="W62" s="50">
        <v>73.260000000000005</v>
      </c>
      <c r="X62" s="50">
        <v>104.47</v>
      </c>
      <c r="Y62" s="50">
        <v>44.74</v>
      </c>
      <c r="Z62" s="50">
        <v>7.75</v>
      </c>
      <c r="AA62" s="50">
        <v>90.74</v>
      </c>
      <c r="AB62" s="50">
        <v>75.86</v>
      </c>
      <c r="AC62" s="50">
        <v>5.88</v>
      </c>
      <c r="AD62" s="50">
        <v>52.39</v>
      </c>
      <c r="AE62" s="17">
        <v>32.76</v>
      </c>
      <c r="AF62" s="17">
        <v>43.16</v>
      </c>
      <c r="AG62" s="17">
        <v>37.92</v>
      </c>
      <c r="AH62" s="17">
        <v>50.29</v>
      </c>
      <c r="AI62" s="17">
        <v>1.2230000000000001</v>
      </c>
      <c r="AJ62" s="17">
        <v>53.09</v>
      </c>
      <c r="AK62" s="17"/>
      <c r="AL62" s="17"/>
      <c r="AM62" s="17"/>
      <c r="AN62" s="17">
        <v>78</v>
      </c>
      <c r="AO62" s="17"/>
      <c r="AP62" s="17"/>
      <c r="AQ62" s="17"/>
      <c r="AR62" s="17">
        <v>44.05</v>
      </c>
      <c r="AS62" s="17"/>
      <c r="AT62" s="3" t="s">
        <v>146</v>
      </c>
      <c r="AU62" s="3"/>
    </row>
    <row r="63" spans="1:47" x14ac:dyDescent="0.2">
      <c r="A63" s="115">
        <v>62.000000000000099</v>
      </c>
      <c r="B63" s="3">
        <v>26</v>
      </c>
      <c r="C63" s="6">
        <v>21.62</v>
      </c>
      <c r="D63" s="126" t="s">
        <v>168</v>
      </c>
      <c r="E63" t="s">
        <v>169</v>
      </c>
      <c r="F63" s="3" t="s">
        <v>170</v>
      </c>
      <c r="H63" s="3" t="s">
        <v>177</v>
      </c>
      <c r="I63" s="127">
        <v>44250</v>
      </c>
      <c r="J63" s="17" t="s">
        <v>142</v>
      </c>
      <c r="K63" s="17" t="s">
        <v>235</v>
      </c>
      <c r="L63" s="17"/>
      <c r="M63" s="17"/>
      <c r="N63" s="17">
        <v>279.52999999999997</v>
      </c>
      <c r="O63" s="17">
        <v>189.95</v>
      </c>
      <c r="P63" s="17">
        <v>202.71</v>
      </c>
      <c r="Q63" s="17">
        <v>44.8</v>
      </c>
      <c r="R63" s="17">
        <v>35.67</v>
      </c>
      <c r="S63" s="17"/>
      <c r="T63" s="17"/>
      <c r="U63" s="50">
        <v>65.66</v>
      </c>
      <c r="V63" s="50">
        <v>52.82</v>
      </c>
      <c r="W63" s="50">
        <v>75.22</v>
      </c>
      <c r="X63" s="50">
        <v>96.13</v>
      </c>
      <c r="Y63" s="50">
        <v>40.04</v>
      </c>
      <c r="Z63" s="50">
        <v>102.48</v>
      </c>
      <c r="AA63" s="50">
        <v>89.88</v>
      </c>
      <c r="AB63" s="50">
        <v>78.73</v>
      </c>
      <c r="AC63" s="50">
        <v>1.59</v>
      </c>
      <c r="AD63" s="50">
        <v>54.05</v>
      </c>
      <c r="AE63" s="17">
        <v>29.28</v>
      </c>
      <c r="AF63" s="17">
        <v>41.16</v>
      </c>
      <c r="AG63" s="17">
        <v>33.630000000000003</v>
      </c>
      <c r="AH63" s="17">
        <v>40.409999999999997</v>
      </c>
      <c r="AI63" s="17">
        <v>1.151</v>
      </c>
      <c r="AJ63" s="17">
        <v>51.07</v>
      </c>
      <c r="AK63" s="17"/>
      <c r="AL63" s="17"/>
      <c r="AM63" s="17"/>
      <c r="AN63" s="17">
        <v>140</v>
      </c>
      <c r="AO63" s="17"/>
      <c r="AP63" s="17"/>
      <c r="AQ63" s="17"/>
      <c r="AR63" s="17">
        <v>44.16</v>
      </c>
      <c r="AS63" s="17"/>
      <c r="AT63" s="3" t="s">
        <v>146</v>
      </c>
      <c r="AU63" s="3"/>
    </row>
    <row r="64" spans="1:47" x14ac:dyDescent="0.2">
      <c r="A64" s="115">
        <v>62.999999999999901</v>
      </c>
      <c r="B64" s="3">
        <v>27</v>
      </c>
      <c r="C64" s="6">
        <v>21.63</v>
      </c>
      <c r="D64" s="126" t="s">
        <v>168</v>
      </c>
      <c r="E64" t="s">
        <v>169</v>
      </c>
      <c r="F64" s="3" t="s">
        <v>170</v>
      </c>
      <c r="H64" s="3" t="s">
        <v>177</v>
      </c>
      <c r="I64" s="127">
        <v>44250</v>
      </c>
      <c r="J64" s="17" t="s">
        <v>142</v>
      </c>
      <c r="K64" s="17" t="s">
        <v>235</v>
      </c>
      <c r="L64" s="17"/>
      <c r="M64" s="17"/>
      <c r="N64" s="17">
        <v>281.27999999999997</v>
      </c>
      <c r="O64" s="17">
        <v>188.88</v>
      </c>
      <c r="P64" s="17">
        <v>183.86</v>
      </c>
      <c r="Q64" s="17">
        <v>43.45</v>
      </c>
      <c r="R64" s="17">
        <v>31.06</v>
      </c>
      <c r="S64" s="17"/>
      <c r="T64" s="17"/>
      <c r="U64" s="50">
        <v>64.08</v>
      </c>
      <c r="V64" s="50">
        <v>50.98</v>
      </c>
      <c r="W64" s="50">
        <v>73.91</v>
      </c>
      <c r="X64" s="50">
        <v>100.18</v>
      </c>
      <c r="Y64" s="50">
        <v>42.9</v>
      </c>
      <c r="Z64" s="50">
        <v>105.62</v>
      </c>
      <c r="AA64" s="50">
        <v>89.7</v>
      </c>
      <c r="AB64" s="50">
        <v>83.48</v>
      </c>
      <c r="AC64" s="50">
        <v>9.24</v>
      </c>
      <c r="AD64" s="50">
        <v>53.96</v>
      </c>
      <c r="AE64" s="17">
        <v>28.91</v>
      </c>
      <c r="AF64" s="17">
        <v>42.85</v>
      </c>
      <c r="AG64" s="17">
        <v>31.56</v>
      </c>
      <c r="AH64" s="17">
        <v>38.26</v>
      </c>
      <c r="AI64" s="17">
        <v>1.1879999999999999</v>
      </c>
      <c r="AJ64" s="17">
        <v>50.22</v>
      </c>
      <c r="AK64" s="17"/>
      <c r="AL64" s="17"/>
      <c r="AM64" s="17"/>
      <c r="AN64" s="17">
        <v>128</v>
      </c>
      <c r="AO64" s="17"/>
      <c r="AP64" s="17"/>
      <c r="AQ64" s="17"/>
      <c r="AR64" s="17">
        <v>44.8</v>
      </c>
      <c r="AS64" s="17"/>
      <c r="AT64" s="3" t="s">
        <v>146</v>
      </c>
      <c r="AU64" s="3"/>
    </row>
    <row r="65" spans="1:47" x14ac:dyDescent="0.2">
      <c r="A65" s="115">
        <v>64.000000000000057</v>
      </c>
      <c r="C65" s="6">
        <v>21.64</v>
      </c>
      <c r="D65" s="129" t="s">
        <v>140</v>
      </c>
      <c r="E65" t="s">
        <v>141</v>
      </c>
      <c r="F65" s="3" t="s">
        <v>60</v>
      </c>
      <c r="H65" s="3" t="s">
        <v>60</v>
      </c>
      <c r="I65" s="82">
        <v>44216</v>
      </c>
      <c r="J65" s="17" t="s">
        <v>492</v>
      </c>
      <c r="K65" s="17" t="s">
        <v>203</v>
      </c>
      <c r="L65" s="17"/>
      <c r="M65" s="17"/>
      <c r="N65" s="17">
        <v>207.1</v>
      </c>
      <c r="O65" s="17">
        <v>133.41999999999999</v>
      </c>
      <c r="P65" s="17">
        <v>149.19999999999999</v>
      </c>
      <c r="Q65" s="17">
        <v>22.47</v>
      </c>
      <c r="R65" s="17">
        <v>14.76</v>
      </c>
      <c r="S65" s="17"/>
      <c r="T65" s="17"/>
      <c r="U65" s="50">
        <v>56.26</v>
      </c>
      <c r="V65" s="50">
        <v>42.29</v>
      </c>
      <c r="W65" s="50">
        <v>60.59</v>
      </c>
      <c r="X65" s="50">
        <v>74.45</v>
      </c>
      <c r="Y65" s="50"/>
      <c r="Z65" s="50">
        <v>78.91</v>
      </c>
      <c r="AA65" s="50">
        <v>66.97</v>
      </c>
      <c r="AB65" s="50">
        <v>64.83</v>
      </c>
      <c r="AC65" s="50">
        <v>12.74</v>
      </c>
      <c r="AD65" s="50">
        <v>54.54</v>
      </c>
      <c r="AE65" s="17">
        <v>30.64</v>
      </c>
      <c r="AF65" s="17">
        <v>32.49</v>
      </c>
      <c r="AG65" s="17">
        <v>33.880000000000003</v>
      </c>
      <c r="AH65" s="17">
        <v>35.729999999999997</v>
      </c>
      <c r="AI65" s="17">
        <v>1.5149999999999999</v>
      </c>
      <c r="AJ65" s="54"/>
      <c r="AK65" s="54"/>
      <c r="AL65" s="17"/>
      <c r="AM65" s="17"/>
      <c r="AN65" s="17"/>
      <c r="AO65" s="17"/>
      <c r="AP65" s="17"/>
      <c r="AQ65" s="17"/>
      <c r="AR65" s="17">
        <v>42</v>
      </c>
      <c r="AS65" s="17"/>
      <c r="AT65" s="3" t="s">
        <v>493</v>
      </c>
      <c r="AU65" s="3"/>
    </row>
    <row r="66" spans="1:47" x14ac:dyDescent="0.2">
      <c r="A66" s="115">
        <v>64.999999999999858</v>
      </c>
      <c r="C66" s="6">
        <v>21.65</v>
      </c>
      <c r="D66" s="129" t="s">
        <v>140</v>
      </c>
      <c r="E66" t="s">
        <v>141</v>
      </c>
      <c r="F66" s="3" t="s">
        <v>60</v>
      </c>
      <c r="H66" s="3" t="s">
        <v>60</v>
      </c>
      <c r="I66" s="82">
        <v>44216</v>
      </c>
      <c r="J66" s="17" t="s">
        <v>492</v>
      </c>
      <c r="K66" s="17" t="s">
        <v>203</v>
      </c>
      <c r="L66" s="17"/>
      <c r="M66" s="17"/>
      <c r="N66" s="17">
        <v>196.9</v>
      </c>
      <c r="O66" s="17">
        <v>140.61000000000001</v>
      </c>
      <c r="P66" s="17">
        <v>150.25</v>
      </c>
      <c r="Q66" s="17">
        <v>22.25</v>
      </c>
      <c r="R66" s="17">
        <v>18.77</v>
      </c>
      <c r="S66" s="17"/>
      <c r="T66" s="17"/>
      <c r="U66" s="50">
        <v>53.74</v>
      </c>
      <c r="V66" s="50">
        <v>41.46</v>
      </c>
      <c r="W66" s="50">
        <v>60.25</v>
      </c>
      <c r="X66" s="50">
        <v>71.209999999999994</v>
      </c>
      <c r="Y66" s="50">
        <v>34.380000000000003</v>
      </c>
      <c r="Z66" s="50">
        <v>78.53</v>
      </c>
      <c r="AA66" s="50">
        <v>66.42</v>
      </c>
      <c r="AB66" s="50">
        <v>62.35</v>
      </c>
      <c r="AC66" s="50">
        <v>8.6300000000000008</v>
      </c>
      <c r="AD66" s="50">
        <v>52.93</v>
      </c>
      <c r="AE66" s="17">
        <v>28.55</v>
      </c>
      <c r="AF66" s="17">
        <v>34.549999999999997</v>
      </c>
      <c r="AG66" s="17">
        <v>37.08</v>
      </c>
      <c r="AH66" s="17"/>
      <c r="AI66" s="17">
        <v>1.341</v>
      </c>
      <c r="AJ66" s="54"/>
      <c r="AK66" s="54"/>
      <c r="AL66" s="17"/>
      <c r="AM66" s="17"/>
      <c r="AN66" s="17"/>
      <c r="AO66" s="17"/>
      <c r="AP66" s="17"/>
      <c r="AQ66" s="17"/>
      <c r="AR66" s="17">
        <v>38.6</v>
      </c>
      <c r="AS66" s="17"/>
      <c r="AT66" s="3" t="s">
        <v>493</v>
      </c>
      <c r="AU66" s="3"/>
    </row>
    <row r="67" spans="1:47" x14ac:dyDescent="0.2">
      <c r="A67" s="115">
        <v>66.000000000000014</v>
      </c>
      <c r="C67" s="6">
        <v>21.66</v>
      </c>
      <c r="D67" s="129" t="s">
        <v>140</v>
      </c>
      <c r="E67" t="s">
        <v>141</v>
      </c>
      <c r="F67" s="3" t="s">
        <v>62</v>
      </c>
      <c r="H67" s="3" t="s">
        <v>62</v>
      </c>
      <c r="I67" s="82">
        <v>44224</v>
      </c>
      <c r="J67" s="17" t="s">
        <v>492</v>
      </c>
      <c r="K67" s="17" t="s">
        <v>203</v>
      </c>
      <c r="L67" s="17"/>
      <c r="M67" s="17"/>
      <c r="N67" s="17"/>
      <c r="O67" s="17">
        <v>167.12</v>
      </c>
      <c r="P67" s="17">
        <v>169.78</v>
      </c>
      <c r="Q67" s="17">
        <v>35.44</v>
      </c>
      <c r="R67" s="17">
        <v>19.16</v>
      </c>
      <c r="S67" s="17"/>
      <c r="T67" s="17"/>
      <c r="U67" s="50">
        <v>50.67</v>
      </c>
      <c r="V67" s="50">
        <v>39.950000000000003</v>
      </c>
      <c r="W67" s="50">
        <v>55.26</v>
      </c>
      <c r="X67" s="50">
        <v>73.650000000000006</v>
      </c>
      <c r="Y67" s="50">
        <v>31.12</v>
      </c>
      <c r="Z67" s="50">
        <v>81.349999999999994</v>
      </c>
      <c r="AA67" s="50">
        <v>67.680000000000007</v>
      </c>
      <c r="AB67" s="50">
        <v>58.09</v>
      </c>
      <c r="AC67" s="50">
        <v>13.75</v>
      </c>
      <c r="AD67" s="50"/>
      <c r="AE67" s="17">
        <v>34.56</v>
      </c>
      <c r="AF67" s="17">
        <v>30.33</v>
      </c>
      <c r="AG67" s="17">
        <v>35.409999999999997</v>
      </c>
      <c r="AH67" s="17">
        <v>29.4</v>
      </c>
      <c r="AI67" s="17">
        <v>0.75600000000000001</v>
      </c>
      <c r="AJ67" s="54"/>
      <c r="AK67" s="54"/>
      <c r="AL67" s="17"/>
      <c r="AM67" s="17"/>
      <c r="AN67" s="17"/>
      <c r="AO67" s="17"/>
      <c r="AP67" s="17"/>
      <c r="AQ67" s="17"/>
      <c r="AR67" s="17">
        <v>29.3</v>
      </c>
      <c r="AS67" s="17"/>
      <c r="AT67" s="3" t="s">
        <v>493</v>
      </c>
      <c r="AU67" s="3"/>
    </row>
    <row r="68" spans="1:47" x14ac:dyDescent="0.2">
      <c r="A68" s="115">
        <v>67.000000000000171</v>
      </c>
      <c r="C68" s="6">
        <v>21.67</v>
      </c>
      <c r="D68" s="129" t="s">
        <v>140</v>
      </c>
      <c r="E68" t="s">
        <v>141</v>
      </c>
      <c r="F68" s="3" t="s">
        <v>62</v>
      </c>
      <c r="H68" s="3" t="s">
        <v>62</v>
      </c>
      <c r="I68" s="82">
        <v>44238</v>
      </c>
      <c r="J68" s="17" t="s">
        <v>492</v>
      </c>
      <c r="K68" s="17" t="s">
        <v>203</v>
      </c>
      <c r="L68" s="17"/>
      <c r="M68" s="17"/>
      <c r="N68" s="17">
        <v>192.8</v>
      </c>
      <c r="O68" s="17">
        <v>163.35</v>
      </c>
      <c r="P68" s="17">
        <v>184.7</v>
      </c>
      <c r="Q68" s="17">
        <v>37.03</v>
      </c>
      <c r="R68" s="17">
        <v>28.23</v>
      </c>
      <c r="S68" s="17"/>
      <c r="T68" s="17"/>
      <c r="U68" s="50">
        <v>68.5</v>
      </c>
      <c r="V68" s="50">
        <v>59.12</v>
      </c>
      <c r="W68" s="50">
        <v>69.83</v>
      </c>
      <c r="X68" s="50">
        <v>76.069999999999993</v>
      </c>
      <c r="Y68" s="50">
        <v>34.64</v>
      </c>
      <c r="Z68" s="50">
        <v>83.32</v>
      </c>
      <c r="AA68" s="50">
        <v>65.53</v>
      </c>
      <c r="AB68" s="50">
        <v>68.2</v>
      </c>
      <c r="AC68" s="50">
        <v>16.27</v>
      </c>
      <c r="AD68" s="50">
        <v>51.23</v>
      </c>
      <c r="AE68" s="17">
        <v>35.450000000000003</v>
      </c>
      <c r="AF68" s="17">
        <v>35.74</v>
      </c>
      <c r="AG68" s="17">
        <v>38.799999999999997</v>
      </c>
      <c r="AH68" s="17">
        <v>33.840000000000003</v>
      </c>
      <c r="AI68" s="17">
        <v>1.1579999999999999</v>
      </c>
      <c r="AJ68" s="54"/>
      <c r="AK68" s="54"/>
      <c r="AL68" s="17"/>
      <c r="AM68" s="17"/>
      <c r="AN68" s="17"/>
      <c r="AO68" s="17"/>
      <c r="AP68" s="17"/>
      <c r="AQ68" s="17"/>
      <c r="AR68" s="17">
        <v>40.299999999999997</v>
      </c>
      <c r="AS68" s="17"/>
      <c r="AT68" s="3" t="s">
        <v>493</v>
      </c>
      <c r="AU68" s="3"/>
    </row>
    <row r="69" spans="1:47" x14ac:dyDescent="0.2">
      <c r="A69" s="115">
        <v>67.999999999999972</v>
      </c>
      <c r="C69" s="6">
        <v>21.68</v>
      </c>
      <c r="D69" s="98"/>
      <c r="E69" s="98"/>
      <c r="I69" s="95"/>
      <c r="J69" s="128"/>
      <c r="K69" s="128"/>
      <c r="L69" s="17"/>
      <c r="M69" s="17"/>
      <c r="N69" s="17">
        <v>206.4</v>
      </c>
      <c r="O69" s="17">
        <v>186.3</v>
      </c>
      <c r="P69" s="17">
        <v>206.36</v>
      </c>
      <c r="Q69" s="17">
        <v>41.87</v>
      </c>
      <c r="R69" s="17">
        <v>32.61</v>
      </c>
      <c r="S69" s="17"/>
      <c r="T69" s="17"/>
      <c r="U69" s="50">
        <v>65.709999999999994</v>
      </c>
      <c r="V69" s="50">
        <v>56.2</v>
      </c>
      <c r="W69" s="50">
        <v>75.67</v>
      </c>
      <c r="X69" s="50">
        <v>92.06</v>
      </c>
      <c r="Y69" s="50">
        <v>44.3</v>
      </c>
      <c r="Z69" s="50">
        <v>101.32</v>
      </c>
      <c r="AA69" s="50">
        <v>77</v>
      </c>
      <c r="AB69" s="50">
        <v>77.290000000000006</v>
      </c>
      <c r="AC69" s="50">
        <v>16.38</v>
      </c>
      <c r="AD69" s="50">
        <v>44.63</v>
      </c>
      <c r="AE69" s="17">
        <v>35.799999999999997</v>
      </c>
      <c r="AF69" s="17">
        <v>37.26</v>
      </c>
      <c r="AG69" s="17">
        <v>35.159999999999997</v>
      </c>
      <c r="AH69" s="17">
        <v>40.520000000000003</v>
      </c>
      <c r="AI69" s="17">
        <v>1.5069999999999999</v>
      </c>
      <c r="AJ69" s="54"/>
      <c r="AK69" s="54"/>
      <c r="AL69" s="17"/>
      <c r="AM69" s="17"/>
      <c r="AN69" s="17"/>
      <c r="AO69" s="17"/>
      <c r="AP69" s="17"/>
      <c r="AQ69" s="17"/>
      <c r="AR69" s="17">
        <v>42.7</v>
      </c>
      <c r="AS69" s="17"/>
      <c r="AT69" s="3"/>
      <c r="AU69" s="3"/>
    </row>
    <row r="70" spans="1:47" x14ac:dyDescent="0.2">
      <c r="A70" s="115">
        <v>69.000000000000128</v>
      </c>
      <c r="C70" s="6">
        <v>21.69</v>
      </c>
      <c r="D70" s="98"/>
      <c r="E70" s="98"/>
      <c r="I70" s="95"/>
      <c r="J70" s="128"/>
      <c r="K70" s="128"/>
      <c r="L70" s="17"/>
      <c r="M70" s="17"/>
      <c r="N70" s="17">
        <v>207.4</v>
      </c>
      <c r="O70" s="17">
        <v>192.24</v>
      </c>
      <c r="P70" s="17">
        <v>202.97</v>
      </c>
      <c r="Q70" s="17">
        <v>41.73</v>
      </c>
      <c r="R70" s="17">
        <v>33.78</v>
      </c>
      <c r="S70" s="17"/>
      <c r="T70" s="17"/>
      <c r="U70" s="50">
        <v>65.650000000000006</v>
      </c>
      <c r="V70" s="50">
        <v>57.77</v>
      </c>
      <c r="W70" s="50">
        <v>75.599999999999994</v>
      </c>
      <c r="X70" s="50">
        <v>92.97</v>
      </c>
      <c r="Y70" s="50">
        <v>42.36</v>
      </c>
      <c r="Z70" s="50">
        <v>100.47</v>
      </c>
      <c r="AA70" s="50">
        <v>76.86</v>
      </c>
      <c r="AB70" s="50">
        <v>78.05</v>
      </c>
      <c r="AC70" s="50">
        <v>14.28</v>
      </c>
      <c r="AD70" s="50">
        <v>45</v>
      </c>
      <c r="AE70" s="17">
        <v>37.119999999999997</v>
      </c>
      <c r="AF70" s="17">
        <v>38.130000000000003</v>
      </c>
      <c r="AG70" s="17">
        <v>39.47</v>
      </c>
      <c r="AH70" s="17">
        <v>40.58</v>
      </c>
      <c r="AI70" s="17"/>
      <c r="AJ70" s="54"/>
      <c r="AK70" s="54"/>
      <c r="AL70" s="17"/>
      <c r="AM70" s="17"/>
      <c r="AN70" s="17"/>
      <c r="AO70" s="17"/>
      <c r="AP70" s="17"/>
      <c r="AQ70" s="17"/>
      <c r="AR70" s="17"/>
      <c r="AS70" s="17"/>
      <c r="AT70" s="3"/>
      <c r="AU70" s="3"/>
    </row>
    <row r="71" spans="1:47" x14ac:dyDescent="0.2">
      <c r="A71" s="115">
        <v>69.999999999999929</v>
      </c>
      <c r="C71" s="7" t="s">
        <v>499</v>
      </c>
      <c r="D71" s="98"/>
      <c r="E71" s="98"/>
      <c r="I71" s="95"/>
      <c r="J71" s="128"/>
      <c r="K71" s="128"/>
      <c r="L71" s="17"/>
      <c r="M71" s="17"/>
      <c r="N71" s="17">
        <v>194</v>
      </c>
      <c r="O71" s="17">
        <v>178.08</v>
      </c>
      <c r="P71" s="17">
        <v>199.37</v>
      </c>
      <c r="Q71" s="17">
        <v>39.44</v>
      </c>
      <c r="R71" s="17">
        <v>33.049999999999997</v>
      </c>
      <c r="S71" s="17"/>
      <c r="T71" s="17"/>
      <c r="U71" s="50">
        <v>65.78</v>
      </c>
      <c r="V71" s="50">
        <v>56.67</v>
      </c>
      <c r="W71" s="50">
        <v>73.83</v>
      </c>
      <c r="X71" s="50">
        <v>89.04</v>
      </c>
      <c r="Y71" s="50">
        <v>41.74</v>
      </c>
      <c r="Z71" s="50">
        <v>98.91</v>
      </c>
      <c r="AA71" s="50">
        <v>74.22</v>
      </c>
      <c r="AB71" s="50">
        <v>77.400000000000006</v>
      </c>
      <c r="AC71" s="50">
        <v>14.18</v>
      </c>
      <c r="AD71" s="50">
        <v>43.38</v>
      </c>
      <c r="AE71" s="17">
        <v>31.72</v>
      </c>
      <c r="AF71" s="17">
        <v>36.25</v>
      </c>
      <c r="AG71" s="17">
        <v>41.86</v>
      </c>
      <c r="AH71" s="17">
        <v>40.97</v>
      </c>
      <c r="AI71" s="17"/>
      <c r="AJ71" s="54"/>
      <c r="AK71" s="54"/>
      <c r="AL71" s="17"/>
      <c r="AM71" s="17"/>
      <c r="AN71" s="17"/>
      <c r="AO71" s="17"/>
      <c r="AP71" s="17"/>
      <c r="AQ71" s="17"/>
      <c r="AR71" s="17"/>
      <c r="AS71" s="17"/>
      <c r="AT71" s="3"/>
      <c r="AU71" s="3"/>
    </row>
    <row r="72" spans="1:47" x14ac:dyDescent="0.2">
      <c r="A72" s="115">
        <v>71.000000000000085</v>
      </c>
      <c r="C72" s="6">
        <v>21.71</v>
      </c>
      <c r="D72" s="98"/>
      <c r="E72" s="98"/>
      <c r="I72" s="95"/>
      <c r="J72" s="128"/>
      <c r="K72" s="128"/>
      <c r="L72" s="17"/>
      <c r="M72" s="17"/>
      <c r="N72" s="17">
        <v>204.8</v>
      </c>
      <c r="O72" s="17">
        <v>147.80000000000001</v>
      </c>
      <c r="P72" s="17">
        <v>160.66999999999999</v>
      </c>
      <c r="Q72" s="17">
        <v>24.37</v>
      </c>
      <c r="R72" s="17">
        <v>13.58</v>
      </c>
      <c r="S72" s="17"/>
      <c r="T72" s="17"/>
      <c r="U72" s="50">
        <v>65.2</v>
      </c>
      <c r="V72" s="50">
        <v>48.34</v>
      </c>
      <c r="W72" s="50">
        <v>71.39</v>
      </c>
      <c r="X72" s="50">
        <v>86.72</v>
      </c>
      <c r="Y72" s="50">
        <v>39.78</v>
      </c>
      <c r="Z72" s="50">
        <v>93.62</v>
      </c>
      <c r="AA72" s="50">
        <v>72.91</v>
      </c>
      <c r="AB72" s="50">
        <v>77.27</v>
      </c>
      <c r="AC72" s="50">
        <v>8.94</v>
      </c>
      <c r="AD72" s="50">
        <v>48.84</v>
      </c>
      <c r="AE72" s="17">
        <v>27.4</v>
      </c>
      <c r="AF72" s="17">
        <v>36.89</v>
      </c>
      <c r="AG72" s="17">
        <v>46.3</v>
      </c>
      <c r="AH72" s="17">
        <v>40.74</v>
      </c>
      <c r="AI72" s="17"/>
      <c r="AJ72" s="54"/>
      <c r="AK72" s="54"/>
      <c r="AL72" s="17"/>
      <c r="AM72" s="17"/>
      <c r="AN72" s="17"/>
      <c r="AO72" s="17"/>
      <c r="AP72" s="17"/>
      <c r="AQ72" s="17"/>
      <c r="AR72" s="17"/>
      <c r="AS72" s="17"/>
      <c r="AT72" s="3"/>
      <c r="AU72" s="3"/>
    </row>
    <row r="73" spans="1:47" x14ac:dyDescent="0.2">
      <c r="A73" s="115">
        <v>71.999999999999886</v>
      </c>
      <c r="C73" s="6">
        <v>21.72</v>
      </c>
      <c r="D73" s="98"/>
      <c r="E73" s="98"/>
      <c r="I73" s="95"/>
      <c r="J73" s="128"/>
      <c r="K73" s="128"/>
      <c r="L73" s="17"/>
      <c r="M73" s="17"/>
      <c r="N73" s="17">
        <v>219.9</v>
      </c>
      <c r="O73" s="17">
        <v>179.84</v>
      </c>
      <c r="P73" s="17">
        <v>206.03</v>
      </c>
      <c r="Q73" s="17">
        <v>41.27</v>
      </c>
      <c r="R73" s="17">
        <v>29.93</v>
      </c>
      <c r="S73" s="17"/>
      <c r="T73" s="17"/>
      <c r="U73" s="50">
        <v>71.12</v>
      </c>
      <c r="V73" s="50">
        <v>61.37</v>
      </c>
      <c r="W73" s="50">
        <v>77.81</v>
      </c>
      <c r="X73" s="50">
        <v>91.73</v>
      </c>
      <c r="Y73" s="50">
        <v>44</v>
      </c>
      <c r="Z73" s="50">
        <v>101.65</v>
      </c>
      <c r="AA73" s="50">
        <v>76.5</v>
      </c>
      <c r="AB73" s="50">
        <v>80.63</v>
      </c>
      <c r="AC73" s="50">
        <v>15.94</v>
      </c>
      <c r="AD73" s="50">
        <v>48.88</v>
      </c>
      <c r="AE73" s="17">
        <v>31.08</v>
      </c>
      <c r="AF73" s="17">
        <v>36.340000000000003</v>
      </c>
      <c r="AG73" s="17">
        <v>39.450000000000003</v>
      </c>
      <c r="AH73" s="17">
        <v>40.049999999999997</v>
      </c>
      <c r="AI73" s="17"/>
      <c r="AJ73" s="54"/>
      <c r="AK73" s="54"/>
      <c r="AL73" s="17"/>
      <c r="AM73" s="17"/>
      <c r="AN73" s="17"/>
      <c r="AO73" s="17"/>
      <c r="AP73" s="17"/>
      <c r="AQ73" s="17"/>
      <c r="AR73" s="17"/>
      <c r="AS73" s="17"/>
      <c r="AT73" s="3"/>
      <c r="AU73" s="3"/>
    </row>
    <row r="74" spans="1:47" x14ac:dyDescent="0.2">
      <c r="A74" s="115">
        <v>73.000000000000043</v>
      </c>
      <c r="B74" s="3">
        <v>17</v>
      </c>
      <c r="C74" s="6">
        <v>21.73</v>
      </c>
      <c r="D74" s="129" t="s">
        <v>140</v>
      </c>
      <c r="E74" t="s">
        <v>141</v>
      </c>
      <c r="F74" s="3" t="s">
        <v>61</v>
      </c>
      <c r="G74" s="18" t="s">
        <v>61</v>
      </c>
      <c r="H74" s="14" t="s">
        <v>61</v>
      </c>
      <c r="I74" s="127">
        <v>44256</v>
      </c>
      <c r="J74" s="17" t="s">
        <v>142</v>
      </c>
      <c r="K74" s="17" t="s">
        <v>235</v>
      </c>
      <c r="L74" s="17"/>
      <c r="M74" s="17"/>
      <c r="N74" s="17">
        <v>250.6</v>
      </c>
      <c r="O74" s="17">
        <v>196.67</v>
      </c>
      <c r="P74" s="17">
        <v>203.68</v>
      </c>
      <c r="Q74" s="17">
        <v>46.48</v>
      </c>
      <c r="R74" s="17">
        <v>29.11</v>
      </c>
      <c r="S74" s="17"/>
      <c r="T74" s="17"/>
      <c r="U74" s="50">
        <v>54.83</v>
      </c>
      <c r="V74" s="50">
        <v>38.659999999999997</v>
      </c>
      <c r="W74" s="50">
        <v>66.52</v>
      </c>
      <c r="X74" s="50">
        <v>85.3</v>
      </c>
      <c r="Y74" s="50">
        <v>37.700000000000003</v>
      </c>
      <c r="Z74" s="50">
        <v>93.09</v>
      </c>
      <c r="AA74" s="50">
        <v>79.260000000000005</v>
      </c>
      <c r="AB74" s="50">
        <v>68.77</v>
      </c>
      <c r="AC74" s="50">
        <v>9.08</v>
      </c>
      <c r="AD74" s="50">
        <v>55.72</v>
      </c>
      <c r="AE74" s="17">
        <v>30.93</v>
      </c>
      <c r="AF74" s="17">
        <v>37.81</v>
      </c>
      <c r="AG74" s="17">
        <v>37.81</v>
      </c>
      <c r="AH74" s="17">
        <v>37.01</v>
      </c>
      <c r="AI74" s="17">
        <v>1.224</v>
      </c>
      <c r="AJ74" s="17">
        <v>46.69</v>
      </c>
      <c r="AK74" s="17"/>
      <c r="AL74" s="17"/>
      <c r="AM74" s="17"/>
      <c r="AN74" s="17">
        <v>100</v>
      </c>
      <c r="AO74" s="17">
        <v>10.25</v>
      </c>
      <c r="AP74" s="17">
        <v>40.4</v>
      </c>
      <c r="AQ74" s="17"/>
      <c r="AR74" s="17">
        <v>42.61</v>
      </c>
      <c r="AS74" s="17">
        <v>18.38</v>
      </c>
      <c r="AT74" s="3" t="s">
        <v>146</v>
      </c>
      <c r="AU74" s="3"/>
    </row>
    <row r="75" spans="1:47" x14ac:dyDescent="0.2">
      <c r="A75" s="115">
        <v>73.999999999999844</v>
      </c>
      <c r="B75" s="3">
        <v>19</v>
      </c>
      <c r="C75" s="6">
        <v>21.74</v>
      </c>
      <c r="D75" s="129" t="s">
        <v>140</v>
      </c>
      <c r="E75" t="s">
        <v>141</v>
      </c>
      <c r="F75" s="3" t="s">
        <v>61</v>
      </c>
      <c r="G75" s="14" t="s">
        <v>61</v>
      </c>
      <c r="H75" s="14" t="s">
        <v>61</v>
      </c>
      <c r="I75" s="127">
        <v>44256</v>
      </c>
      <c r="J75" s="17" t="s">
        <v>142</v>
      </c>
      <c r="K75" s="17" t="s">
        <v>235</v>
      </c>
      <c r="L75" s="17"/>
      <c r="M75" s="17"/>
      <c r="N75" s="17">
        <v>245.46</v>
      </c>
      <c r="O75" s="17">
        <v>178.6</v>
      </c>
      <c r="P75" s="17">
        <v>188.47</v>
      </c>
      <c r="Q75" s="17">
        <v>43.31</v>
      </c>
      <c r="R75" s="17">
        <v>31.93</v>
      </c>
      <c r="S75" s="17"/>
      <c r="T75" s="17"/>
      <c r="U75" s="50">
        <v>56.18</v>
      </c>
      <c r="V75" s="50">
        <v>43.5</v>
      </c>
      <c r="W75" s="50">
        <v>65.31</v>
      </c>
      <c r="X75" s="50">
        <v>86.09</v>
      </c>
      <c r="Y75" s="50">
        <v>36.979999999999997</v>
      </c>
      <c r="Z75" s="50">
        <v>93.46</v>
      </c>
      <c r="AA75" s="50">
        <v>78.02</v>
      </c>
      <c r="AB75" s="50">
        <v>63.5</v>
      </c>
      <c r="AC75" s="50">
        <v>13.34</v>
      </c>
      <c r="AD75" s="50">
        <v>55.01</v>
      </c>
      <c r="AE75" s="17">
        <v>34.42</v>
      </c>
      <c r="AF75" s="17">
        <v>34.51</v>
      </c>
      <c r="AG75" s="17">
        <v>32</v>
      </c>
      <c r="AH75" s="17">
        <v>39.68</v>
      </c>
      <c r="AI75" s="17">
        <v>1.2290000000000001</v>
      </c>
      <c r="AJ75" s="17">
        <v>47.93</v>
      </c>
      <c r="AK75" s="17"/>
      <c r="AL75" s="17"/>
      <c r="AM75" s="17"/>
      <c r="AN75" s="17">
        <v>100</v>
      </c>
      <c r="AO75" s="17">
        <v>11.4</v>
      </c>
      <c r="AP75" s="17">
        <v>39.35</v>
      </c>
      <c r="AQ75" s="17"/>
      <c r="AR75" s="17">
        <v>42.09</v>
      </c>
      <c r="AS75" s="17">
        <v>17.73</v>
      </c>
      <c r="AT75" s="3" t="s">
        <v>146</v>
      </c>
      <c r="AU75" s="3"/>
    </row>
    <row r="76" spans="1:47" x14ac:dyDescent="0.2">
      <c r="A76" s="115">
        <v>75</v>
      </c>
      <c r="B76" s="3">
        <v>16</v>
      </c>
      <c r="C76" s="6">
        <v>21.75</v>
      </c>
      <c r="D76" s="129" t="s">
        <v>140</v>
      </c>
      <c r="E76" t="s">
        <v>141</v>
      </c>
      <c r="F76" s="3" t="s">
        <v>61</v>
      </c>
      <c r="G76" s="14" t="s">
        <v>61</v>
      </c>
      <c r="H76" s="14" t="s">
        <v>61</v>
      </c>
      <c r="I76" s="127">
        <v>44256</v>
      </c>
      <c r="J76" s="17" t="s">
        <v>142</v>
      </c>
      <c r="K76" s="17" t="s">
        <v>235</v>
      </c>
      <c r="L76" s="17"/>
      <c r="M76" s="17"/>
      <c r="N76" s="17">
        <v>232.7</v>
      </c>
      <c r="O76" s="17">
        <v>176.69</v>
      </c>
      <c r="P76" s="17">
        <v>184.52</v>
      </c>
      <c r="Q76" s="17">
        <v>41.05</v>
      </c>
      <c r="R76" s="17">
        <v>28.54</v>
      </c>
      <c r="S76" s="17"/>
      <c r="T76" s="17"/>
      <c r="U76" s="50">
        <v>57.98</v>
      </c>
      <c r="V76" s="50">
        <v>43.98</v>
      </c>
      <c r="W76" s="50">
        <v>66.41</v>
      </c>
      <c r="X76" s="50">
        <v>85.06</v>
      </c>
      <c r="Y76" s="50">
        <v>37.06</v>
      </c>
      <c r="Z76" s="50">
        <v>92.73</v>
      </c>
      <c r="AA76" s="50">
        <v>77.48</v>
      </c>
      <c r="AB76" s="50">
        <v>61.49</v>
      </c>
      <c r="AC76" s="50">
        <v>17.420000000000002</v>
      </c>
      <c r="AD76" s="50">
        <v>53.09</v>
      </c>
      <c r="AE76" s="17">
        <v>39.619999999999997</v>
      </c>
      <c r="AF76" s="17">
        <v>38.42</v>
      </c>
      <c r="AG76" s="17">
        <v>36.85</v>
      </c>
      <c r="AH76" s="17">
        <v>39.51</v>
      </c>
      <c r="AI76" s="17">
        <v>1.117</v>
      </c>
      <c r="AJ76" s="17">
        <v>42.5</v>
      </c>
      <c r="AK76" s="17"/>
      <c r="AL76" s="17"/>
      <c r="AM76" s="17"/>
      <c r="AN76" s="17">
        <v>100</v>
      </c>
      <c r="AO76" s="17">
        <v>9.35</v>
      </c>
      <c r="AP76" s="17">
        <v>34.56</v>
      </c>
      <c r="AQ76" s="17"/>
      <c r="AR76" s="17">
        <v>36.61</v>
      </c>
      <c r="AS76" s="17">
        <v>16</v>
      </c>
      <c r="AT76" s="3" t="s">
        <v>146</v>
      </c>
      <c r="AU76" s="3"/>
    </row>
    <row r="77" spans="1:47" x14ac:dyDescent="0.2">
      <c r="A77" s="115">
        <v>76.000000000000156</v>
      </c>
      <c r="B77" s="3">
        <v>34</v>
      </c>
      <c r="C77" s="6">
        <v>21.76</v>
      </c>
      <c r="D77" s="126" t="s">
        <v>168</v>
      </c>
      <c r="E77" t="s">
        <v>169</v>
      </c>
      <c r="F77" s="3" t="s">
        <v>170</v>
      </c>
      <c r="G77" s="3" t="s">
        <v>29</v>
      </c>
      <c r="I77" s="127">
        <v>44264</v>
      </c>
      <c r="J77" s="17" t="s">
        <v>142</v>
      </c>
      <c r="K77" s="17" t="s">
        <v>235</v>
      </c>
      <c r="L77" s="17"/>
      <c r="M77" s="17"/>
      <c r="N77" s="17">
        <v>285.87</v>
      </c>
      <c r="O77" s="17">
        <v>163.38999999999999</v>
      </c>
      <c r="P77" s="17">
        <v>174.18</v>
      </c>
      <c r="Q77" s="17">
        <v>31.2</v>
      </c>
      <c r="R77" s="17">
        <v>19.010000000000002</v>
      </c>
      <c r="S77" s="17"/>
      <c r="T77" s="17"/>
      <c r="U77" s="50">
        <v>69.489999999999995</v>
      </c>
      <c r="V77" s="50">
        <v>51.92</v>
      </c>
      <c r="W77" s="50">
        <v>71.069999999999993</v>
      </c>
      <c r="X77" s="50">
        <v>88.1</v>
      </c>
      <c r="Y77" s="50">
        <v>44.12</v>
      </c>
      <c r="Z77" s="50">
        <v>97.19</v>
      </c>
      <c r="AA77" s="50">
        <v>85.41</v>
      </c>
      <c r="AB77" s="50">
        <v>73.97</v>
      </c>
      <c r="AC77" s="50">
        <v>12.06</v>
      </c>
      <c r="AD77" s="50">
        <v>55.9</v>
      </c>
      <c r="AE77" s="17">
        <v>29.03</v>
      </c>
      <c r="AF77" s="17">
        <v>37.130000000000003</v>
      </c>
      <c r="AG77" s="17">
        <v>35.54</v>
      </c>
      <c r="AH77" s="17">
        <v>39.92</v>
      </c>
      <c r="AI77" s="17">
        <v>1.3180000000000001</v>
      </c>
      <c r="AJ77" s="17">
        <v>47.88</v>
      </c>
      <c r="AK77" s="17"/>
      <c r="AL77" s="17"/>
      <c r="AM77" s="17"/>
      <c r="AN77" s="17">
        <v>90</v>
      </c>
      <c r="AO77" s="17">
        <v>12.52</v>
      </c>
      <c r="AP77" s="17">
        <v>66.739999999999995</v>
      </c>
      <c r="AQ77" s="17"/>
      <c r="AR77" s="17">
        <v>55.16</v>
      </c>
      <c r="AS77" s="17">
        <v>21.67</v>
      </c>
      <c r="AT77" s="3" t="s">
        <v>146</v>
      </c>
      <c r="AU77" s="3"/>
    </row>
    <row r="78" spans="1:47" x14ac:dyDescent="0.2">
      <c r="A78" s="115">
        <v>76.999999999999957</v>
      </c>
      <c r="B78" s="3">
        <v>35</v>
      </c>
      <c r="C78" s="6">
        <v>21.77</v>
      </c>
      <c r="D78" s="126" t="s">
        <v>168</v>
      </c>
      <c r="E78" t="s">
        <v>169</v>
      </c>
      <c r="F78" s="3" t="s">
        <v>170</v>
      </c>
      <c r="G78" s="3" t="s">
        <v>29</v>
      </c>
      <c r="I78" s="127">
        <v>44264</v>
      </c>
      <c r="J78" s="17" t="s">
        <v>142</v>
      </c>
      <c r="K78" s="17" t="s">
        <v>235</v>
      </c>
      <c r="L78" s="17"/>
      <c r="M78" s="17"/>
      <c r="N78" s="17">
        <v>308.75</v>
      </c>
      <c r="O78" s="17">
        <v>169.53</v>
      </c>
      <c r="P78" s="17">
        <v>180.1</v>
      </c>
      <c r="Q78" s="17">
        <v>33.799999999999997</v>
      </c>
      <c r="R78" s="17">
        <v>18.670000000000002</v>
      </c>
      <c r="S78" s="17"/>
      <c r="T78" s="17"/>
      <c r="U78" s="50">
        <v>65.680000000000007</v>
      </c>
      <c r="V78" s="50">
        <v>54.74</v>
      </c>
      <c r="W78" s="50">
        <v>68.41</v>
      </c>
      <c r="X78" s="50">
        <v>82.42</v>
      </c>
      <c r="Y78" s="50">
        <v>41.79</v>
      </c>
      <c r="Z78" s="50">
        <v>94.3</v>
      </c>
      <c r="AA78" s="50">
        <v>83.8</v>
      </c>
      <c r="AB78" s="50">
        <v>75.16</v>
      </c>
      <c r="AC78" s="50">
        <v>11.13</v>
      </c>
      <c r="AD78" s="50">
        <v>59.42</v>
      </c>
      <c r="AE78" s="17">
        <v>23.09</v>
      </c>
      <c r="AF78" s="17">
        <v>35.92</v>
      </c>
      <c r="AG78" s="17">
        <v>28.45</v>
      </c>
      <c r="AH78" s="17">
        <v>40.26</v>
      </c>
      <c r="AI78" s="17">
        <v>1.5549999999999999</v>
      </c>
      <c r="AJ78" s="17">
        <v>46.5</v>
      </c>
      <c r="AK78" s="17"/>
      <c r="AL78" s="17"/>
      <c r="AM78" s="17"/>
      <c r="AN78" s="17">
        <v>65</v>
      </c>
      <c r="AO78" s="17">
        <v>10.97</v>
      </c>
      <c r="AP78" s="17">
        <v>100.31</v>
      </c>
      <c r="AQ78" s="17"/>
      <c r="AR78" s="17">
        <v>57.81</v>
      </c>
      <c r="AS78" s="17">
        <v>23.02</v>
      </c>
      <c r="AT78" s="3" t="s">
        <v>146</v>
      </c>
      <c r="AU78" s="3"/>
    </row>
    <row r="79" spans="1:47" x14ac:dyDescent="0.2">
      <c r="A79" s="115">
        <v>78.000000000000114</v>
      </c>
      <c r="B79" s="3">
        <v>39</v>
      </c>
      <c r="C79" s="6">
        <v>21.78</v>
      </c>
      <c r="D79" s="126" t="s">
        <v>168</v>
      </c>
      <c r="E79" t="s">
        <v>232</v>
      </c>
      <c r="F79" s="3" t="s">
        <v>170</v>
      </c>
      <c r="G79" s="3" t="s">
        <v>32</v>
      </c>
      <c r="I79" s="127">
        <v>44265</v>
      </c>
      <c r="J79" s="17" t="s">
        <v>142</v>
      </c>
      <c r="K79" s="17" t="s">
        <v>235</v>
      </c>
      <c r="L79" s="17"/>
      <c r="M79" s="17"/>
      <c r="N79" s="17">
        <v>278.38</v>
      </c>
      <c r="O79" s="17">
        <v>186.12</v>
      </c>
      <c r="P79" s="17">
        <v>195.76</v>
      </c>
      <c r="Q79" s="17">
        <v>45.79</v>
      </c>
      <c r="R79" s="17">
        <v>19.89</v>
      </c>
      <c r="S79" s="17"/>
      <c r="T79" s="17"/>
      <c r="U79" s="50">
        <v>73.08</v>
      </c>
      <c r="V79" s="50">
        <v>52.79</v>
      </c>
      <c r="W79" s="50">
        <v>76.599999999999994</v>
      </c>
      <c r="X79" s="50">
        <v>99.57</v>
      </c>
      <c r="Y79" s="50">
        <v>43.43</v>
      </c>
      <c r="Z79" s="50">
        <v>106.7</v>
      </c>
      <c r="AA79" s="50">
        <v>91.51</v>
      </c>
      <c r="AB79" s="50">
        <v>78.010000000000005</v>
      </c>
      <c r="AC79" s="50">
        <v>5.46</v>
      </c>
      <c r="AD79" s="50">
        <v>50.66</v>
      </c>
      <c r="AE79" s="17">
        <v>28.62</v>
      </c>
      <c r="AF79" s="17">
        <v>44.76</v>
      </c>
      <c r="AG79" s="17">
        <v>30.36</v>
      </c>
      <c r="AH79" s="17">
        <v>40.22</v>
      </c>
      <c r="AI79" s="17">
        <v>1.3</v>
      </c>
      <c r="AJ79" s="17">
        <v>49.95</v>
      </c>
      <c r="AK79" s="17"/>
      <c r="AL79" s="17">
        <v>53</v>
      </c>
      <c r="AM79" s="17">
        <v>67</v>
      </c>
      <c r="AN79" s="17">
        <v>120</v>
      </c>
      <c r="AO79" s="17">
        <v>14.65</v>
      </c>
      <c r="AP79" s="17">
        <v>38.06</v>
      </c>
      <c r="AQ79" s="17"/>
      <c r="AR79" s="17">
        <v>48.52</v>
      </c>
      <c r="AS79" s="17">
        <v>19.36</v>
      </c>
      <c r="AT79" s="3" t="s">
        <v>146</v>
      </c>
      <c r="AU79" s="3"/>
    </row>
    <row r="80" spans="1:47" x14ac:dyDescent="0.2">
      <c r="A80" s="115">
        <v>78.999999999999915</v>
      </c>
      <c r="B80" s="3">
        <v>33</v>
      </c>
      <c r="C80" s="6">
        <v>21.79</v>
      </c>
      <c r="D80" s="126" t="s">
        <v>168</v>
      </c>
      <c r="E80" t="s">
        <v>169</v>
      </c>
      <c r="F80" s="3" t="s">
        <v>170</v>
      </c>
      <c r="G80" s="3" t="s">
        <v>29</v>
      </c>
      <c r="I80" s="127">
        <v>44264</v>
      </c>
      <c r="J80" s="17" t="s">
        <v>142</v>
      </c>
      <c r="K80" s="17" t="s">
        <v>235</v>
      </c>
      <c r="L80" s="17"/>
      <c r="M80" s="17"/>
      <c r="N80" s="17">
        <v>310.95999999999998</v>
      </c>
      <c r="O80" s="17">
        <v>169.47</v>
      </c>
      <c r="P80" s="17">
        <v>176.24</v>
      </c>
      <c r="Q80" s="17">
        <v>36.79</v>
      </c>
      <c r="R80" s="17">
        <v>19.43</v>
      </c>
      <c r="S80" s="17"/>
      <c r="T80" s="17"/>
      <c r="U80" s="50">
        <v>61.36</v>
      </c>
      <c r="V80" s="50">
        <v>54.53</v>
      </c>
      <c r="W80" s="50">
        <v>71.760000000000005</v>
      </c>
      <c r="X80" s="50">
        <v>87.12</v>
      </c>
      <c r="Y80" s="50">
        <v>44.31</v>
      </c>
      <c r="Z80" s="50">
        <v>94.69</v>
      </c>
      <c r="AA80" s="50">
        <v>82.8</v>
      </c>
      <c r="AB80" s="50">
        <v>73.17</v>
      </c>
      <c r="AC80" s="50">
        <v>2.2000000000000002</v>
      </c>
      <c r="AD80" s="50">
        <v>60.42</v>
      </c>
      <c r="AE80" s="17">
        <v>29.35</v>
      </c>
      <c r="AF80" s="17">
        <v>42.04</v>
      </c>
      <c r="AG80" s="17">
        <v>32.49</v>
      </c>
      <c r="AH80" s="17">
        <v>43.04</v>
      </c>
      <c r="AI80" s="17">
        <v>1.472</v>
      </c>
      <c r="AJ80" s="17">
        <v>46.47</v>
      </c>
      <c r="AK80" s="17"/>
      <c r="AL80" s="17">
        <v>31</v>
      </c>
      <c r="AM80" s="17">
        <v>90</v>
      </c>
      <c r="AN80" s="17">
        <f>AL80+AM80</f>
        <v>121</v>
      </c>
      <c r="AO80" s="17">
        <v>13.54</v>
      </c>
      <c r="AP80" s="17">
        <v>49.21</v>
      </c>
      <c r="AQ80" s="17"/>
      <c r="AR80" s="17">
        <v>60.44</v>
      </c>
      <c r="AS80" s="17">
        <v>25.36</v>
      </c>
      <c r="AT80" s="3" t="s">
        <v>146</v>
      </c>
      <c r="AU80" s="3"/>
    </row>
    <row r="81" spans="1:47" x14ac:dyDescent="0.2">
      <c r="A81" s="115">
        <v>80.000000000000071</v>
      </c>
      <c r="B81" s="3">
        <v>31</v>
      </c>
      <c r="C81" s="7" t="s">
        <v>500</v>
      </c>
      <c r="D81" s="126" t="s">
        <v>168</v>
      </c>
      <c r="E81" t="s">
        <v>169</v>
      </c>
      <c r="F81" s="3" t="s">
        <v>170</v>
      </c>
      <c r="H81" s="3" t="s">
        <v>29</v>
      </c>
      <c r="I81" s="127">
        <v>44264</v>
      </c>
      <c r="J81" s="17" t="s">
        <v>142</v>
      </c>
      <c r="K81" s="17" t="s">
        <v>203</v>
      </c>
      <c r="L81" s="17"/>
      <c r="M81" s="17"/>
      <c r="N81" s="17">
        <v>273.31</v>
      </c>
      <c r="O81" s="17">
        <v>172.99</v>
      </c>
      <c r="P81" s="17">
        <v>177.62</v>
      </c>
      <c r="Q81" s="17">
        <v>34.83</v>
      </c>
      <c r="R81" s="17">
        <v>21.52</v>
      </c>
      <c r="S81" s="17"/>
      <c r="T81" s="17"/>
      <c r="U81" s="50">
        <v>60.14</v>
      </c>
      <c r="V81" s="50">
        <v>52.6</v>
      </c>
      <c r="W81" s="50">
        <v>70.41</v>
      </c>
      <c r="X81" s="50">
        <v>81.3</v>
      </c>
      <c r="Y81" s="50">
        <v>40.07</v>
      </c>
      <c r="Z81" s="50">
        <v>92.91</v>
      </c>
      <c r="AA81" s="50">
        <v>77.39</v>
      </c>
      <c r="AB81" s="50">
        <v>77.17</v>
      </c>
      <c r="AC81" s="50">
        <v>0</v>
      </c>
      <c r="AD81" s="50">
        <v>55.54</v>
      </c>
      <c r="AE81" s="17">
        <v>35.03</v>
      </c>
      <c r="AF81" s="17">
        <v>39.619999999999997</v>
      </c>
      <c r="AG81" s="17">
        <v>34.619999999999997</v>
      </c>
      <c r="AH81" s="17">
        <v>43.08</v>
      </c>
      <c r="AI81" s="17">
        <v>2.113</v>
      </c>
      <c r="AJ81" s="54"/>
      <c r="AK81" s="54"/>
      <c r="AL81" s="17">
        <v>18</v>
      </c>
      <c r="AM81" s="17">
        <v>0</v>
      </c>
      <c r="AN81" s="17">
        <v>18</v>
      </c>
      <c r="AO81" s="17">
        <v>12.46</v>
      </c>
      <c r="AP81" s="17">
        <v>110.3</v>
      </c>
      <c r="AQ81" s="17"/>
      <c r="AR81" s="17">
        <v>66.069999999999993</v>
      </c>
      <c r="AS81" s="17">
        <v>26.19</v>
      </c>
      <c r="AT81" s="3" t="s">
        <v>146</v>
      </c>
      <c r="AU81" s="3"/>
    </row>
    <row r="82" spans="1:47" x14ac:dyDescent="0.2">
      <c r="A82" s="115">
        <v>81</v>
      </c>
      <c r="B82" s="3">
        <v>32</v>
      </c>
      <c r="C82" s="6">
        <v>21.81</v>
      </c>
      <c r="D82" s="126" t="s">
        <v>168</v>
      </c>
      <c r="E82" t="s">
        <v>169</v>
      </c>
      <c r="F82" s="3" t="s">
        <v>170</v>
      </c>
      <c r="H82" s="3" t="s">
        <v>29</v>
      </c>
      <c r="I82" s="127">
        <v>44264</v>
      </c>
      <c r="J82" s="17" t="s">
        <v>142</v>
      </c>
      <c r="K82" s="17" t="s">
        <v>235</v>
      </c>
      <c r="L82" s="17"/>
      <c r="M82" s="17"/>
      <c r="N82" s="17">
        <v>305.33</v>
      </c>
      <c r="O82" s="17">
        <v>163.19</v>
      </c>
      <c r="P82" s="17">
        <v>172.54</v>
      </c>
      <c r="Q82" s="17">
        <v>32.36</v>
      </c>
      <c r="R82" s="17">
        <v>16.93</v>
      </c>
      <c r="S82" s="17"/>
      <c r="T82" s="17"/>
      <c r="U82" s="50">
        <v>58.27</v>
      </c>
      <c r="V82" s="50">
        <v>49.97</v>
      </c>
      <c r="W82" s="50">
        <v>67.739999999999995</v>
      </c>
      <c r="X82" s="50">
        <v>83.54</v>
      </c>
      <c r="Y82" s="50">
        <v>43.67</v>
      </c>
      <c r="Z82" s="50">
        <v>97.38</v>
      </c>
      <c r="AA82" s="50">
        <v>84.24</v>
      </c>
      <c r="AB82" s="50">
        <v>73.87</v>
      </c>
      <c r="AC82" s="50">
        <v>4.87</v>
      </c>
      <c r="AD82" s="50">
        <v>57.73</v>
      </c>
      <c r="AE82" s="17">
        <v>31.44</v>
      </c>
      <c r="AF82" s="17">
        <v>31.71</v>
      </c>
      <c r="AG82" s="17">
        <v>33.42</v>
      </c>
      <c r="AH82" s="17">
        <v>39.69</v>
      </c>
      <c r="AI82" s="17">
        <v>1.431</v>
      </c>
      <c r="AJ82" s="17">
        <v>50.65</v>
      </c>
      <c r="AK82" s="17"/>
      <c r="AL82" s="17">
        <v>21</v>
      </c>
      <c r="AM82" s="17">
        <v>108</v>
      </c>
      <c r="AN82" s="17">
        <v>135</v>
      </c>
      <c r="AO82" s="17">
        <v>9.4</v>
      </c>
      <c r="AP82" s="17">
        <v>47.26</v>
      </c>
      <c r="AQ82" s="17"/>
      <c r="AR82" s="17">
        <v>55.02</v>
      </c>
      <c r="AS82" s="17">
        <v>22.43</v>
      </c>
      <c r="AT82" s="3" t="s">
        <v>146</v>
      </c>
      <c r="AU82" s="3"/>
    </row>
    <row r="83" spans="1:47" x14ac:dyDescent="0.2">
      <c r="A83" s="115">
        <v>82</v>
      </c>
      <c r="B83" s="3">
        <v>36</v>
      </c>
      <c r="C83" s="6">
        <v>21.82</v>
      </c>
      <c r="D83" s="126" t="s">
        <v>168</v>
      </c>
      <c r="E83" t="s">
        <v>169</v>
      </c>
      <c r="F83" s="3" t="s">
        <v>170</v>
      </c>
      <c r="G83" s="3" t="s">
        <v>29</v>
      </c>
      <c r="I83" s="127">
        <v>44264</v>
      </c>
      <c r="J83" s="17" t="s">
        <v>142</v>
      </c>
      <c r="K83" s="17" t="s">
        <v>235</v>
      </c>
      <c r="L83" s="17"/>
      <c r="M83" s="17"/>
      <c r="N83" s="17">
        <v>297.01</v>
      </c>
      <c r="O83" s="17">
        <v>162.82</v>
      </c>
      <c r="P83" s="17">
        <v>173.39</v>
      </c>
      <c r="Q83" s="17">
        <v>32.770000000000003</v>
      </c>
      <c r="R83" s="17">
        <v>19.829999999999998</v>
      </c>
      <c r="S83" s="17"/>
      <c r="T83" s="17"/>
      <c r="U83" s="50">
        <v>55.84</v>
      </c>
      <c r="V83" s="50">
        <v>53.43</v>
      </c>
      <c r="W83" s="50">
        <v>70.930000000000007</v>
      </c>
      <c r="X83" s="50">
        <v>86.78</v>
      </c>
      <c r="Y83" s="50">
        <v>41.2</v>
      </c>
      <c r="Z83" s="50">
        <v>93.38</v>
      </c>
      <c r="AA83" s="50">
        <v>83.02</v>
      </c>
      <c r="AB83" s="50">
        <v>73.930000000000007</v>
      </c>
      <c r="AC83" s="50">
        <v>13.84</v>
      </c>
      <c r="AD83" s="50">
        <v>58.87</v>
      </c>
      <c r="AE83" s="17">
        <v>27.79</v>
      </c>
      <c r="AF83" s="17">
        <v>42.89</v>
      </c>
      <c r="AG83" s="17">
        <v>35.14</v>
      </c>
      <c r="AH83" s="17">
        <v>40.69</v>
      </c>
      <c r="AI83" s="17">
        <v>1.3720000000000001</v>
      </c>
      <c r="AJ83" s="17">
        <v>44.94</v>
      </c>
      <c r="AK83" s="17"/>
      <c r="AL83" s="17">
        <v>15</v>
      </c>
      <c r="AM83" s="17">
        <v>114</v>
      </c>
      <c r="AN83" s="17">
        <v>129</v>
      </c>
      <c r="AO83" s="17">
        <v>11.22</v>
      </c>
      <c r="AP83" s="17">
        <v>54.92</v>
      </c>
      <c r="AQ83" s="17"/>
      <c r="AR83" s="17">
        <v>52.67</v>
      </c>
      <c r="AS83" s="17"/>
      <c r="AT83" s="3" t="s">
        <v>146</v>
      </c>
      <c r="AU83" s="3"/>
    </row>
    <row r="84" spans="1:47" x14ac:dyDescent="0.2">
      <c r="A84" s="115">
        <v>83</v>
      </c>
      <c r="B84" s="3">
        <v>40</v>
      </c>
      <c r="C84" s="6">
        <v>21.83</v>
      </c>
      <c r="D84" s="126" t="s">
        <v>168</v>
      </c>
      <c r="E84" t="s">
        <v>232</v>
      </c>
      <c r="F84" s="3" t="s">
        <v>251</v>
      </c>
      <c r="H84" s="3" t="s">
        <v>498</v>
      </c>
      <c r="I84" s="127">
        <v>44265</v>
      </c>
      <c r="J84" s="17" t="s">
        <v>142</v>
      </c>
      <c r="K84" s="17" t="s">
        <v>235</v>
      </c>
      <c r="L84" s="17"/>
      <c r="M84" s="17"/>
      <c r="N84" s="17">
        <v>288.39</v>
      </c>
      <c r="O84" s="17">
        <v>182.43</v>
      </c>
      <c r="P84" s="17">
        <v>196.14</v>
      </c>
      <c r="Q84" s="17">
        <v>44.34</v>
      </c>
      <c r="R84" s="17">
        <v>23.08</v>
      </c>
      <c r="S84" s="17"/>
      <c r="T84" s="17"/>
      <c r="U84" s="50">
        <v>73.010000000000005</v>
      </c>
      <c r="V84" s="50">
        <v>53.64</v>
      </c>
      <c r="W84" s="50">
        <v>76.23</v>
      </c>
      <c r="X84" s="50">
        <v>101.39</v>
      </c>
      <c r="Y84" s="50">
        <v>43.32</v>
      </c>
      <c r="Z84" s="50">
        <v>106.81</v>
      </c>
      <c r="AA84" s="50">
        <v>91.56</v>
      </c>
      <c r="AB84" s="50">
        <v>80.37</v>
      </c>
      <c r="AC84" s="50">
        <v>5.42</v>
      </c>
      <c r="AD84" s="50">
        <v>51.25</v>
      </c>
      <c r="AE84" s="17">
        <v>31.81</v>
      </c>
      <c r="AF84" s="17">
        <v>45.37</v>
      </c>
      <c r="AG84" s="17">
        <v>40.83</v>
      </c>
      <c r="AH84" s="17">
        <v>47.2</v>
      </c>
      <c r="AI84" s="17">
        <v>1.337</v>
      </c>
      <c r="AJ84" s="17">
        <v>53.2</v>
      </c>
      <c r="AK84" s="17"/>
      <c r="AL84" s="17"/>
      <c r="AM84" s="17"/>
      <c r="AN84" s="17">
        <v>120</v>
      </c>
      <c r="AO84" s="17">
        <v>12.45</v>
      </c>
      <c r="AP84" s="17">
        <v>39.049999999999997</v>
      </c>
      <c r="AQ84" s="17"/>
      <c r="AR84" s="17">
        <v>52.62</v>
      </c>
      <c r="AS84" s="17"/>
      <c r="AT84" s="3" t="s">
        <v>146</v>
      </c>
      <c r="AU84" s="3"/>
    </row>
    <row r="85" spans="1:47" x14ac:dyDescent="0.2">
      <c r="A85" s="115">
        <v>83.999999999999986</v>
      </c>
      <c r="B85" s="3">
        <v>29</v>
      </c>
      <c r="C85" s="6">
        <v>21.84</v>
      </c>
      <c r="D85" s="126" t="s">
        <v>168</v>
      </c>
      <c r="E85" t="s">
        <v>232</v>
      </c>
      <c r="F85" s="3" t="s">
        <v>251</v>
      </c>
      <c r="G85" s="3" t="s">
        <v>32</v>
      </c>
      <c r="I85" s="127">
        <v>44264</v>
      </c>
      <c r="J85" s="17" t="s">
        <v>142</v>
      </c>
      <c r="K85" s="17" t="s">
        <v>235</v>
      </c>
      <c r="L85" s="17"/>
      <c r="M85" s="17"/>
      <c r="N85" s="17">
        <v>287.32</v>
      </c>
      <c r="O85" s="17">
        <v>190.23</v>
      </c>
      <c r="P85" s="17">
        <v>199.92</v>
      </c>
      <c r="Q85" s="17">
        <v>44.73</v>
      </c>
      <c r="R85" s="17">
        <v>22.78</v>
      </c>
      <c r="S85" s="17"/>
      <c r="T85" s="17"/>
      <c r="U85" s="50">
        <v>74.900000000000006</v>
      </c>
      <c r="V85" s="50">
        <v>56.29</v>
      </c>
      <c r="W85" s="50">
        <v>76.78</v>
      </c>
      <c r="X85" s="50">
        <v>100.55</v>
      </c>
      <c r="Y85" s="50">
        <v>42.01</v>
      </c>
      <c r="Z85" s="50">
        <v>105.72</v>
      </c>
      <c r="AA85" s="50">
        <v>90.2</v>
      </c>
      <c r="AB85" s="50">
        <v>78.23</v>
      </c>
      <c r="AC85" s="50">
        <v>3.18</v>
      </c>
      <c r="AD85" s="50">
        <v>51.63</v>
      </c>
      <c r="AE85" s="17">
        <v>32.020000000000003</v>
      </c>
      <c r="AF85" s="17">
        <v>50.54</v>
      </c>
      <c r="AG85" s="17">
        <v>41.16</v>
      </c>
      <c r="AH85" s="17">
        <v>50.39</v>
      </c>
      <c r="AI85" s="17">
        <v>1.256</v>
      </c>
      <c r="AJ85" s="17">
        <v>47.7</v>
      </c>
      <c r="AK85" s="17"/>
      <c r="AL85" s="17"/>
      <c r="AM85" s="17"/>
      <c r="AN85" s="17">
        <v>137</v>
      </c>
      <c r="AO85" s="17">
        <v>14.16</v>
      </c>
      <c r="AP85" s="17">
        <v>44.03</v>
      </c>
      <c r="AQ85" s="17"/>
      <c r="AR85" s="17">
        <v>51.16</v>
      </c>
      <c r="AS85" s="17"/>
      <c r="AT85" s="3" t="s">
        <v>146</v>
      </c>
      <c r="AU85" s="3"/>
    </row>
    <row r="86" spans="1:47" x14ac:dyDescent="0.2">
      <c r="A86" s="115">
        <v>85.000000000000142</v>
      </c>
      <c r="B86" s="3">
        <v>38</v>
      </c>
      <c r="C86" s="6">
        <v>21.85</v>
      </c>
      <c r="D86" s="126" t="s">
        <v>168</v>
      </c>
      <c r="E86" t="s">
        <v>232</v>
      </c>
      <c r="F86" s="3" t="s">
        <v>251</v>
      </c>
      <c r="H86" s="3" t="s">
        <v>498</v>
      </c>
      <c r="I86" s="127">
        <v>44265</v>
      </c>
      <c r="J86" s="17" t="s">
        <v>142</v>
      </c>
      <c r="K86" s="17" t="s">
        <v>235</v>
      </c>
      <c r="L86" s="17"/>
      <c r="M86" s="17"/>
      <c r="N86" s="17">
        <v>282.11</v>
      </c>
      <c r="O86" s="17">
        <v>198.32</v>
      </c>
      <c r="P86" s="17">
        <v>203.29</v>
      </c>
      <c r="Q86" s="17">
        <v>46.31</v>
      </c>
      <c r="R86" s="17">
        <v>26.32</v>
      </c>
      <c r="S86" s="17"/>
      <c r="T86" s="17"/>
      <c r="U86" s="50">
        <v>71.88</v>
      </c>
      <c r="V86" s="50">
        <v>51.72</v>
      </c>
      <c r="W86" s="50">
        <v>76.25</v>
      </c>
      <c r="X86" s="50">
        <v>101.18</v>
      </c>
      <c r="Y86" s="50">
        <v>43.21</v>
      </c>
      <c r="Z86" s="50">
        <v>105.57</v>
      </c>
      <c r="AA86" s="50">
        <v>89.28</v>
      </c>
      <c r="AB86" s="50">
        <v>79.92</v>
      </c>
      <c r="AC86" s="50">
        <v>5.83</v>
      </c>
      <c r="AD86" s="50">
        <v>50.49</v>
      </c>
      <c r="AE86" s="17">
        <v>35.82</v>
      </c>
      <c r="AF86" s="17">
        <v>43.74</v>
      </c>
      <c r="AG86" s="17">
        <v>44.29</v>
      </c>
      <c r="AH86" s="17">
        <v>45.12</v>
      </c>
      <c r="AI86" s="17">
        <v>1.2230000000000001</v>
      </c>
      <c r="AJ86" s="17">
        <v>45.08</v>
      </c>
      <c r="AK86" s="17"/>
      <c r="AL86" s="17"/>
      <c r="AM86" s="17"/>
      <c r="AN86" s="17">
        <v>110</v>
      </c>
      <c r="AO86" s="17">
        <v>12.51</v>
      </c>
      <c r="AP86" s="17">
        <v>44.65</v>
      </c>
      <c r="AQ86" s="17"/>
      <c r="AR86" s="17">
        <v>51.05</v>
      </c>
      <c r="AS86" s="17"/>
      <c r="AT86" s="3" t="s">
        <v>146</v>
      </c>
      <c r="AU86" s="3"/>
    </row>
    <row r="87" spans="1:47" x14ac:dyDescent="0.2">
      <c r="A87" s="115">
        <v>85.999999999999943</v>
      </c>
      <c r="B87" s="3">
        <v>30</v>
      </c>
      <c r="C87" s="6">
        <v>21.86</v>
      </c>
      <c r="D87" s="126" t="s">
        <v>168</v>
      </c>
      <c r="E87" t="s">
        <v>232</v>
      </c>
      <c r="F87" s="3" t="s">
        <v>251</v>
      </c>
      <c r="H87" s="3" t="s">
        <v>498</v>
      </c>
      <c r="I87" s="127">
        <v>44264</v>
      </c>
      <c r="J87" s="17" t="s">
        <v>142</v>
      </c>
      <c r="K87" s="17" t="s">
        <v>235</v>
      </c>
      <c r="L87" s="17"/>
      <c r="M87" s="17"/>
      <c r="N87" s="17">
        <v>287.11</v>
      </c>
      <c r="O87" s="17">
        <v>184.71</v>
      </c>
      <c r="P87" s="17">
        <v>193.83</v>
      </c>
      <c r="Q87" s="17">
        <v>42.75</v>
      </c>
      <c r="R87" s="17">
        <v>19.03</v>
      </c>
      <c r="S87" s="17"/>
      <c r="T87" s="17"/>
      <c r="U87" s="50">
        <v>70.040000000000006</v>
      </c>
      <c r="V87" s="50">
        <v>51.02</v>
      </c>
      <c r="W87" s="50">
        <v>72.45</v>
      </c>
      <c r="X87" s="50">
        <v>100.91</v>
      </c>
      <c r="Y87" s="50">
        <v>42.44</v>
      </c>
      <c r="Z87" s="50">
        <v>103.14</v>
      </c>
      <c r="AA87" s="50">
        <v>84.91</v>
      </c>
      <c r="AB87" s="50">
        <v>79.42</v>
      </c>
      <c r="AC87" s="50">
        <v>2.4900000000000002</v>
      </c>
      <c r="AD87" s="50">
        <v>53.24</v>
      </c>
      <c r="AE87" s="17">
        <v>27.62</v>
      </c>
      <c r="AF87" s="17">
        <v>45.18</v>
      </c>
      <c r="AG87" s="17">
        <v>30.48</v>
      </c>
      <c r="AH87" s="17">
        <v>37.19</v>
      </c>
      <c r="AI87" s="17">
        <v>1.246</v>
      </c>
      <c r="AJ87" s="17">
        <v>48.69</v>
      </c>
      <c r="AK87" s="17"/>
      <c r="AL87" s="17"/>
      <c r="AM87" s="17"/>
      <c r="AN87" s="17">
        <v>123</v>
      </c>
      <c r="AO87" s="17">
        <v>13.66</v>
      </c>
      <c r="AP87" s="17">
        <v>41.43</v>
      </c>
      <c r="AQ87" s="17"/>
      <c r="AR87" s="17">
        <v>51.1</v>
      </c>
      <c r="AS87" s="17"/>
      <c r="AT87" s="3" t="s">
        <v>146</v>
      </c>
      <c r="AU87" s="3"/>
    </row>
    <row r="88" spans="1:47" x14ac:dyDescent="0.2">
      <c r="A88" s="115">
        <v>87.000000000000099</v>
      </c>
      <c r="B88" s="3">
        <v>37</v>
      </c>
      <c r="C88" s="6">
        <v>21.87</v>
      </c>
      <c r="D88" s="126" t="s">
        <v>168</v>
      </c>
      <c r="E88" t="s">
        <v>232</v>
      </c>
      <c r="F88" s="3" t="s">
        <v>251</v>
      </c>
      <c r="H88" s="3" t="s">
        <v>498</v>
      </c>
      <c r="I88" s="127">
        <v>44265</v>
      </c>
      <c r="J88" s="17" t="s">
        <v>142</v>
      </c>
      <c r="K88" s="17" t="s">
        <v>235</v>
      </c>
      <c r="L88" s="17"/>
      <c r="M88" s="17"/>
      <c r="N88" s="17">
        <v>278.58</v>
      </c>
      <c r="O88" s="17">
        <v>191.67</v>
      </c>
      <c r="P88" s="17">
        <v>196.55</v>
      </c>
      <c r="Q88" s="17">
        <v>44.1</v>
      </c>
      <c r="R88" s="17">
        <v>21.23</v>
      </c>
      <c r="S88" s="17"/>
      <c r="T88" s="17"/>
      <c r="U88" s="50">
        <v>71.02</v>
      </c>
      <c r="V88" s="50">
        <v>52.74</v>
      </c>
      <c r="W88" s="50">
        <v>73.540000000000006</v>
      </c>
      <c r="X88" s="50">
        <v>103.48</v>
      </c>
      <c r="Y88" s="50">
        <v>42.97</v>
      </c>
      <c r="Z88" s="50">
        <v>106.87</v>
      </c>
      <c r="AA88" s="50">
        <v>89.15</v>
      </c>
      <c r="AB88" s="50">
        <v>77.44</v>
      </c>
      <c r="AC88" s="50">
        <v>11.7</v>
      </c>
      <c r="AD88" s="50">
        <v>50.69</v>
      </c>
      <c r="AE88" s="17">
        <v>34.08</v>
      </c>
      <c r="AF88" s="17">
        <v>42.57</v>
      </c>
      <c r="AG88" s="17">
        <v>39.880000000000003</v>
      </c>
      <c r="AH88" s="17">
        <v>42.33</v>
      </c>
      <c r="AI88" s="17">
        <v>1.3080000000000001</v>
      </c>
      <c r="AJ88" s="17">
        <v>47.9</v>
      </c>
      <c r="AK88" s="17"/>
      <c r="AL88" s="17"/>
      <c r="AM88" s="17"/>
      <c r="AN88" s="17">
        <v>135</v>
      </c>
      <c r="AO88" s="17">
        <v>13.4</v>
      </c>
      <c r="AP88" s="17">
        <v>26.85</v>
      </c>
      <c r="AQ88" s="17"/>
      <c r="AR88" s="17">
        <v>51.44</v>
      </c>
      <c r="AS88" s="17"/>
      <c r="AT88" s="3" t="s">
        <v>146</v>
      </c>
      <c r="AU88" s="3"/>
    </row>
    <row r="89" spans="1:47" x14ac:dyDescent="0.2">
      <c r="A89" s="115">
        <v>88</v>
      </c>
      <c r="B89" s="3">
        <v>1</v>
      </c>
      <c r="C89" s="6">
        <v>21.88</v>
      </c>
      <c r="D89" s="131" t="s">
        <v>151</v>
      </c>
      <c r="F89" s="3" t="s">
        <v>88</v>
      </c>
      <c r="G89" s="3" t="s">
        <v>88</v>
      </c>
      <c r="I89" s="127">
        <v>44258</v>
      </c>
      <c r="J89" s="3" t="s">
        <v>142</v>
      </c>
      <c r="K89" s="3" t="s">
        <v>235</v>
      </c>
      <c r="N89" s="3">
        <v>306.33999999999997</v>
      </c>
      <c r="O89" s="3">
        <v>174.04</v>
      </c>
      <c r="P89" s="3">
        <v>187.72</v>
      </c>
      <c r="Q89" s="3">
        <v>46.05</v>
      </c>
      <c r="R89" s="3">
        <v>18.48</v>
      </c>
      <c r="U89" s="6">
        <v>56.04</v>
      </c>
      <c r="V89" s="6">
        <v>46.72</v>
      </c>
      <c r="W89" s="6">
        <v>66.8</v>
      </c>
      <c r="X89" s="6">
        <v>88.15</v>
      </c>
      <c r="Y89" s="6">
        <v>39.44</v>
      </c>
      <c r="Z89" s="6">
        <v>102.17</v>
      </c>
      <c r="AA89" s="6">
        <v>83.68</v>
      </c>
      <c r="AB89" s="6">
        <v>81.86</v>
      </c>
      <c r="AC89" s="6">
        <v>8.93</v>
      </c>
      <c r="AD89" s="6">
        <v>55.96</v>
      </c>
      <c r="AE89" s="3">
        <v>32.26</v>
      </c>
      <c r="AF89" s="3">
        <v>39.58</v>
      </c>
      <c r="AG89" s="3">
        <v>39.58</v>
      </c>
      <c r="AH89" s="3">
        <v>44.79</v>
      </c>
      <c r="AI89" s="3">
        <v>1.8120000000000001</v>
      </c>
      <c r="AJ89" s="3">
        <v>52.09</v>
      </c>
      <c r="AN89" s="3">
        <v>65</v>
      </c>
      <c r="AO89" s="3">
        <v>8.77</v>
      </c>
      <c r="AP89" s="3">
        <v>88.69</v>
      </c>
      <c r="AR89" s="3">
        <v>66.430000000000007</v>
      </c>
      <c r="AT89" s="3" t="s">
        <v>146</v>
      </c>
      <c r="AU89" s="3"/>
    </row>
    <row r="90" spans="1:47" x14ac:dyDescent="0.2">
      <c r="A90" s="115">
        <v>89</v>
      </c>
      <c r="B90" s="3">
        <v>3</v>
      </c>
      <c r="C90" s="6">
        <v>21.89</v>
      </c>
      <c r="D90" s="131" t="s">
        <v>151</v>
      </c>
      <c r="F90" s="3" t="s">
        <v>88</v>
      </c>
      <c r="G90" s="3" t="s">
        <v>88</v>
      </c>
      <c r="I90" s="127">
        <v>44258</v>
      </c>
      <c r="J90" s="3" t="s">
        <v>142</v>
      </c>
      <c r="K90" s="3" t="s">
        <v>235</v>
      </c>
      <c r="N90" s="3">
        <v>300.05</v>
      </c>
      <c r="O90" s="3">
        <v>181.28</v>
      </c>
      <c r="P90" s="3">
        <v>190.35</v>
      </c>
      <c r="Q90" s="3">
        <v>43.79</v>
      </c>
      <c r="R90" s="3">
        <v>17.68</v>
      </c>
      <c r="U90" s="6">
        <v>57.02</v>
      </c>
      <c r="V90" s="6">
        <v>49.67</v>
      </c>
      <c r="W90" s="6">
        <v>69.11</v>
      </c>
      <c r="X90" s="6">
        <v>93.97</v>
      </c>
      <c r="Y90" s="6">
        <v>42.31</v>
      </c>
      <c r="Z90" s="6">
        <v>102.95</v>
      </c>
      <c r="AA90" s="6">
        <v>85.14</v>
      </c>
      <c r="AB90" s="6">
        <v>78.11</v>
      </c>
      <c r="AC90" s="6">
        <v>3.76</v>
      </c>
      <c r="AD90" s="6">
        <v>53.48</v>
      </c>
      <c r="AE90" s="3">
        <v>27.82</v>
      </c>
      <c r="AF90" s="3">
        <v>42.34</v>
      </c>
      <c r="AG90" s="3">
        <v>39.75</v>
      </c>
      <c r="AH90" s="3">
        <v>45.27</v>
      </c>
      <c r="AI90" s="3">
        <v>1.6970000000000001</v>
      </c>
      <c r="AJ90" s="47"/>
      <c r="AK90" s="47"/>
      <c r="AN90" s="3">
        <v>73</v>
      </c>
      <c r="AO90" s="3">
        <v>10.02</v>
      </c>
      <c r="AP90" s="3">
        <v>77.55</v>
      </c>
      <c r="AR90" s="3">
        <v>62.33</v>
      </c>
      <c r="AT90" s="3" t="s">
        <v>146</v>
      </c>
      <c r="AU90" s="3"/>
    </row>
    <row r="91" spans="1:47" x14ac:dyDescent="0.2">
      <c r="A91" s="115">
        <v>89.999999999999858</v>
      </c>
      <c r="B91" s="3">
        <v>28</v>
      </c>
      <c r="C91" s="7" t="s">
        <v>48</v>
      </c>
      <c r="D91" s="129" t="s">
        <v>140</v>
      </c>
      <c r="E91" t="s">
        <v>141</v>
      </c>
      <c r="F91" s="3" t="s">
        <v>60</v>
      </c>
      <c r="G91"/>
      <c r="H91" s="3" t="s">
        <v>60</v>
      </c>
      <c r="I91" s="127">
        <v>44266</v>
      </c>
      <c r="J91" s="17" t="s">
        <v>142</v>
      </c>
      <c r="K91" s="17" t="s">
        <v>235</v>
      </c>
      <c r="L91" s="17"/>
      <c r="M91" s="17"/>
      <c r="N91" s="17">
        <v>273.5</v>
      </c>
      <c r="O91" s="17">
        <v>159.47999999999999</v>
      </c>
      <c r="P91" s="17">
        <v>174.4</v>
      </c>
      <c r="Q91" s="17">
        <v>34.380000000000003</v>
      </c>
      <c r="R91" s="17">
        <v>18.7</v>
      </c>
      <c r="S91" s="17"/>
      <c r="T91" s="17"/>
      <c r="U91" s="50">
        <v>51.01</v>
      </c>
      <c r="V91" s="50">
        <v>45.79</v>
      </c>
      <c r="W91" s="50">
        <v>66.7</v>
      </c>
      <c r="X91" s="50">
        <v>90.58</v>
      </c>
      <c r="Y91" s="50">
        <v>42.95</v>
      </c>
      <c r="Z91" s="50">
        <v>95.64</v>
      </c>
      <c r="AA91" s="50">
        <v>81.400000000000006</v>
      </c>
      <c r="AB91" s="50">
        <v>7.92</v>
      </c>
      <c r="AC91" s="50">
        <v>4.96</v>
      </c>
      <c r="AD91" s="50">
        <v>55.08</v>
      </c>
      <c r="AE91" s="17">
        <v>24.6</v>
      </c>
      <c r="AF91" s="17">
        <v>37.44</v>
      </c>
      <c r="AG91" s="17">
        <v>30.12</v>
      </c>
      <c r="AH91" s="17">
        <v>40.090000000000003</v>
      </c>
      <c r="AI91" s="17">
        <v>1.81</v>
      </c>
      <c r="AJ91" s="17">
        <v>49.47</v>
      </c>
      <c r="AK91" s="17"/>
      <c r="AL91" s="17"/>
      <c r="AM91" s="17"/>
      <c r="AN91" s="17">
        <v>81</v>
      </c>
      <c r="AO91" s="17">
        <v>9.34</v>
      </c>
      <c r="AP91" s="17">
        <v>68.599999999999994</v>
      </c>
      <c r="AQ91" s="17"/>
      <c r="AR91" s="17">
        <v>53.98</v>
      </c>
      <c r="AS91" s="17"/>
      <c r="AT91" s="3" t="s">
        <v>146</v>
      </c>
      <c r="AU91" s="3"/>
    </row>
    <row r="92" spans="1:47" x14ac:dyDescent="0.2">
      <c r="A92" s="115">
        <v>91.000000000000014</v>
      </c>
      <c r="B92" s="3">
        <v>41</v>
      </c>
      <c r="C92" s="6">
        <v>21.91</v>
      </c>
      <c r="D92" s="129" t="s">
        <v>140</v>
      </c>
      <c r="E92" t="s">
        <v>141</v>
      </c>
      <c r="F92" s="3" t="s">
        <v>60</v>
      </c>
      <c r="G92"/>
      <c r="H92" s="3" t="s">
        <v>60</v>
      </c>
      <c r="I92" s="127">
        <v>44277</v>
      </c>
      <c r="J92" s="17" t="s">
        <v>142</v>
      </c>
      <c r="K92" s="17" t="s">
        <v>235</v>
      </c>
      <c r="L92" s="17"/>
      <c r="M92" s="17"/>
      <c r="N92" s="17">
        <v>274.7</v>
      </c>
      <c r="O92" s="17">
        <v>198.98</v>
      </c>
      <c r="P92" s="17">
        <v>206.68</v>
      </c>
      <c r="Q92" s="17">
        <v>47.6</v>
      </c>
      <c r="R92" s="17">
        <v>26.84</v>
      </c>
      <c r="S92" s="17"/>
      <c r="T92" s="17"/>
      <c r="U92" s="50">
        <v>60.75</v>
      </c>
      <c r="V92" s="50">
        <v>53.25</v>
      </c>
      <c r="W92" s="50">
        <v>72.42</v>
      </c>
      <c r="X92" s="50">
        <v>89.2</v>
      </c>
      <c r="Y92" s="50">
        <v>42.25</v>
      </c>
      <c r="Z92" s="50">
        <v>101.1</v>
      </c>
      <c r="AA92" s="50">
        <v>83.95</v>
      </c>
      <c r="AB92" s="50">
        <v>78.400000000000006</v>
      </c>
      <c r="AC92" s="50">
        <v>16.48</v>
      </c>
      <c r="AD92" s="50">
        <v>53.03</v>
      </c>
      <c r="AE92" s="17">
        <v>3.56</v>
      </c>
      <c r="AF92" s="17">
        <v>39.72</v>
      </c>
      <c r="AG92" s="17">
        <v>39.06</v>
      </c>
      <c r="AH92" s="17">
        <v>40.909999999999997</v>
      </c>
      <c r="AI92" s="17">
        <v>1.232</v>
      </c>
      <c r="AJ92" s="17">
        <v>54.63</v>
      </c>
      <c r="AK92" s="17"/>
      <c r="AL92" s="17"/>
      <c r="AM92" s="17"/>
      <c r="AN92" s="17">
        <v>117</v>
      </c>
      <c r="AO92" s="17">
        <v>9.15</v>
      </c>
      <c r="AP92" s="17">
        <v>36.86</v>
      </c>
      <c r="AQ92" s="17"/>
      <c r="AR92" s="17">
        <v>43.31</v>
      </c>
      <c r="AS92" s="17"/>
      <c r="AT92" s="3" t="s">
        <v>146</v>
      </c>
      <c r="AU92" s="3"/>
    </row>
    <row r="93" spans="1:47" x14ac:dyDescent="0.2">
      <c r="A93" s="115">
        <v>92.000000000000171</v>
      </c>
      <c r="B93" s="3">
        <v>34</v>
      </c>
      <c r="C93" s="6">
        <v>21.92</v>
      </c>
      <c r="D93" s="129" t="s">
        <v>140</v>
      </c>
      <c r="E93" t="s">
        <v>141</v>
      </c>
      <c r="F93" s="3" t="s">
        <v>61</v>
      </c>
      <c r="G93"/>
      <c r="H93" s="3" t="s">
        <v>61</v>
      </c>
      <c r="I93" s="127">
        <v>44275</v>
      </c>
      <c r="J93" s="17" t="s">
        <v>142</v>
      </c>
      <c r="K93" s="17" t="s">
        <v>235</v>
      </c>
      <c r="L93" s="17"/>
      <c r="M93" s="17"/>
      <c r="N93" s="17">
        <v>241.55</v>
      </c>
      <c r="O93" s="17">
        <v>181.04</v>
      </c>
      <c r="P93" s="17">
        <v>184.48</v>
      </c>
      <c r="Q93" s="17">
        <v>41.9</v>
      </c>
      <c r="R93" s="17">
        <v>27.74</v>
      </c>
      <c r="S93" s="17"/>
      <c r="T93" s="17"/>
      <c r="U93" s="50">
        <v>52.4</v>
      </c>
      <c r="V93" s="50">
        <v>43.77</v>
      </c>
      <c r="W93" s="50">
        <v>62.88</v>
      </c>
      <c r="X93" s="50">
        <v>84.03</v>
      </c>
      <c r="Y93" s="50">
        <v>34.9</v>
      </c>
      <c r="Z93" s="50">
        <v>89.67</v>
      </c>
      <c r="AA93" s="50">
        <v>77.28</v>
      </c>
      <c r="AB93" s="50">
        <v>64.91</v>
      </c>
      <c r="AC93" s="50">
        <v>11.63</v>
      </c>
      <c r="AD93" s="50">
        <v>54.76</v>
      </c>
      <c r="AE93" s="17">
        <v>26.7</v>
      </c>
      <c r="AF93" s="17">
        <v>35.28</v>
      </c>
      <c r="AG93" s="17">
        <v>34.71</v>
      </c>
      <c r="AH93" s="17">
        <v>35.93</v>
      </c>
      <c r="AI93" s="17">
        <v>1.2150000000000001</v>
      </c>
      <c r="AJ93" s="54"/>
      <c r="AK93" s="54"/>
      <c r="AL93" s="17"/>
      <c r="AM93" s="17"/>
      <c r="AN93" s="17">
        <v>87</v>
      </c>
      <c r="AO93" s="17">
        <v>9.0500000000000007</v>
      </c>
      <c r="AP93" s="17">
        <v>38.89</v>
      </c>
      <c r="AQ93" s="17"/>
      <c r="AR93" s="17">
        <v>30.49</v>
      </c>
      <c r="AS93" s="17"/>
      <c r="AT93" s="3" t="s">
        <v>146</v>
      </c>
      <c r="AU93" s="3"/>
    </row>
    <row r="94" spans="1:47" x14ac:dyDescent="0.2">
      <c r="A94" s="115">
        <v>92.999999999999972</v>
      </c>
      <c r="B94" s="3">
        <v>45</v>
      </c>
      <c r="C94" s="6">
        <v>21.93</v>
      </c>
      <c r="D94" s="126" t="s">
        <v>168</v>
      </c>
      <c r="E94" t="s">
        <v>169</v>
      </c>
      <c r="F94" s="3" t="s">
        <v>170</v>
      </c>
      <c r="H94" s="3" t="s">
        <v>29</v>
      </c>
      <c r="I94" s="127">
        <v>44276</v>
      </c>
      <c r="J94" s="17" t="s">
        <v>142</v>
      </c>
      <c r="K94" s="17" t="s">
        <v>235</v>
      </c>
      <c r="L94" s="17"/>
      <c r="M94" s="17"/>
      <c r="N94" s="17">
        <v>290.69</v>
      </c>
      <c r="O94" s="17">
        <v>172.81</v>
      </c>
      <c r="P94" s="17">
        <v>10.18</v>
      </c>
      <c r="Q94" s="17">
        <v>33.53</v>
      </c>
      <c r="R94" s="17">
        <v>18.54</v>
      </c>
      <c r="S94" s="17"/>
      <c r="T94" s="17"/>
      <c r="U94" s="50">
        <v>56.41</v>
      </c>
      <c r="V94" s="50">
        <v>51.5</v>
      </c>
      <c r="W94" s="50">
        <v>70.3</v>
      </c>
      <c r="X94" s="50">
        <v>85.98</v>
      </c>
      <c r="Y94" s="50">
        <v>42.26</v>
      </c>
      <c r="Z94" s="50">
        <v>96.69</v>
      </c>
      <c r="AA94" s="50">
        <v>85.58</v>
      </c>
      <c r="AB94" s="50">
        <v>78</v>
      </c>
      <c r="AC94" s="50">
        <v>12.38</v>
      </c>
      <c r="AD94" s="50">
        <v>57.44</v>
      </c>
      <c r="AE94" s="17">
        <v>30.47</v>
      </c>
      <c r="AF94" s="17">
        <v>39.82</v>
      </c>
      <c r="AG94" s="17">
        <v>33.479999999999997</v>
      </c>
      <c r="AH94" s="17">
        <v>36.979999999999997</v>
      </c>
      <c r="AI94" s="17">
        <v>1.4159999999999999</v>
      </c>
      <c r="AJ94" s="17">
        <v>49.53</v>
      </c>
      <c r="AK94" s="17"/>
      <c r="AL94" s="17"/>
      <c r="AM94" s="17">
        <v>53</v>
      </c>
      <c r="AN94" s="17">
        <v>57</v>
      </c>
      <c r="AO94" s="17">
        <v>10.89</v>
      </c>
      <c r="AP94" s="17">
        <v>60.03</v>
      </c>
      <c r="AQ94" s="17"/>
      <c r="AR94" s="17">
        <v>48</v>
      </c>
      <c r="AS94" s="17"/>
      <c r="AT94" s="3" t="s">
        <v>146</v>
      </c>
      <c r="AU94" s="3"/>
    </row>
    <row r="95" spans="1:47" x14ac:dyDescent="0.2">
      <c r="A95" s="115">
        <v>94.000000000000128</v>
      </c>
      <c r="B95" s="3">
        <v>46</v>
      </c>
      <c r="C95" s="6">
        <v>21.94</v>
      </c>
      <c r="D95" s="126" t="s">
        <v>168</v>
      </c>
      <c r="E95" t="s">
        <v>169</v>
      </c>
      <c r="F95" s="3" t="s">
        <v>170</v>
      </c>
      <c r="H95" s="3" t="s">
        <v>29</v>
      </c>
      <c r="I95" s="127">
        <v>44276</v>
      </c>
      <c r="J95" s="17" t="s">
        <v>142</v>
      </c>
      <c r="K95" s="17" t="s">
        <v>235</v>
      </c>
      <c r="L95" s="17"/>
      <c r="M95" s="17"/>
      <c r="N95" s="17">
        <v>303.58999999999997</v>
      </c>
      <c r="O95" s="17">
        <v>168.89</v>
      </c>
      <c r="P95" s="17">
        <v>177.47</v>
      </c>
      <c r="Q95" s="17">
        <v>33.17</v>
      </c>
      <c r="R95" s="17">
        <v>12.22</v>
      </c>
      <c r="S95" s="17"/>
      <c r="T95" s="17"/>
      <c r="U95" s="50">
        <v>58.86</v>
      </c>
      <c r="V95" s="50">
        <v>53.57</v>
      </c>
      <c r="W95" s="50">
        <v>68.72</v>
      </c>
      <c r="X95" s="50">
        <v>87.02</v>
      </c>
      <c r="Y95" s="50">
        <v>43.2</v>
      </c>
      <c r="Z95" s="50">
        <v>98.72</v>
      </c>
      <c r="AA95" s="50">
        <v>83.37</v>
      </c>
      <c r="AB95" s="50">
        <v>75.42</v>
      </c>
      <c r="AC95" s="50">
        <v>15.46</v>
      </c>
      <c r="AD95" s="50">
        <v>58.75</v>
      </c>
      <c r="AE95" s="17">
        <v>24.71</v>
      </c>
      <c r="AF95" s="17">
        <v>37.29</v>
      </c>
      <c r="AG95" s="17">
        <v>28.33</v>
      </c>
      <c r="AH95" s="17">
        <v>40.869999999999997</v>
      </c>
      <c r="AI95" s="17">
        <v>1.458</v>
      </c>
      <c r="AJ95" s="17">
        <v>48.83</v>
      </c>
      <c r="AK95" s="17"/>
      <c r="AL95" s="17">
        <v>12</v>
      </c>
      <c r="AM95" s="17">
        <v>73</v>
      </c>
      <c r="AN95" s="17"/>
      <c r="AO95" s="17">
        <v>8.73</v>
      </c>
      <c r="AP95" s="17">
        <v>85.89</v>
      </c>
      <c r="AQ95" s="17"/>
      <c r="AR95" s="17">
        <v>53.25</v>
      </c>
      <c r="AS95" s="17"/>
      <c r="AT95" s="3" t="s">
        <v>146</v>
      </c>
      <c r="AU95" s="3"/>
    </row>
    <row r="96" spans="1:47" x14ac:dyDescent="0.2">
      <c r="A96" s="115">
        <v>94.999999999999929</v>
      </c>
      <c r="B96" s="3">
        <v>43</v>
      </c>
      <c r="C96" s="6">
        <v>21.95</v>
      </c>
      <c r="D96" s="126" t="s">
        <v>168</v>
      </c>
      <c r="E96" t="s">
        <v>169</v>
      </c>
      <c r="F96" s="3" t="s">
        <v>170</v>
      </c>
      <c r="H96" s="3" t="s">
        <v>29</v>
      </c>
      <c r="I96" s="127">
        <v>44271</v>
      </c>
      <c r="J96" s="17" t="s">
        <v>142</v>
      </c>
      <c r="K96" s="17" t="s">
        <v>203</v>
      </c>
      <c r="L96" s="17"/>
      <c r="M96" s="17"/>
      <c r="N96" s="17">
        <v>229.77</v>
      </c>
      <c r="O96" s="17">
        <v>169.34</v>
      </c>
      <c r="P96" s="17">
        <v>176.47</v>
      </c>
      <c r="Q96" s="17">
        <v>34.17</v>
      </c>
      <c r="R96" s="17">
        <v>18.170000000000002</v>
      </c>
      <c r="S96" s="17"/>
      <c r="T96" s="17"/>
      <c r="U96" s="50">
        <v>56.38</v>
      </c>
      <c r="V96" s="50">
        <v>51.49</v>
      </c>
      <c r="W96" s="50">
        <v>71.930000000000007</v>
      </c>
      <c r="X96" s="50">
        <v>83.44</v>
      </c>
      <c r="Y96" s="50">
        <v>40.11</v>
      </c>
      <c r="Z96" s="50">
        <v>91.05</v>
      </c>
      <c r="AA96" s="50">
        <v>78.38</v>
      </c>
      <c r="AB96" s="50">
        <v>75.069999999999993</v>
      </c>
      <c r="AC96" s="50">
        <v>17.62</v>
      </c>
      <c r="AD96" s="50">
        <v>50.65</v>
      </c>
      <c r="AE96" s="17">
        <v>27.86</v>
      </c>
      <c r="AF96" s="17">
        <v>40.799999999999997</v>
      </c>
      <c r="AG96" s="17">
        <v>38.39</v>
      </c>
      <c r="AH96" s="17">
        <v>42.46</v>
      </c>
      <c r="AI96" s="17">
        <v>1.83</v>
      </c>
      <c r="AJ96" s="54"/>
      <c r="AK96" s="54"/>
      <c r="AL96" s="17"/>
      <c r="AM96" s="17">
        <v>7</v>
      </c>
      <c r="AN96" s="17"/>
      <c r="AO96" s="17">
        <v>10.220000000000001</v>
      </c>
      <c r="AP96" s="17">
        <v>60</v>
      </c>
      <c r="AQ96" s="17">
        <f>156.58-60</f>
        <v>96.580000000000013</v>
      </c>
      <c r="AR96" s="17">
        <v>51.9</v>
      </c>
      <c r="AS96" s="17"/>
      <c r="AT96" s="3" t="s">
        <v>146</v>
      </c>
      <c r="AU96" s="3"/>
    </row>
    <row r="97" spans="1:47" x14ac:dyDescent="0.2">
      <c r="A97" s="115">
        <v>96.000000000000085</v>
      </c>
      <c r="B97" s="3">
        <v>42</v>
      </c>
      <c r="C97" s="6">
        <v>21.96</v>
      </c>
      <c r="D97" s="126" t="s">
        <v>168</v>
      </c>
      <c r="E97" t="s">
        <v>169</v>
      </c>
      <c r="F97" s="3" t="s">
        <v>170</v>
      </c>
      <c r="H97" s="3" t="s">
        <v>29</v>
      </c>
      <c r="I97" s="127">
        <v>44271</v>
      </c>
      <c r="J97" s="17" t="s">
        <v>142</v>
      </c>
      <c r="K97" s="17" t="s">
        <v>235</v>
      </c>
      <c r="L97" s="17"/>
      <c r="M97" s="17"/>
      <c r="N97" s="17">
        <v>304.60000000000002</v>
      </c>
      <c r="O97" s="17">
        <v>171.55</v>
      </c>
      <c r="P97" s="17">
        <v>181.97</v>
      </c>
      <c r="Q97" s="17">
        <v>33.450000000000003</v>
      </c>
      <c r="R97" s="17">
        <v>18.28</v>
      </c>
      <c r="S97" s="17"/>
      <c r="T97" s="17"/>
      <c r="U97" s="50">
        <v>57.76</v>
      </c>
      <c r="V97" s="50">
        <v>51.29</v>
      </c>
      <c r="W97" s="50">
        <v>68.739999999999995</v>
      </c>
      <c r="X97" s="50">
        <v>84.21</v>
      </c>
      <c r="Y97" s="50">
        <v>39.79</v>
      </c>
      <c r="Z97" s="50">
        <v>98.19</v>
      </c>
      <c r="AA97" s="50">
        <v>87.1</v>
      </c>
      <c r="AB97" s="50">
        <v>76.44</v>
      </c>
      <c r="AC97" s="50">
        <v>13.64</v>
      </c>
      <c r="AD97" s="50">
        <v>58.46</v>
      </c>
      <c r="AE97" s="17">
        <v>31.26</v>
      </c>
      <c r="AF97" s="17">
        <v>36.5</v>
      </c>
      <c r="AG97" s="17">
        <v>32.49</v>
      </c>
      <c r="AH97" s="17">
        <v>40.53</v>
      </c>
      <c r="AI97" s="17">
        <v>1.458</v>
      </c>
      <c r="AJ97" s="17">
        <v>48.88</v>
      </c>
      <c r="AK97" s="17"/>
      <c r="AL97" s="17">
        <v>33</v>
      </c>
      <c r="AM97" s="17">
        <v>84</v>
      </c>
      <c r="AN97" s="17"/>
      <c r="AO97" s="17">
        <v>9.2200000000000006</v>
      </c>
      <c r="AP97" s="17">
        <v>63.08</v>
      </c>
      <c r="AQ97" s="17"/>
      <c r="AR97" s="17">
        <v>53.17</v>
      </c>
      <c r="AS97" s="17"/>
      <c r="AT97" s="3" t="s">
        <v>146</v>
      </c>
      <c r="AU97" s="3"/>
    </row>
    <row r="98" spans="1:47" x14ac:dyDescent="0.2">
      <c r="A98" s="115">
        <v>96.999999999999886</v>
      </c>
      <c r="B98" s="3">
        <v>57</v>
      </c>
      <c r="C98" s="6">
        <v>21.97</v>
      </c>
      <c r="D98" s="126" t="s">
        <v>168</v>
      </c>
      <c r="E98" t="s">
        <v>232</v>
      </c>
      <c r="F98" s="3" t="s">
        <v>251</v>
      </c>
      <c r="G98"/>
      <c r="H98" s="3" t="s">
        <v>498</v>
      </c>
      <c r="I98" s="127">
        <v>44273</v>
      </c>
      <c r="J98" s="17" t="s">
        <v>142</v>
      </c>
      <c r="K98" s="17" t="s">
        <v>235</v>
      </c>
      <c r="L98" s="17"/>
      <c r="M98" s="17"/>
      <c r="N98" s="17">
        <v>266.87</v>
      </c>
      <c r="O98" s="17">
        <v>200.34</v>
      </c>
      <c r="P98" s="17">
        <v>201.59</v>
      </c>
      <c r="Q98" s="17">
        <v>48.39</v>
      </c>
      <c r="R98" s="17">
        <v>26.32</v>
      </c>
      <c r="S98" s="17"/>
      <c r="T98" s="17"/>
      <c r="U98" s="50">
        <v>72.069999999999993</v>
      </c>
      <c r="V98" s="50">
        <v>48.97</v>
      </c>
      <c r="W98" s="50">
        <v>75</v>
      </c>
      <c r="X98" s="50">
        <v>100.58</v>
      </c>
      <c r="Y98" s="50">
        <v>40.549999999999997</v>
      </c>
      <c r="Z98" s="50">
        <v>102.68</v>
      </c>
      <c r="AA98" s="50">
        <v>88.13</v>
      </c>
      <c r="AB98" s="50">
        <v>74.62</v>
      </c>
      <c r="AC98" s="50">
        <v>6.06</v>
      </c>
      <c r="AD98" s="50">
        <v>49.66</v>
      </c>
      <c r="AE98" s="17">
        <v>29.25</v>
      </c>
      <c r="AF98" s="17">
        <v>46.01</v>
      </c>
      <c r="AG98" s="17">
        <v>38.619999999999997</v>
      </c>
      <c r="AH98" s="17">
        <v>50.23</v>
      </c>
      <c r="AI98" s="17">
        <v>1.391</v>
      </c>
      <c r="AJ98" s="17">
        <v>48.99</v>
      </c>
      <c r="AK98" s="17"/>
      <c r="AL98" s="17"/>
      <c r="AM98" s="17">
        <v>18</v>
      </c>
      <c r="AN98" s="17">
        <v>58</v>
      </c>
      <c r="AO98" s="17">
        <v>13.22</v>
      </c>
      <c r="AP98" s="17">
        <v>65.52</v>
      </c>
      <c r="AQ98" s="17"/>
      <c r="AR98" s="17">
        <v>46.98</v>
      </c>
      <c r="AS98" s="17"/>
      <c r="AT98" s="3" t="s">
        <v>146</v>
      </c>
      <c r="AU98" s="3"/>
    </row>
    <row r="99" spans="1:47" x14ac:dyDescent="0.2">
      <c r="A99" s="115">
        <v>98.000000000000043</v>
      </c>
      <c r="B99" s="3">
        <v>53</v>
      </c>
      <c r="C99" s="6">
        <v>21.98</v>
      </c>
      <c r="D99" s="126" t="s">
        <v>168</v>
      </c>
      <c r="E99" t="s">
        <v>232</v>
      </c>
      <c r="F99" s="3" t="s">
        <v>251</v>
      </c>
      <c r="G99" s="3" t="s">
        <v>32</v>
      </c>
      <c r="H99"/>
      <c r="I99" s="127">
        <v>44273</v>
      </c>
      <c r="J99" s="17" t="s">
        <v>142</v>
      </c>
      <c r="K99" s="17" t="s">
        <v>235</v>
      </c>
      <c r="L99" s="17"/>
      <c r="M99" s="17"/>
      <c r="N99" s="17">
        <v>281.82</v>
      </c>
      <c r="O99" s="17">
        <v>195.25</v>
      </c>
      <c r="P99" s="17">
        <v>199.34</v>
      </c>
      <c r="Q99" s="17">
        <v>44.96</v>
      </c>
      <c r="R99" s="17">
        <v>21.68</v>
      </c>
      <c r="S99" s="17"/>
      <c r="T99" s="17"/>
      <c r="U99" s="50">
        <v>68.98</v>
      </c>
      <c r="V99" s="50">
        <v>51.11</v>
      </c>
      <c r="W99" s="50">
        <v>71.64</v>
      </c>
      <c r="X99" s="50">
        <v>103.19</v>
      </c>
      <c r="Y99" s="50">
        <v>43.27</v>
      </c>
      <c r="Z99" s="50">
        <v>105.94</v>
      </c>
      <c r="AA99" s="50">
        <v>89.37</v>
      </c>
      <c r="AB99" s="50">
        <v>79.150000000000006</v>
      </c>
      <c r="AC99" s="50">
        <v>11.55</v>
      </c>
      <c r="AD99" s="50">
        <v>51.42</v>
      </c>
      <c r="AE99" s="17">
        <v>32.1</v>
      </c>
      <c r="AF99" s="17">
        <v>44.84</v>
      </c>
      <c r="AG99" s="17">
        <v>39.1</v>
      </c>
      <c r="AH99" s="17">
        <v>40.78</v>
      </c>
      <c r="AI99" s="17">
        <v>1.2450000000000001</v>
      </c>
      <c r="AJ99" s="17">
        <v>51.64</v>
      </c>
      <c r="AK99" s="17"/>
      <c r="AL99" s="17"/>
      <c r="AM99" s="17">
        <v>24</v>
      </c>
      <c r="AN99" s="17">
        <v>83</v>
      </c>
      <c r="AO99" s="17">
        <v>13.85</v>
      </c>
      <c r="AP99" s="17">
        <v>54.01</v>
      </c>
      <c r="AQ99" s="17"/>
      <c r="AR99" s="17">
        <v>48.23</v>
      </c>
      <c r="AS99" s="17"/>
      <c r="AT99" s="3" t="s">
        <v>146</v>
      </c>
      <c r="AU99" s="3"/>
    </row>
    <row r="100" spans="1:47" x14ac:dyDescent="0.2">
      <c r="A100" s="115">
        <v>98.999999999999844</v>
      </c>
      <c r="B100" s="3">
        <v>44</v>
      </c>
      <c r="C100" s="6">
        <v>21.99</v>
      </c>
      <c r="D100" s="126" t="s">
        <v>168</v>
      </c>
      <c r="E100" t="s">
        <v>232</v>
      </c>
      <c r="F100" s="3" t="s">
        <v>251</v>
      </c>
      <c r="G100" s="3" t="s">
        <v>32</v>
      </c>
      <c r="H100"/>
      <c r="I100" s="127">
        <v>44273</v>
      </c>
      <c r="J100" s="17" t="s">
        <v>142</v>
      </c>
      <c r="K100" s="17" t="s">
        <v>235</v>
      </c>
      <c r="L100" s="17"/>
      <c r="M100" s="17"/>
      <c r="N100" s="17">
        <v>280.61</v>
      </c>
      <c r="O100" s="17">
        <v>184.77</v>
      </c>
      <c r="P100" s="17">
        <v>195.18</v>
      </c>
      <c r="Q100" s="17">
        <v>46.4</v>
      </c>
      <c r="R100" s="17">
        <v>16.77</v>
      </c>
      <c r="S100" s="17"/>
      <c r="T100" s="17"/>
      <c r="U100" s="50">
        <v>73.28</v>
      </c>
      <c r="V100" s="50">
        <v>54.92</v>
      </c>
      <c r="W100" s="50">
        <v>73.78</v>
      </c>
      <c r="X100" s="50">
        <v>102.79</v>
      </c>
      <c r="Y100" s="50">
        <v>40.11</v>
      </c>
      <c r="Z100" s="50">
        <v>105.67</v>
      </c>
      <c r="AA100" s="50">
        <v>90.29</v>
      </c>
      <c r="AB100" s="50">
        <v>78.95</v>
      </c>
      <c r="AC100" s="50">
        <v>2.48</v>
      </c>
      <c r="AD100" s="50">
        <v>50</v>
      </c>
      <c r="AE100" s="17">
        <v>27.31</v>
      </c>
      <c r="AF100" s="17">
        <v>42.78</v>
      </c>
      <c r="AG100" s="17">
        <v>32.24</v>
      </c>
      <c r="AH100" s="17">
        <v>44.66</v>
      </c>
      <c r="AI100" s="17">
        <v>1.1950000000000001</v>
      </c>
      <c r="AJ100" s="17">
        <v>50.79</v>
      </c>
      <c r="AK100" s="17"/>
      <c r="AL100" s="17"/>
      <c r="AM100" s="17">
        <v>33</v>
      </c>
      <c r="AN100" s="17">
        <v>64</v>
      </c>
      <c r="AO100" s="17">
        <v>14.86</v>
      </c>
      <c r="AP100" s="17">
        <v>55.22</v>
      </c>
      <c r="AQ100" s="17"/>
      <c r="AR100" s="17">
        <v>47.86</v>
      </c>
      <c r="AS100" s="17"/>
      <c r="AT100" s="3" t="s">
        <v>146</v>
      </c>
      <c r="AU100" s="3"/>
    </row>
    <row r="101" spans="1:47" x14ac:dyDescent="0.2">
      <c r="A101" s="115">
        <v>100.00000000000142</v>
      </c>
      <c r="B101" s="3">
        <v>46</v>
      </c>
      <c r="C101" s="2" t="s">
        <v>49</v>
      </c>
      <c r="D101" s="129" t="s">
        <v>140</v>
      </c>
      <c r="E101" t="s">
        <v>141</v>
      </c>
      <c r="F101" s="3" t="s">
        <v>60</v>
      </c>
      <c r="G101"/>
      <c r="H101" s="3" t="s">
        <v>60</v>
      </c>
      <c r="I101" s="127">
        <v>44279</v>
      </c>
      <c r="J101" s="17" t="s">
        <v>142</v>
      </c>
      <c r="K101" s="17" t="s">
        <v>235</v>
      </c>
      <c r="L101" s="17"/>
      <c r="M101" s="17"/>
      <c r="N101" s="17">
        <v>272.17</v>
      </c>
      <c r="O101" s="17">
        <v>161.1</v>
      </c>
      <c r="P101" s="17">
        <v>172.51</v>
      </c>
      <c r="Q101" s="17">
        <v>34.15</v>
      </c>
      <c r="R101" s="17">
        <v>21.46</v>
      </c>
      <c r="S101" s="17"/>
      <c r="T101" s="17"/>
      <c r="U101" s="50">
        <v>64.31</v>
      </c>
      <c r="V101" s="50">
        <v>47.53</v>
      </c>
      <c r="W101" s="50">
        <v>70.12</v>
      </c>
      <c r="X101" s="50">
        <v>91.19</v>
      </c>
      <c r="Y101" s="50">
        <v>36.92</v>
      </c>
      <c r="Z101" s="50">
        <v>96.51</v>
      </c>
      <c r="AA101" s="50">
        <v>81.59</v>
      </c>
      <c r="AB101" s="50">
        <v>73.03</v>
      </c>
      <c r="AC101" s="50">
        <v>3.32</v>
      </c>
      <c r="AD101" s="50">
        <v>54.37</v>
      </c>
      <c r="AE101" s="17">
        <v>25.2</v>
      </c>
      <c r="AF101" s="17">
        <v>37.549999999999997</v>
      </c>
      <c r="AG101" s="17">
        <v>25.92</v>
      </c>
      <c r="AH101" s="17">
        <v>43.58</v>
      </c>
      <c r="AI101" s="17">
        <v>1.734</v>
      </c>
      <c r="AJ101" s="17">
        <v>53.01</v>
      </c>
      <c r="AK101" s="17"/>
      <c r="AL101" s="17"/>
      <c r="AM101" s="17"/>
      <c r="AN101" s="17">
        <v>85</v>
      </c>
      <c r="AO101" s="17">
        <v>7</v>
      </c>
      <c r="AP101" s="17">
        <v>54.6</v>
      </c>
      <c r="AQ101" s="17"/>
      <c r="AR101" s="17">
        <v>51.63</v>
      </c>
      <c r="AS101" s="17"/>
      <c r="AT101" s="3" t="s">
        <v>146</v>
      </c>
      <c r="AU101" s="3"/>
    </row>
    <row r="102" spans="1:47" x14ac:dyDescent="0.2">
      <c r="A102" s="115">
        <v>100.99999999999909</v>
      </c>
      <c r="B102" s="3" t="s">
        <v>501</v>
      </c>
      <c r="C102" s="4">
        <v>21.100999999999999</v>
      </c>
      <c r="D102" s="132" t="s">
        <v>223</v>
      </c>
      <c r="E102" t="s">
        <v>223</v>
      </c>
      <c r="F102" s="3" t="s">
        <v>73</v>
      </c>
      <c r="G102" s="3" t="s">
        <v>73</v>
      </c>
      <c r="H102"/>
      <c r="I102" s="82">
        <v>44265</v>
      </c>
      <c r="J102" s="17" t="s">
        <v>142</v>
      </c>
      <c r="K102" s="17" t="s">
        <v>235</v>
      </c>
      <c r="L102" s="17"/>
      <c r="M102" s="17"/>
      <c r="N102" s="17">
        <v>275.27999999999997</v>
      </c>
      <c r="O102" s="17">
        <v>161.36000000000001</v>
      </c>
      <c r="P102" s="17">
        <v>157.15</v>
      </c>
      <c r="Q102" s="17">
        <v>31.14</v>
      </c>
      <c r="R102" s="17">
        <v>13.27</v>
      </c>
      <c r="S102" s="17"/>
      <c r="T102" s="17"/>
      <c r="U102" s="50">
        <v>72.59</v>
      </c>
      <c r="V102" s="50">
        <v>52.11</v>
      </c>
      <c r="W102" s="50">
        <v>75.83</v>
      </c>
      <c r="X102" s="50">
        <v>90.19</v>
      </c>
      <c r="Y102" s="50">
        <v>35.04</v>
      </c>
      <c r="Z102" s="50">
        <v>104.08</v>
      </c>
      <c r="AA102" s="50">
        <v>81.48</v>
      </c>
      <c r="AB102" s="50">
        <v>79.569999999999993</v>
      </c>
      <c r="AC102" s="50">
        <v>26.62</v>
      </c>
      <c r="AD102" s="50">
        <v>56.67</v>
      </c>
      <c r="AE102" s="17">
        <v>21.56</v>
      </c>
      <c r="AF102" s="17">
        <v>31.6</v>
      </c>
      <c r="AG102" s="17">
        <v>23.58</v>
      </c>
      <c r="AH102" s="17">
        <v>31.2</v>
      </c>
      <c r="AI102" s="17">
        <v>1.4910000000000001</v>
      </c>
      <c r="AJ102" s="17">
        <v>43.09</v>
      </c>
      <c r="AK102" s="17"/>
      <c r="AL102" s="17"/>
      <c r="AM102" s="17"/>
      <c r="AN102" s="17">
        <v>114</v>
      </c>
      <c r="AO102" s="17">
        <v>10.15</v>
      </c>
      <c r="AP102" s="17">
        <v>36.5</v>
      </c>
      <c r="AQ102" s="17"/>
      <c r="AR102" s="17">
        <v>51.93</v>
      </c>
      <c r="AS102" s="17">
        <v>20.399999999999999</v>
      </c>
      <c r="AT102" s="3" t="s">
        <v>146</v>
      </c>
      <c r="AU102" s="3"/>
    </row>
    <row r="103" spans="1:47" x14ac:dyDescent="0.2">
      <c r="A103" s="115">
        <v>102.00000000000031</v>
      </c>
      <c r="B103" s="3" t="s">
        <v>502</v>
      </c>
      <c r="C103" s="4">
        <v>21.102</v>
      </c>
      <c r="D103" s="132" t="s">
        <v>223</v>
      </c>
      <c r="E103" t="s">
        <v>223</v>
      </c>
      <c r="F103" s="3" t="s">
        <v>73</v>
      </c>
      <c r="G103" s="3" t="s">
        <v>73</v>
      </c>
      <c r="H103"/>
      <c r="I103" s="82">
        <v>44265</v>
      </c>
      <c r="J103" s="17" t="s">
        <v>142</v>
      </c>
      <c r="K103" s="17" t="s">
        <v>235</v>
      </c>
      <c r="L103" s="17"/>
      <c r="M103" s="17"/>
      <c r="N103" s="17">
        <v>253.36</v>
      </c>
      <c r="O103" s="17">
        <v>162.94999999999999</v>
      </c>
      <c r="P103" s="17">
        <v>157.87</v>
      </c>
      <c r="Q103" s="17">
        <v>33.76</v>
      </c>
      <c r="R103" s="17">
        <v>13.09</v>
      </c>
      <c r="S103" s="17"/>
      <c r="T103" s="17"/>
      <c r="U103" s="50">
        <v>75.400000000000006</v>
      </c>
      <c r="V103" s="50">
        <v>54.54</v>
      </c>
      <c r="W103" s="50">
        <v>78.23</v>
      </c>
      <c r="X103" s="50">
        <v>91.3</v>
      </c>
      <c r="Y103" s="50">
        <v>41.39</v>
      </c>
      <c r="Z103" s="50">
        <v>97.51</v>
      </c>
      <c r="AA103" s="50">
        <v>76.64</v>
      </c>
      <c r="AB103" s="50">
        <v>77.86</v>
      </c>
      <c r="AC103" s="50">
        <v>29.47</v>
      </c>
      <c r="AD103" s="50">
        <v>55.28</v>
      </c>
      <c r="AE103" s="17">
        <v>27.87</v>
      </c>
      <c r="AF103" s="17">
        <v>28.57</v>
      </c>
      <c r="AG103" s="17">
        <v>24.76</v>
      </c>
      <c r="AH103" s="17">
        <v>28.67</v>
      </c>
      <c r="AI103" s="17">
        <v>1.494</v>
      </c>
      <c r="AJ103" s="17">
        <v>45.27</v>
      </c>
      <c r="AK103" s="17"/>
      <c r="AL103" s="17">
        <v>29</v>
      </c>
      <c r="AM103" s="17">
        <v>63</v>
      </c>
      <c r="AN103" s="17"/>
      <c r="AO103" s="17">
        <v>8.5</v>
      </c>
      <c r="AP103" s="17">
        <v>36.619999999999997</v>
      </c>
      <c r="AQ103" s="17"/>
      <c r="AR103" s="17">
        <v>52.78</v>
      </c>
      <c r="AS103" s="17"/>
      <c r="AT103" s="3" t="s">
        <v>146</v>
      </c>
      <c r="AU103" s="3"/>
    </row>
    <row r="104" spans="1:47" x14ac:dyDescent="0.2">
      <c r="A104" s="115">
        <v>103.00000000000153</v>
      </c>
      <c r="B104" s="3" t="s">
        <v>503</v>
      </c>
      <c r="C104" s="4">
        <v>21.103000000000002</v>
      </c>
      <c r="D104" s="132" t="s">
        <v>223</v>
      </c>
      <c r="E104" t="s">
        <v>223</v>
      </c>
      <c r="F104" s="3" t="s">
        <v>73</v>
      </c>
      <c r="G104" s="3" t="s">
        <v>73</v>
      </c>
      <c r="H104"/>
      <c r="I104" s="82">
        <v>44257</v>
      </c>
      <c r="J104" s="17" t="s">
        <v>142</v>
      </c>
      <c r="K104" s="17" t="s">
        <v>235</v>
      </c>
      <c r="L104" s="17"/>
      <c r="M104" s="17"/>
      <c r="N104" s="17">
        <v>260.83999999999997</v>
      </c>
      <c r="O104" s="17">
        <v>161.69999999999999</v>
      </c>
      <c r="P104" s="17">
        <v>160.81</v>
      </c>
      <c r="Q104" s="17">
        <v>31.9</v>
      </c>
      <c r="R104" s="17">
        <v>10.7</v>
      </c>
      <c r="S104" s="17"/>
      <c r="T104" s="17"/>
      <c r="U104" s="50">
        <v>78.03</v>
      </c>
      <c r="V104" s="50">
        <v>56.16</v>
      </c>
      <c r="W104" s="50">
        <v>78.849999999999994</v>
      </c>
      <c r="X104" s="50">
        <v>94.4</v>
      </c>
      <c r="Y104" s="50">
        <v>42.01</v>
      </c>
      <c r="Z104" s="50">
        <v>96.87</v>
      </c>
      <c r="AA104" s="50">
        <v>77.92</v>
      </c>
      <c r="AB104" s="50">
        <v>79.48</v>
      </c>
      <c r="AC104" s="50">
        <v>28.5</v>
      </c>
      <c r="AD104" s="50">
        <v>55.82</v>
      </c>
      <c r="AE104" s="17">
        <v>24.84</v>
      </c>
      <c r="AF104" s="17">
        <v>28.44</v>
      </c>
      <c r="AG104" s="17">
        <v>27.4</v>
      </c>
      <c r="AH104" s="17">
        <v>29.39</v>
      </c>
      <c r="AI104" s="17">
        <v>1.5920000000000001</v>
      </c>
      <c r="AJ104" s="17">
        <v>42.83</v>
      </c>
      <c r="AK104" s="17"/>
      <c r="AL104" s="17"/>
      <c r="AM104" s="17"/>
      <c r="AN104" s="17">
        <v>118</v>
      </c>
      <c r="AO104" s="17">
        <v>8.4</v>
      </c>
      <c r="AP104" s="17">
        <v>30.06</v>
      </c>
      <c r="AQ104" s="17"/>
      <c r="AR104" s="17">
        <v>58.03</v>
      </c>
      <c r="AS104" s="17">
        <v>22.73</v>
      </c>
      <c r="AT104" s="3" t="s">
        <v>146</v>
      </c>
      <c r="AU104" s="3"/>
    </row>
    <row r="105" spans="1:47" x14ac:dyDescent="0.2">
      <c r="A105" s="115">
        <v>103.9999999999992</v>
      </c>
      <c r="B105" s="3" t="s">
        <v>504</v>
      </c>
      <c r="C105" s="4">
        <v>21.103999999999999</v>
      </c>
      <c r="D105" s="132" t="s">
        <v>223</v>
      </c>
      <c r="E105" t="s">
        <v>223</v>
      </c>
      <c r="F105" s="3" t="s">
        <v>73</v>
      </c>
      <c r="G105" s="3" t="s">
        <v>73</v>
      </c>
      <c r="H105"/>
      <c r="I105" s="82">
        <v>44264</v>
      </c>
      <c r="J105" s="17" t="s">
        <v>142</v>
      </c>
      <c r="K105" s="17" t="s">
        <v>235</v>
      </c>
      <c r="L105" s="17"/>
      <c r="M105" s="17"/>
      <c r="N105" s="17">
        <v>262.77</v>
      </c>
      <c r="O105" s="17">
        <v>158.66</v>
      </c>
      <c r="P105" s="17">
        <v>153.96</v>
      </c>
      <c r="Q105" s="17">
        <v>30.76</v>
      </c>
      <c r="R105" s="17">
        <v>12.99</v>
      </c>
      <c r="S105" s="17"/>
      <c r="T105" s="17"/>
      <c r="U105" s="50">
        <v>74.09</v>
      </c>
      <c r="V105" s="50">
        <v>52.61</v>
      </c>
      <c r="W105" s="50">
        <v>76.5</v>
      </c>
      <c r="X105" s="50">
        <v>92.01</v>
      </c>
      <c r="Y105" s="50">
        <v>41.97</v>
      </c>
      <c r="Z105" s="50">
        <v>102.16</v>
      </c>
      <c r="AA105" s="50">
        <v>85.12</v>
      </c>
      <c r="AB105" s="50">
        <v>82.21</v>
      </c>
      <c r="AC105" s="50">
        <v>29.5</v>
      </c>
      <c r="AD105" s="50">
        <v>56.28</v>
      </c>
      <c r="AE105" s="17">
        <v>30.24</v>
      </c>
      <c r="AF105" s="17">
        <v>30.14</v>
      </c>
      <c r="AG105" s="17">
        <v>27.98</v>
      </c>
      <c r="AH105" s="17">
        <v>31.21</v>
      </c>
      <c r="AI105" s="17">
        <v>1.5269999999999999</v>
      </c>
      <c r="AJ105" s="17">
        <v>47.51</v>
      </c>
      <c r="AK105" s="17"/>
      <c r="AL105" s="17">
        <v>22</v>
      </c>
      <c r="AM105" s="17">
        <v>78</v>
      </c>
      <c r="AN105" s="17"/>
      <c r="AO105" s="17">
        <v>9</v>
      </c>
      <c r="AP105" s="17">
        <v>34.18</v>
      </c>
      <c r="AQ105" s="17"/>
      <c r="AR105" s="17">
        <v>52.73</v>
      </c>
      <c r="AS105" s="17">
        <v>20.25</v>
      </c>
      <c r="AT105" s="3" t="s">
        <v>146</v>
      </c>
      <c r="AU105" s="3"/>
    </row>
    <row r="106" spans="1:47" x14ac:dyDescent="0.2">
      <c r="A106" s="115">
        <v>105.00000000000043</v>
      </c>
      <c r="B106" s="3" t="s">
        <v>505</v>
      </c>
      <c r="C106" s="4">
        <v>21.105</v>
      </c>
      <c r="D106" s="132" t="s">
        <v>223</v>
      </c>
      <c r="E106" t="s">
        <v>223</v>
      </c>
      <c r="F106" s="3" t="s">
        <v>73</v>
      </c>
      <c r="G106" s="3" t="s">
        <v>73</v>
      </c>
      <c r="H106" s="35"/>
      <c r="I106" s="82">
        <v>44264</v>
      </c>
      <c r="J106" s="17" t="s">
        <v>142</v>
      </c>
      <c r="K106" s="17" t="s">
        <v>235</v>
      </c>
      <c r="L106" s="17"/>
      <c r="M106" s="17"/>
      <c r="N106" s="17">
        <v>280.35000000000002</v>
      </c>
      <c r="O106" s="17">
        <v>167.31</v>
      </c>
      <c r="P106" s="17">
        <v>169.91</v>
      </c>
      <c r="Q106" s="17">
        <v>31.68</v>
      </c>
      <c r="R106" s="17">
        <v>18.89</v>
      </c>
      <c r="S106" s="17"/>
      <c r="T106" s="17"/>
      <c r="U106" s="50">
        <v>72.34</v>
      </c>
      <c r="V106" s="50">
        <v>49.67</v>
      </c>
      <c r="W106" s="50">
        <v>77.06</v>
      </c>
      <c r="X106" s="50">
        <v>92.26</v>
      </c>
      <c r="Y106" s="50">
        <v>40.049999999999997</v>
      </c>
      <c r="Z106" s="50">
        <v>104.32</v>
      </c>
      <c r="AA106" s="50">
        <v>86.63</v>
      </c>
      <c r="AB106" s="50">
        <v>78.44</v>
      </c>
      <c r="AC106" s="50">
        <v>29.06</v>
      </c>
      <c r="AD106" s="50">
        <v>56.89</v>
      </c>
      <c r="AE106" s="17">
        <v>30.51</v>
      </c>
      <c r="AF106" s="17">
        <v>31.44</v>
      </c>
      <c r="AG106" s="17">
        <v>28.34</v>
      </c>
      <c r="AH106" s="17">
        <v>31.94</v>
      </c>
      <c r="AI106" s="17">
        <v>1.54</v>
      </c>
      <c r="AJ106" s="17">
        <v>46.32</v>
      </c>
      <c r="AK106" s="17"/>
      <c r="AL106" s="17"/>
      <c r="AM106" s="17">
        <v>48</v>
      </c>
      <c r="AN106" s="17">
        <v>78</v>
      </c>
      <c r="AO106" s="17">
        <v>9.1</v>
      </c>
      <c r="AP106" s="17">
        <v>36.44</v>
      </c>
      <c r="AQ106" s="17"/>
      <c r="AR106" s="17">
        <v>56</v>
      </c>
      <c r="AS106" s="17">
        <v>22.25</v>
      </c>
      <c r="AT106" s="3" t="s">
        <v>146</v>
      </c>
      <c r="AU106" s="3"/>
    </row>
    <row r="107" spans="1:47" x14ac:dyDescent="0.2">
      <c r="A107" s="115">
        <v>106.00000000000165</v>
      </c>
      <c r="B107" s="3" t="s">
        <v>506</v>
      </c>
      <c r="C107" s="4">
        <v>21.106000000000002</v>
      </c>
      <c r="D107" s="132" t="s">
        <v>223</v>
      </c>
      <c r="E107" t="s">
        <v>223</v>
      </c>
      <c r="F107" s="3" t="s">
        <v>73</v>
      </c>
      <c r="G107" s="3" t="s">
        <v>73</v>
      </c>
      <c r="I107" s="82">
        <v>44261</v>
      </c>
      <c r="J107" s="17" t="s">
        <v>142</v>
      </c>
      <c r="K107" s="17" t="s">
        <v>235</v>
      </c>
      <c r="L107" s="17"/>
      <c r="M107" s="17"/>
      <c r="N107" s="17">
        <v>248.8</v>
      </c>
      <c r="O107" s="17">
        <v>163.16</v>
      </c>
      <c r="P107" s="17">
        <v>160.74</v>
      </c>
      <c r="Q107" s="17">
        <v>35.729999999999997</v>
      </c>
      <c r="R107" s="17">
        <v>19.309999999999999</v>
      </c>
      <c r="S107" s="17"/>
      <c r="T107" s="17"/>
      <c r="U107" s="50">
        <v>75.33</v>
      </c>
      <c r="V107" s="50">
        <v>54.96</v>
      </c>
      <c r="W107" s="50">
        <v>77.56</v>
      </c>
      <c r="X107" s="50">
        <v>89.87</v>
      </c>
      <c r="Y107" s="50">
        <v>42.51</v>
      </c>
      <c r="Z107" s="50">
        <v>102.16</v>
      </c>
      <c r="AA107" s="50">
        <v>83.45</v>
      </c>
      <c r="AB107" s="50"/>
      <c r="AC107" s="50">
        <v>22.56</v>
      </c>
      <c r="AD107" s="50">
        <v>54.98</v>
      </c>
      <c r="AE107" s="17">
        <v>27.53</v>
      </c>
      <c r="AF107" s="17">
        <v>29.09</v>
      </c>
      <c r="AG107" s="17">
        <v>26.45</v>
      </c>
      <c r="AH107" s="17">
        <v>29.33</v>
      </c>
      <c r="AI107" s="17">
        <v>1.4910000000000001</v>
      </c>
      <c r="AJ107" s="17">
        <v>42.73</v>
      </c>
      <c r="AK107" s="17"/>
      <c r="AL107" s="17"/>
      <c r="AM107" s="17"/>
      <c r="AN107" s="17">
        <v>108</v>
      </c>
      <c r="AO107" s="17">
        <v>9.8000000000000007</v>
      </c>
      <c r="AP107" s="17">
        <v>30.54</v>
      </c>
      <c r="AQ107" s="17"/>
      <c r="AR107" s="17">
        <v>45.55</v>
      </c>
      <c r="AS107" s="17">
        <v>20.04</v>
      </c>
      <c r="AT107" s="3" t="s">
        <v>146</v>
      </c>
      <c r="AU107" s="3"/>
    </row>
    <row r="108" spans="1:47" x14ac:dyDescent="0.2">
      <c r="A108" s="115">
        <v>106.99999999999932</v>
      </c>
      <c r="B108" s="3" t="s">
        <v>507</v>
      </c>
      <c r="C108" s="4">
        <v>21.106999999999999</v>
      </c>
      <c r="D108" s="132" t="s">
        <v>223</v>
      </c>
      <c r="E108" t="s">
        <v>223</v>
      </c>
      <c r="F108" s="3" t="s">
        <v>73</v>
      </c>
      <c r="G108" s="3" t="s">
        <v>73</v>
      </c>
      <c r="I108" s="82">
        <v>44261</v>
      </c>
      <c r="J108" s="17" t="s">
        <v>142</v>
      </c>
      <c r="K108" s="17" t="s">
        <v>235</v>
      </c>
      <c r="L108" s="17"/>
      <c r="M108" s="17"/>
      <c r="N108" s="17">
        <v>255.58</v>
      </c>
      <c r="O108" s="17">
        <v>162.16999999999999</v>
      </c>
      <c r="P108" s="17">
        <v>162.65</v>
      </c>
      <c r="Q108" s="17">
        <v>30.39</v>
      </c>
      <c r="R108" s="17">
        <v>18.579999999999998</v>
      </c>
      <c r="S108" s="17"/>
      <c r="T108" s="17"/>
      <c r="U108" s="50">
        <v>73.28</v>
      </c>
      <c r="V108" s="50">
        <v>52.72</v>
      </c>
      <c r="W108" s="50">
        <v>77.19</v>
      </c>
      <c r="X108" s="50">
        <v>91.47</v>
      </c>
      <c r="Y108" s="50">
        <v>41.22</v>
      </c>
      <c r="Z108" s="50">
        <v>101.46</v>
      </c>
      <c r="AA108" s="50">
        <v>81.5</v>
      </c>
      <c r="AB108" s="50">
        <v>78.569999999999993</v>
      </c>
      <c r="AC108" s="50">
        <v>29.95</v>
      </c>
      <c r="AD108" s="50">
        <v>54.01</v>
      </c>
      <c r="AE108" s="17">
        <v>29.71</v>
      </c>
      <c r="AF108" s="17">
        <v>28.33</v>
      </c>
      <c r="AG108" s="17">
        <v>28.64</v>
      </c>
      <c r="AH108" s="17">
        <v>28.18</v>
      </c>
      <c r="AI108" s="17">
        <v>1.5840000000000001</v>
      </c>
      <c r="AJ108" s="17">
        <v>40.630000000000003</v>
      </c>
      <c r="AK108" s="17"/>
      <c r="AL108" s="17"/>
      <c r="AM108" s="17">
        <v>39</v>
      </c>
      <c r="AN108" s="17">
        <v>76</v>
      </c>
      <c r="AO108" s="17">
        <v>10.3</v>
      </c>
      <c r="AP108" s="17">
        <v>37.21</v>
      </c>
      <c r="AQ108" s="17"/>
      <c r="AR108" s="17">
        <v>54.73</v>
      </c>
      <c r="AS108" s="17">
        <v>21.86</v>
      </c>
      <c r="AT108" s="3" t="s">
        <v>146</v>
      </c>
      <c r="AU108" s="3"/>
    </row>
    <row r="109" spans="1:47" x14ac:dyDescent="0.2">
      <c r="A109" s="115">
        <v>108.00000000000054</v>
      </c>
      <c r="B109" s="3" t="s">
        <v>508</v>
      </c>
      <c r="C109" s="4">
        <v>21.108000000000001</v>
      </c>
      <c r="D109" s="132" t="s">
        <v>223</v>
      </c>
      <c r="E109" t="s">
        <v>223</v>
      </c>
      <c r="F109" s="3" t="s">
        <v>73</v>
      </c>
      <c r="G109" s="3" t="s">
        <v>73</v>
      </c>
      <c r="I109" s="82">
        <v>44282</v>
      </c>
      <c r="J109" s="17" t="s">
        <v>142</v>
      </c>
      <c r="K109" s="17" t="s">
        <v>235</v>
      </c>
      <c r="L109" s="17"/>
      <c r="M109" s="17"/>
      <c r="N109" s="17">
        <v>282.58</v>
      </c>
      <c r="O109" s="17">
        <v>160.76</v>
      </c>
      <c r="P109" s="17">
        <v>159.55000000000001</v>
      </c>
      <c r="Q109" s="17">
        <v>30.18</v>
      </c>
      <c r="R109" s="17">
        <v>13.12</v>
      </c>
      <c r="S109" s="17"/>
      <c r="T109" s="17"/>
      <c r="U109" s="50">
        <v>74.349999999999994</v>
      </c>
      <c r="V109" s="50">
        <v>53.02</v>
      </c>
      <c r="W109" s="50">
        <v>75.900000000000006</v>
      </c>
      <c r="X109" s="50">
        <v>91.12</v>
      </c>
      <c r="Y109" s="50">
        <v>40.72</v>
      </c>
      <c r="Z109" s="50">
        <v>104.59</v>
      </c>
      <c r="AA109" s="50">
        <v>83.2</v>
      </c>
      <c r="AB109" s="50">
        <v>81.010000000000005</v>
      </c>
      <c r="AC109" s="50">
        <v>32.18</v>
      </c>
      <c r="AD109" s="50">
        <v>57.45</v>
      </c>
      <c r="AE109" s="17">
        <v>26.29</v>
      </c>
      <c r="AF109" s="17">
        <v>27.9</v>
      </c>
      <c r="AG109" s="17">
        <v>25.33</v>
      </c>
      <c r="AH109" s="17">
        <v>29.14</v>
      </c>
      <c r="AI109" s="17">
        <v>1.4850000000000001</v>
      </c>
      <c r="AJ109" s="17">
        <v>45.12</v>
      </c>
      <c r="AK109" s="17"/>
      <c r="AL109" s="17">
        <v>26</v>
      </c>
      <c r="AM109" s="17">
        <v>78</v>
      </c>
      <c r="AN109" s="17"/>
      <c r="AO109" s="17">
        <v>8.94</v>
      </c>
      <c r="AP109" s="17">
        <v>55.39</v>
      </c>
      <c r="AQ109" s="17"/>
      <c r="AR109" s="17">
        <v>50.53</v>
      </c>
      <c r="AS109" s="17">
        <v>20.46</v>
      </c>
      <c r="AT109" s="3" t="s">
        <v>146</v>
      </c>
      <c r="AU109" s="3"/>
    </row>
    <row r="110" spans="1:47" x14ac:dyDescent="0.2">
      <c r="A110" s="115">
        <v>109.00000000000176</v>
      </c>
      <c r="C110" s="4">
        <v>21.109000000000002</v>
      </c>
      <c r="D110" s="96" t="s">
        <v>290</v>
      </c>
      <c r="E110" t="s">
        <v>291</v>
      </c>
      <c r="F110" s="3" t="s">
        <v>292</v>
      </c>
      <c r="I110" s="82"/>
      <c r="J110" s="17" t="s">
        <v>142</v>
      </c>
      <c r="K110" s="17" t="s">
        <v>235</v>
      </c>
      <c r="L110" s="17"/>
      <c r="M110" s="17"/>
      <c r="N110" s="17">
        <v>285.89</v>
      </c>
      <c r="O110" s="17">
        <v>173.22</v>
      </c>
      <c r="P110" s="17">
        <v>188.36</v>
      </c>
      <c r="Q110" s="17">
        <v>40.409999999999997</v>
      </c>
      <c r="R110" s="17">
        <v>20.53</v>
      </c>
      <c r="S110" s="17"/>
      <c r="T110" s="17"/>
      <c r="U110" s="50">
        <v>64.599999999999994</v>
      </c>
      <c r="V110" s="50">
        <v>47.03</v>
      </c>
      <c r="W110" s="50">
        <v>67.92</v>
      </c>
      <c r="X110" s="50">
        <v>89.35</v>
      </c>
      <c r="Y110" s="50">
        <v>37.340000000000003</v>
      </c>
      <c r="Z110" s="50">
        <v>102.16</v>
      </c>
      <c r="AA110" s="50">
        <v>88.64</v>
      </c>
      <c r="AB110" s="50">
        <v>81.53</v>
      </c>
      <c r="AC110" s="50">
        <v>5.05</v>
      </c>
      <c r="AD110" s="50">
        <v>58.74</v>
      </c>
      <c r="AE110" s="17">
        <v>31.29</v>
      </c>
      <c r="AF110" s="17">
        <v>40.380000000000003</v>
      </c>
      <c r="AG110" s="17">
        <v>40.369999999999997</v>
      </c>
      <c r="AH110" s="17">
        <v>42.61</v>
      </c>
      <c r="AI110" s="17">
        <v>1.27</v>
      </c>
      <c r="AJ110" s="17">
        <v>45.01</v>
      </c>
      <c r="AK110" s="17"/>
      <c r="AL110" s="17"/>
      <c r="AM110" s="17"/>
      <c r="AN110" s="17">
        <v>137</v>
      </c>
      <c r="AO110" s="17">
        <v>10.28</v>
      </c>
      <c r="AP110" s="17">
        <v>35.28</v>
      </c>
      <c r="AQ110" s="17"/>
      <c r="AR110" s="17">
        <v>43.28</v>
      </c>
      <c r="AS110" s="17"/>
      <c r="AT110" s="3" t="s">
        <v>146</v>
      </c>
      <c r="AU110" s="3"/>
    </row>
    <row r="111" spans="1:47" x14ac:dyDescent="0.2">
      <c r="A111" s="115">
        <v>109.99999999999943</v>
      </c>
      <c r="C111" s="2" t="s">
        <v>93</v>
      </c>
      <c r="D111" s="96" t="s">
        <v>290</v>
      </c>
      <c r="E111" t="s">
        <v>291</v>
      </c>
      <c r="F111" s="3" t="s">
        <v>292</v>
      </c>
      <c r="I111" s="82"/>
      <c r="J111" s="17" t="s">
        <v>142</v>
      </c>
      <c r="K111" s="17" t="s">
        <v>235</v>
      </c>
      <c r="L111" s="17"/>
      <c r="M111" s="17"/>
      <c r="N111" s="17">
        <v>285.75</v>
      </c>
      <c r="O111" s="17">
        <v>176.03</v>
      </c>
      <c r="P111" s="17">
        <v>185.69</v>
      </c>
      <c r="Q111" s="17">
        <v>41.45</v>
      </c>
      <c r="R111" s="17">
        <v>16.899999999999999</v>
      </c>
      <c r="S111" s="17"/>
      <c r="T111" s="17"/>
      <c r="U111" s="50">
        <v>65.430000000000007</v>
      </c>
      <c r="V111" s="50">
        <v>44.53</v>
      </c>
      <c r="W111" s="50">
        <v>67.03</v>
      </c>
      <c r="X111" s="50">
        <v>86.31</v>
      </c>
      <c r="Y111" s="50">
        <v>37.06</v>
      </c>
      <c r="Z111" s="50">
        <v>101.13</v>
      </c>
      <c r="AA111" s="50">
        <v>83.88</v>
      </c>
      <c r="AB111" s="50">
        <v>80.89</v>
      </c>
      <c r="AC111" s="50">
        <v>15.66</v>
      </c>
      <c r="AD111" s="50">
        <v>57.12</v>
      </c>
      <c r="AE111" s="17">
        <v>32.76</v>
      </c>
      <c r="AF111" s="17">
        <v>43.18</v>
      </c>
      <c r="AG111" s="17">
        <v>36.25</v>
      </c>
      <c r="AH111" s="17">
        <v>42.06</v>
      </c>
      <c r="AI111" s="17">
        <v>1.3140000000000001</v>
      </c>
      <c r="AJ111" s="17">
        <v>39.82</v>
      </c>
      <c r="AK111" s="17"/>
      <c r="AL111" s="17"/>
      <c r="AM111" s="17"/>
      <c r="AN111" s="17">
        <v>140</v>
      </c>
      <c r="AO111" s="17">
        <v>9.91</v>
      </c>
      <c r="AP111" s="17">
        <v>37.36</v>
      </c>
      <c r="AQ111" s="17"/>
      <c r="AR111" s="17">
        <v>44.47</v>
      </c>
      <c r="AS111" s="17"/>
      <c r="AT111" s="3" t="s">
        <v>146</v>
      </c>
      <c r="AU111" s="3"/>
    </row>
    <row r="112" spans="1:47" x14ac:dyDescent="0.2">
      <c r="A112" s="115">
        <v>111.00000000000065</v>
      </c>
      <c r="B112" s="3" t="s">
        <v>507</v>
      </c>
      <c r="C112" s="4">
        <v>21.111000000000001</v>
      </c>
      <c r="D112" s="132" t="s">
        <v>223</v>
      </c>
      <c r="E112" t="s">
        <v>223</v>
      </c>
      <c r="F112" s="3" t="s">
        <v>73</v>
      </c>
      <c r="G112" s="3" t="s">
        <v>73</v>
      </c>
      <c r="I112" s="82">
        <v>44282</v>
      </c>
      <c r="J112" s="17" t="s">
        <v>142</v>
      </c>
      <c r="K112" s="17" t="s">
        <v>235</v>
      </c>
      <c r="L112" s="17"/>
      <c r="M112" s="17"/>
      <c r="N112" s="17">
        <v>265.33</v>
      </c>
      <c r="O112" s="17">
        <v>167.53</v>
      </c>
      <c r="P112" s="17">
        <v>165.68</v>
      </c>
      <c r="Q112" s="17">
        <v>33.01</v>
      </c>
      <c r="R112" s="17">
        <v>21.04</v>
      </c>
      <c r="S112" s="17"/>
      <c r="T112" s="17"/>
      <c r="U112" s="50">
        <v>73.48</v>
      </c>
      <c r="V112" s="50">
        <v>52.08</v>
      </c>
      <c r="W112" s="50">
        <v>75.72</v>
      </c>
      <c r="X112" s="50">
        <v>91.59</v>
      </c>
      <c r="Y112" s="50">
        <v>39.61</v>
      </c>
      <c r="Z112" s="50">
        <v>103.26</v>
      </c>
      <c r="AA112" s="50">
        <v>84.84</v>
      </c>
      <c r="AB112" s="50">
        <v>78.05</v>
      </c>
      <c r="AC112" s="50">
        <v>29.45</v>
      </c>
      <c r="AD112" s="50">
        <v>56.31</v>
      </c>
      <c r="AE112" s="17">
        <v>21.18</v>
      </c>
      <c r="AF112" s="17">
        <v>34.700000000000003</v>
      </c>
      <c r="AG112" s="17">
        <v>35.299999999999997</v>
      </c>
      <c r="AH112" s="17">
        <v>33.799999999999997</v>
      </c>
      <c r="AI112" s="17">
        <v>1.4510000000000001</v>
      </c>
      <c r="AJ112" s="17">
        <v>47.58</v>
      </c>
      <c r="AK112" s="17"/>
      <c r="AL112" s="17"/>
      <c r="AM112" s="17">
        <v>50</v>
      </c>
      <c r="AN112" s="17">
        <v>50</v>
      </c>
      <c r="AO112" s="17">
        <v>9.4600000000000009</v>
      </c>
      <c r="AP112" s="17">
        <v>43.66</v>
      </c>
      <c r="AQ112" s="17"/>
      <c r="AR112" s="17">
        <v>49.83</v>
      </c>
      <c r="AS112" s="17"/>
      <c r="AT112" s="3" t="s">
        <v>146</v>
      </c>
      <c r="AU112" s="3"/>
    </row>
    <row r="113" spans="1:47" x14ac:dyDescent="0.2">
      <c r="A113" s="115">
        <v>111.99999999999832</v>
      </c>
      <c r="B113" s="3" t="s">
        <v>506</v>
      </c>
      <c r="C113" s="4">
        <v>21.111999999999998</v>
      </c>
      <c r="D113" s="132" t="s">
        <v>223</v>
      </c>
      <c r="E113" t="s">
        <v>223</v>
      </c>
      <c r="F113" s="3" t="s">
        <v>73</v>
      </c>
      <c r="G113" s="3" t="s">
        <v>73</v>
      </c>
      <c r="H113" s="35"/>
      <c r="I113" s="82">
        <v>44282</v>
      </c>
      <c r="J113" s="17" t="s">
        <v>142</v>
      </c>
      <c r="K113" s="17" t="s">
        <v>235</v>
      </c>
      <c r="L113" s="17"/>
      <c r="M113" s="17"/>
      <c r="N113" s="17">
        <v>269.70999999999998</v>
      </c>
      <c r="O113" s="17">
        <v>165.93</v>
      </c>
      <c r="P113" s="17">
        <v>167.79</v>
      </c>
      <c r="Q113" s="17">
        <v>34.24</v>
      </c>
      <c r="R113" s="17">
        <v>15.22</v>
      </c>
      <c r="S113" s="17"/>
      <c r="T113" s="17"/>
      <c r="U113" s="50">
        <v>74.489999999999995</v>
      </c>
      <c r="V113" s="50">
        <v>53.4</v>
      </c>
      <c r="W113" s="50">
        <v>77.11</v>
      </c>
      <c r="X113" s="50">
        <v>91.45</v>
      </c>
      <c r="Y113" s="50">
        <v>40.42</v>
      </c>
      <c r="Z113" s="50">
        <v>103.31</v>
      </c>
      <c r="AA113" s="50">
        <v>83.72</v>
      </c>
      <c r="AB113" s="50">
        <v>79.459999999999994</v>
      </c>
      <c r="AC113" s="50">
        <v>28.1</v>
      </c>
      <c r="AD113" s="50">
        <v>54.96</v>
      </c>
      <c r="AE113" s="17">
        <v>28.7</v>
      </c>
      <c r="AF113" s="17">
        <v>37.22</v>
      </c>
      <c r="AG113" s="17">
        <v>32.270000000000003</v>
      </c>
      <c r="AH113" s="17">
        <v>34.17</v>
      </c>
      <c r="AI113" s="17">
        <v>1.698</v>
      </c>
      <c r="AJ113" s="17">
        <v>44.67</v>
      </c>
      <c r="AK113" s="17"/>
      <c r="AL113" s="17">
        <v>17</v>
      </c>
      <c r="AM113" s="17">
        <v>67</v>
      </c>
      <c r="AN113" s="17"/>
      <c r="AO113" s="17">
        <v>9.9</v>
      </c>
      <c r="AP113" s="17">
        <v>35.06</v>
      </c>
      <c r="AQ113" s="17"/>
      <c r="AR113" s="17">
        <v>56.79</v>
      </c>
      <c r="AS113" s="17"/>
      <c r="AT113" s="3" t="s">
        <v>146</v>
      </c>
      <c r="AU113" s="3"/>
    </row>
    <row r="114" spans="1:47" x14ac:dyDescent="0.2">
      <c r="A114" s="115">
        <v>112.99999999999955</v>
      </c>
      <c r="B114" s="3" t="s">
        <v>509</v>
      </c>
      <c r="C114" s="4">
        <v>21.113</v>
      </c>
      <c r="D114" s="132" t="s">
        <v>223</v>
      </c>
      <c r="E114" t="s">
        <v>223</v>
      </c>
      <c r="F114" s="3" t="s">
        <v>73</v>
      </c>
      <c r="G114" s="3" t="s">
        <v>73</v>
      </c>
      <c r="H114" s="35"/>
      <c r="I114" s="82">
        <v>44282</v>
      </c>
      <c r="J114" s="17" t="s">
        <v>142</v>
      </c>
      <c r="K114" s="17" t="s">
        <v>235</v>
      </c>
      <c r="L114" s="17"/>
      <c r="M114" s="17"/>
      <c r="N114" s="17">
        <v>265.35000000000002</v>
      </c>
      <c r="O114" s="17">
        <v>163.72</v>
      </c>
      <c r="P114" s="17">
        <v>161.94999999999999</v>
      </c>
      <c r="Q114" s="17">
        <v>34.11</v>
      </c>
      <c r="R114" s="17">
        <v>18.600000000000001</v>
      </c>
      <c r="S114" s="17"/>
      <c r="T114" s="17"/>
      <c r="U114" s="50">
        <v>73.180000000000007</v>
      </c>
      <c r="V114" s="50">
        <v>53.65</v>
      </c>
      <c r="W114" s="50">
        <v>75.34</v>
      </c>
      <c r="X114" s="50">
        <v>90.29</v>
      </c>
      <c r="Y114" s="50">
        <v>39.74</v>
      </c>
      <c r="Z114" s="50">
        <v>100.84</v>
      </c>
      <c r="AA114" s="50">
        <v>81.3</v>
      </c>
      <c r="AB114" s="50">
        <v>79.59</v>
      </c>
      <c r="AC114" s="50">
        <v>20.25</v>
      </c>
      <c r="AD114" s="50">
        <v>56.6</v>
      </c>
      <c r="AE114" s="17">
        <v>27.27</v>
      </c>
      <c r="AF114" s="17">
        <v>37.01</v>
      </c>
      <c r="AG114" s="17">
        <v>31.41</v>
      </c>
      <c r="AH114" s="17">
        <v>29.7</v>
      </c>
      <c r="AI114" s="17">
        <v>1.4850000000000001</v>
      </c>
      <c r="AJ114" s="17">
        <v>46.93</v>
      </c>
      <c r="AK114" s="17"/>
      <c r="AL114" s="17"/>
      <c r="AM114" s="17">
        <v>62</v>
      </c>
      <c r="AN114" s="17">
        <v>53</v>
      </c>
      <c r="AO114" s="17">
        <v>10.92</v>
      </c>
      <c r="AP114" s="17">
        <v>32.86</v>
      </c>
      <c r="AQ114" s="17"/>
      <c r="AR114" s="17">
        <v>49.9</v>
      </c>
      <c r="AS114" s="17"/>
      <c r="AT114" s="3" t="s">
        <v>146</v>
      </c>
      <c r="AU114" s="3"/>
    </row>
    <row r="115" spans="1:47" x14ac:dyDescent="0.2">
      <c r="A115" s="115">
        <v>114.00000000000077</v>
      </c>
      <c r="B115" s="3" t="s">
        <v>510</v>
      </c>
      <c r="C115" s="4">
        <v>21.114000000000001</v>
      </c>
      <c r="D115" s="132" t="s">
        <v>223</v>
      </c>
      <c r="E115" t="s">
        <v>223</v>
      </c>
      <c r="F115" s="3" t="s">
        <v>73</v>
      </c>
      <c r="G115" s="3" t="s">
        <v>73</v>
      </c>
      <c r="I115" s="82">
        <v>44282</v>
      </c>
      <c r="J115" s="17" t="s">
        <v>142</v>
      </c>
      <c r="K115" s="17" t="s">
        <v>235</v>
      </c>
      <c r="L115" s="17"/>
      <c r="M115" s="17"/>
      <c r="N115" s="17">
        <v>286.22000000000003</v>
      </c>
      <c r="O115" s="17">
        <v>162.96</v>
      </c>
      <c r="P115" s="17">
        <v>162.94</v>
      </c>
      <c r="Q115" s="17">
        <v>30.03</v>
      </c>
      <c r="R115" s="17">
        <v>15.71</v>
      </c>
      <c r="S115" s="17"/>
      <c r="T115" s="17"/>
      <c r="U115" s="50">
        <v>71.959999999999994</v>
      </c>
      <c r="V115" s="50">
        <v>50.58</v>
      </c>
      <c r="W115" s="50">
        <v>75.5</v>
      </c>
      <c r="X115" s="50">
        <v>92.41</v>
      </c>
      <c r="Y115" s="50">
        <v>42.45</v>
      </c>
      <c r="Z115" s="50">
        <v>105.79</v>
      </c>
      <c r="AA115" s="50">
        <v>86.57</v>
      </c>
      <c r="AB115" s="50">
        <v>76.94</v>
      </c>
      <c r="AC115" s="50">
        <v>32.51</v>
      </c>
      <c r="AD115" s="50">
        <v>57.84</v>
      </c>
      <c r="AE115" s="17">
        <v>27.51</v>
      </c>
      <c r="AF115" s="17">
        <v>30.59</v>
      </c>
      <c r="AG115" s="17">
        <v>30.74</v>
      </c>
      <c r="AH115" s="17">
        <v>28.67</v>
      </c>
      <c r="AI115" s="17">
        <v>1.54</v>
      </c>
      <c r="AJ115" s="17">
        <v>46.39</v>
      </c>
      <c r="AK115" s="17"/>
      <c r="AL115" s="17">
        <v>30</v>
      </c>
      <c r="AM115" s="17">
        <v>103</v>
      </c>
      <c r="AN115" s="17">
        <v>0</v>
      </c>
      <c r="AO115" s="17">
        <v>9.66</v>
      </c>
      <c r="AP115" s="17">
        <v>36.409999999999997</v>
      </c>
      <c r="AQ115" s="17"/>
      <c r="AR115" s="17">
        <v>50.38</v>
      </c>
      <c r="AS115" s="17"/>
      <c r="AT115" s="3" t="s">
        <v>146</v>
      </c>
      <c r="AU115" s="3"/>
    </row>
    <row r="116" spans="1:47" x14ac:dyDescent="0.2">
      <c r="A116" s="115">
        <v>114.99999999999844</v>
      </c>
      <c r="B116" s="3" t="s">
        <v>511</v>
      </c>
      <c r="C116" s="4">
        <v>21.114999999999998</v>
      </c>
      <c r="D116" s="132" t="s">
        <v>223</v>
      </c>
      <c r="E116" t="s">
        <v>223</v>
      </c>
      <c r="F116" s="3" t="s">
        <v>73</v>
      </c>
      <c r="G116" s="3" t="s">
        <v>73</v>
      </c>
      <c r="I116" s="82">
        <v>44282</v>
      </c>
      <c r="J116" s="17" t="s">
        <v>142</v>
      </c>
      <c r="K116" s="17" t="s">
        <v>235</v>
      </c>
      <c r="L116" s="17"/>
      <c r="M116" s="17"/>
      <c r="N116" s="17">
        <v>271.83</v>
      </c>
      <c r="O116" s="17">
        <v>163.32</v>
      </c>
      <c r="P116" s="17">
        <v>164.78</v>
      </c>
      <c r="Q116" s="17">
        <v>30.36</v>
      </c>
      <c r="R116" s="17">
        <v>20.69</v>
      </c>
      <c r="S116" s="17"/>
      <c r="T116" s="17"/>
      <c r="U116" s="50">
        <v>74.47</v>
      </c>
      <c r="V116" s="50">
        <v>52.17</v>
      </c>
      <c r="W116" s="50">
        <v>77.56</v>
      </c>
      <c r="X116" s="50">
        <v>93.49</v>
      </c>
      <c r="Y116" s="50">
        <v>39.58</v>
      </c>
      <c r="Z116" s="50">
        <v>104</v>
      </c>
      <c r="AA116" s="50">
        <v>83.73</v>
      </c>
      <c r="AB116" s="50">
        <v>78.52</v>
      </c>
      <c r="AC116" s="50">
        <v>29.4</v>
      </c>
      <c r="AD116" s="50">
        <v>56.23</v>
      </c>
      <c r="AE116" s="17">
        <v>28.61</v>
      </c>
      <c r="AF116" s="17">
        <v>31.61</v>
      </c>
      <c r="AG116" s="17">
        <v>31.56</v>
      </c>
      <c r="AH116" s="17">
        <v>30.92</v>
      </c>
      <c r="AI116" s="17">
        <v>1.506</v>
      </c>
      <c r="AJ116" s="17">
        <v>43.45</v>
      </c>
      <c r="AK116" s="17"/>
      <c r="AL116" s="17"/>
      <c r="AM116" s="17">
        <v>34</v>
      </c>
      <c r="AN116" s="17">
        <v>83</v>
      </c>
      <c r="AO116" s="17">
        <v>11.96</v>
      </c>
      <c r="AP116" s="17">
        <v>35.58</v>
      </c>
      <c r="AQ116" s="17"/>
      <c r="AR116" s="17">
        <v>54.58</v>
      </c>
      <c r="AS116" s="17"/>
      <c r="AT116" s="3" t="s">
        <v>146</v>
      </c>
      <c r="AU116" s="3"/>
    </row>
    <row r="117" spans="1:47" x14ac:dyDescent="0.2">
      <c r="A117" s="115">
        <v>115.99999999999966</v>
      </c>
      <c r="B117" s="3" t="s">
        <v>512</v>
      </c>
      <c r="C117" s="4">
        <v>21.116</v>
      </c>
      <c r="D117" s="132" t="s">
        <v>223</v>
      </c>
      <c r="E117" t="s">
        <v>223</v>
      </c>
      <c r="F117" s="3" t="s">
        <v>73</v>
      </c>
      <c r="G117" s="3" t="s">
        <v>73</v>
      </c>
      <c r="I117" s="82">
        <v>44282</v>
      </c>
      <c r="J117" s="17" t="s">
        <v>142</v>
      </c>
      <c r="K117" s="17" t="s">
        <v>235</v>
      </c>
      <c r="L117" s="17"/>
      <c r="M117" s="17"/>
      <c r="N117" s="17">
        <v>262.06</v>
      </c>
      <c r="O117" s="17">
        <v>164.36</v>
      </c>
      <c r="P117" s="17">
        <v>168.54</v>
      </c>
      <c r="Q117" s="17">
        <v>36.380000000000003</v>
      </c>
      <c r="R117" s="17">
        <v>16.489999999999998</v>
      </c>
      <c r="S117" s="17"/>
      <c r="T117" s="17"/>
      <c r="U117" s="50">
        <v>76.03</v>
      </c>
      <c r="V117" s="50">
        <v>44.39</v>
      </c>
      <c r="W117" s="50">
        <v>80.400000000000006</v>
      </c>
      <c r="X117" s="50">
        <v>93.64</v>
      </c>
      <c r="Y117" s="50">
        <v>41.37</v>
      </c>
      <c r="Z117" s="50">
        <v>102.87</v>
      </c>
      <c r="AA117" s="50">
        <v>80.569999999999993</v>
      </c>
      <c r="AB117" s="50">
        <v>78.72</v>
      </c>
      <c r="AC117" s="50">
        <v>21.62</v>
      </c>
      <c r="AD117" s="50">
        <v>56.15</v>
      </c>
      <c r="AE117" s="17">
        <v>31.84</v>
      </c>
      <c r="AF117" s="17">
        <v>41.68</v>
      </c>
      <c r="AG117" s="17">
        <v>34.81</v>
      </c>
      <c r="AH117" s="17">
        <v>42.79</v>
      </c>
      <c r="AI117" s="17">
        <v>1.571</v>
      </c>
      <c r="AJ117" s="17">
        <v>48.45</v>
      </c>
      <c r="AK117" s="17"/>
      <c r="AL117" s="17">
        <v>35</v>
      </c>
      <c r="AM117" s="17">
        <v>77</v>
      </c>
      <c r="AN117" s="17"/>
      <c r="AO117" s="17">
        <v>17.28</v>
      </c>
      <c r="AP117" s="17">
        <v>50.26</v>
      </c>
      <c r="AQ117" s="17"/>
      <c r="AR117" s="17">
        <v>52.52</v>
      </c>
      <c r="AS117" s="17"/>
      <c r="AT117" s="3" t="s">
        <v>146</v>
      </c>
      <c r="AU117" s="3"/>
    </row>
    <row r="118" spans="1:47" x14ac:dyDescent="0.2">
      <c r="A118" s="115">
        <v>117.00000000000088</v>
      </c>
      <c r="B118" s="3" t="s">
        <v>513</v>
      </c>
      <c r="C118" s="4">
        <v>21.117000000000001</v>
      </c>
      <c r="D118" s="132" t="s">
        <v>223</v>
      </c>
      <c r="E118" t="s">
        <v>223</v>
      </c>
      <c r="F118" s="3" t="s">
        <v>73</v>
      </c>
      <c r="G118" s="3" t="s">
        <v>73</v>
      </c>
      <c r="I118" s="82">
        <v>44282</v>
      </c>
      <c r="J118" s="17" t="s">
        <v>142</v>
      </c>
      <c r="K118" s="17" t="s">
        <v>235</v>
      </c>
      <c r="L118" s="17"/>
      <c r="M118" s="17"/>
      <c r="N118" s="17">
        <v>262.43</v>
      </c>
      <c r="O118" s="17">
        <v>160.83000000000001</v>
      </c>
      <c r="P118" s="17">
        <v>167.79</v>
      </c>
      <c r="Q118" s="17">
        <v>34.229999999999997</v>
      </c>
      <c r="R118" s="17">
        <v>18.3</v>
      </c>
      <c r="S118" s="17"/>
      <c r="T118" s="17"/>
      <c r="U118" s="50">
        <v>74.209999999999994</v>
      </c>
      <c r="V118" s="50">
        <v>53.33</v>
      </c>
      <c r="W118" s="50">
        <v>78.67</v>
      </c>
      <c r="X118" s="50">
        <v>89.98</v>
      </c>
      <c r="Y118" s="50">
        <v>40.22</v>
      </c>
      <c r="Z118" s="50">
        <v>104</v>
      </c>
      <c r="AA118" s="50">
        <v>84.09</v>
      </c>
      <c r="AB118" s="50">
        <v>81.95</v>
      </c>
      <c r="AC118" s="50">
        <v>47.64</v>
      </c>
      <c r="AD118" s="50">
        <v>56.4</v>
      </c>
      <c r="AE118" s="17">
        <v>35.840000000000003</v>
      </c>
      <c r="AF118" s="17">
        <v>39.43</v>
      </c>
      <c r="AG118" s="17">
        <v>39.07</v>
      </c>
      <c r="AH118" s="17">
        <v>39.43</v>
      </c>
      <c r="AI118" s="17">
        <v>1.1471</v>
      </c>
      <c r="AJ118" s="17">
        <v>49.29</v>
      </c>
      <c r="AK118" s="17"/>
      <c r="AL118" s="17">
        <v>30</v>
      </c>
      <c r="AM118" s="17">
        <v>83</v>
      </c>
      <c r="AN118" s="17"/>
      <c r="AO118" s="17">
        <v>10.57</v>
      </c>
      <c r="AP118" s="17">
        <v>35.17</v>
      </c>
      <c r="AQ118" s="17"/>
      <c r="AR118" s="17">
        <v>51.46</v>
      </c>
      <c r="AS118" s="17"/>
      <c r="AT118" s="3" t="s">
        <v>146</v>
      </c>
      <c r="AU118" s="3"/>
    </row>
    <row r="119" spans="1:47" x14ac:dyDescent="0.2">
      <c r="A119" s="115">
        <v>117.99999999999855</v>
      </c>
      <c r="B119" s="3">
        <v>40</v>
      </c>
      <c r="C119" s="4">
        <v>21.117999999999999</v>
      </c>
      <c r="D119" s="129" t="s">
        <v>140</v>
      </c>
      <c r="E119" t="s">
        <v>141</v>
      </c>
      <c r="F119" s="3" t="s">
        <v>60</v>
      </c>
      <c r="H119" s="3" t="s">
        <v>60</v>
      </c>
      <c r="I119" s="127">
        <v>44277</v>
      </c>
      <c r="J119" s="17" t="s">
        <v>142</v>
      </c>
      <c r="K119" s="17" t="s">
        <v>203</v>
      </c>
      <c r="L119" s="17"/>
      <c r="M119" s="17"/>
      <c r="N119" s="17">
        <v>199.45</v>
      </c>
      <c r="O119" s="17">
        <v>191.41</v>
      </c>
      <c r="P119" s="17">
        <v>196.39</v>
      </c>
      <c r="Q119" s="17">
        <v>48.55</v>
      </c>
      <c r="R119" s="17">
        <v>28.88</v>
      </c>
      <c r="S119" s="17"/>
      <c r="T119" s="17"/>
      <c r="U119" s="50">
        <v>66.39</v>
      </c>
      <c r="V119" s="50">
        <v>74.319999999999993</v>
      </c>
      <c r="W119" s="50">
        <v>58.73</v>
      </c>
      <c r="X119" s="50">
        <v>92.07</v>
      </c>
      <c r="Y119" s="50">
        <v>42.73</v>
      </c>
      <c r="Z119" s="50">
        <v>100.7</v>
      </c>
      <c r="AA119" s="50">
        <v>75.69</v>
      </c>
      <c r="AB119" s="50">
        <v>79.63</v>
      </c>
      <c r="AC119" s="50">
        <v>26.97</v>
      </c>
      <c r="AD119" s="50">
        <v>42.91</v>
      </c>
      <c r="AE119" s="17">
        <v>44.5</v>
      </c>
      <c r="AF119" s="17">
        <v>50.11</v>
      </c>
      <c r="AG119" s="17">
        <v>49.03</v>
      </c>
      <c r="AH119" s="17">
        <v>53.56</v>
      </c>
      <c r="AI119" s="17">
        <v>1.5</v>
      </c>
      <c r="AJ119" s="54"/>
      <c r="AK119" s="54"/>
      <c r="AL119" s="17">
        <v>8</v>
      </c>
      <c r="AM119" s="17"/>
      <c r="AN119" s="17"/>
      <c r="AO119" s="17">
        <v>10.16</v>
      </c>
      <c r="AP119" s="17">
        <v>48.7</v>
      </c>
      <c r="AQ119" s="17">
        <v>80.02</v>
      </c>
      <c r="AR119" s="17">
        <v>41.52</v>
      </c>
      <c r="AS119" s="17"/>
      <c r="AT119" s="3" t="s">
        <v>146</v>
      </c>
      <c r="AU119" s="3"/>
    </row>
    <row r="120" spans="1:47" x14ac:dyDescent="0.2">
      <c r="A120" s="115">
        <v>118.99999999999977</v>
      </c>
      <c r="B120" s="3">
        <v>72</v>
      </c>
      <c r="C120" s="4">
        <v>21.119</v>
      </c>
      <c r="D120" s="126" t="s">
        <v>168</v>
      </c>
      <c r="E120" t="s">
        <v>169</v>
      </c>
      <c r="F120" s="3" t="s">
        <v>170</v>
      </c>
      <c r="G120" s="3" t="s">
        <v>29</v>
      </c>
      <c r="I120" s="127">
        <v>44292</v>
      </c>
      <c r="J120" s="17" t="s">
        <v>142</v>
      </c>
      <c r="K120" s="17" t="s">
        <v>235</v>
      </c>
      <c r="L120" s="17"/>
      <c r="M120" s="17"/>
      <c r="N120" s="17">
        <v>296.12</v>
      </c>
      <c r="O120" s="17">
        <v>186.57</v>
      </c>
      <c r="P120" s="17">
        <v>197.16</v>
      </c>
      <c r="Q120" s="17">
        <v>39.54</v>
      </c>
      <c r="R120" s="17">
        <v>23.79</v>
      </c>
      <c r="S120" s="17"/>
      <c r="T120" s="17"/>
      <c r="U120" s="50">
        <v>61.41</v>
      </c>
      <c r="V120" s="50">
        <v>77.5</v>
      </c>
      <c r="W120" s="50">
        <v>71.53</v>
      </c>
      <c r="X120" s="50">
        <v>86.19</v>
      </c>
      <c r="Y120" s="50">
        <v>41.66</v>
      </c>
      <c r="Z120" s="50">
        <v>97.71</v>
      </c>
      <c r="AA120" s="50">
        <v>84.25</v>
      </c>
      <c r="AB120" s="50">
        <v>76.959999999999994</v>
      </c>
      <c r="AC120" s="50">
        <v>29.25</v>
      </c>
      <c r="AD120" s="50">
        <v>56.25</v>
      </c>
      <c r="AE120" s="17">
        <v>32.97</v>
      </c>
      <c r="AF120" s="17">
        <v>42.45</v>
      </c>
      <c r="AG120" s="17">
        <v>34.72</v>
      </c>
      <c r="AH120" s="17">
        <v>40.28</v>
      </c>
      <c r="AI120" s="17">
        <v>1.52</v>
      </c>
      <c r="AJ120" s="17">
        <v>49.35</v>
      </c>
      <c r="AK120" s="17"/>
      <c r="AL120" s="17"/>
      <c r="AM120" s="17"/>
      <c r="AN120" s="17">
        <v>136</v>
      </c>
      <c r="AO120" s="17">
        <v>8.5</v>
      </c>
      <c r="AP120" s="17">
        <v>44.32</v>
      </c>
      <c r="AQ120" s="17"/>
      <c r="AR120" s="17">
        <v>53.09</v>
      </c>
      <c r="AS120" s="17"/>
      <c r="AT120" s="3" t="s">
        <v>146</v>
      </c>
      <c r="AU120" s="3"/>
    </row>
    <row r="121" spans="1:47" x14ac:dyDescent="0.2">
      <c r="A121" s="115">
        <v>120.00000000000099</v>
      </c>
      <c r="B121" s="3">
        <v>71</v>
      </c>
      <c r="C121" s="2" t="s">
        <v>514</v>
      </c>
      <c r="D121" s="126" t="s">
        <v>168</v>
      </c>
      <c r="E121" t="s">
        <v>169</v>
      </c>
      <c r="F121" s="3" t="s">
        <v>170</v>
      </c>
      <c r="H121" s="3" t="s">
        <v>29</v>
      </c>
      <c r="I121" s="127">
        <v>44292</v>
      </c>
      <c r="J121" s="17" t="s">
        <v>142</v>
      </c>
      <c r="K121" s="17" t="s">
        <v>203</v>
      </c>
      <c r="L121" s="17"/>
      <c r="M121" s="17"/>
      <c r="N121" s="17">
        <v>249.62</v>
      </c>
      <c r="O121" s="17">
        <v>170.87</v>
      </c>
      <c r="P121" s="17">
        <v>184.28</v>
      </c>
      <c r="Q121" s="17">
        <v>40.83</v>
      </c>
      <c r="R121" s="17">
        <v>22.62</v>
      </c>
      <c r="S121" s="17"/>
      <c r="T121" s="17"/>
      <c r="U121" s="50">
        <v>68.430000000000007</v>
      </c>
      <c r="V121" s="50">
        <v>57.28</v>
      </c>
      <c r="W121" s="50">
        <v>71.72</v>
      </c>
      <c r="X121" s="50">
        <v>84.64</v>
      </c>
      <c r="Y121" s="50">
        <v>41.49</v>
      </c>
      <c r="Z121" s="50">
        <v>96.92</v>
      </c>
      <c r="AA121" s="50">
        <v>79.28</v>
      </c>
      <c r="AB121" s="50">
        <v>79.83</v>
      </c>
      <c r="AC121" s="50">
        <v>31.65</v>
      </c>
      <c r="AD121" s="50">
        <v>52.1</v>
      </c>
      <c r="AE121" s="17">
        <v>29.3</v>
      </c>
      <c r="AF121" s="17">
        <v>42.2</v>
      </c>
      <c r="AG121" s="17">
        <v>35.01</v>
      </c>
      <c r="AH121" s="17">
        <v>44.34</v>
      </c>
      <c r="AI121" s="17">
        <v>1.95</v>
      </c>
      <c r="AJ121" s="54"/>
      <c r="AK121" s="54"/>
      <c r="AL121" s="17">
        <v>27</v>
      </c>
      <c r="AM121" s="17"/>
      <c r="AN121" s="17"/>
      <c r="AO121" s="17">
        <v>13.8</v>
      </c>
      <c r="AP121" s="17">
        <v>53.82</v>
      </c>
      <c r="AQ121" s="17">
        <v>89.88</v>
      </c>
      <c r="AR121" s="17">
        <v>55.94</v>
      </c>
      <c r="AS121" s="17"/>
      <c r="AT121" s="3" t="s">
        <v>146</v>
      </c>
      <c r="AU121" s="3"/>
    </row>
    <row r="122" spans="1:47" x14ac:dyDescent="0.2">
      <c r="A122" s="115">
        <v>120.99999999999866</v>
      </c>
      <c r="B122" s="3">
        <v>70</v>
      </c>
      <c r="C122" s="4">
        <v>21.120999999999999</v>
      </c>
      <c r="D122" s="126" t="s">
        <v>168</v>
      </c>
      <c r="E122" t="s">
        <v>169</v>
      </c>
      <c r="F122" s="3" t="s">
        <v>170</v>
      </c>
      <c r="G122" s="3" t="s">
        <v>29</v>
      </c>
      <c r="I122" s="127">
        <v>44292</v>
      </c>
      <c r="J122" s="17" t="s">
        <v>142</v>
      </c>
      <c r="K122" s="17" t="s">
        <v>235</v>
      </c>
      <c r="L122" s="17"/>
      <c r="M122" s="17"/>
      <c r="N122" s="17">
        <v>294.7</v>
      </c>
      <c r="O122" s="17">
        <v>184.89</v>
      </c>
      <c r="P122" s="17">
        <v>184.89</v>
      </c>
      <c r="Q122" s="17">
        <v>38.33</v>
      </c>
      <c r="R122" s="17">
        <v>20.94</v>
      </c>
      <c r="S122" s="17"/>
      <c r="T122" s="17"/>
      <c r="U122" s="50">
        <v>67.45</v>
      </c>
      <c r="V122" s="50">
        <v>49.59</v>
      </c>
      <c r="W122" s="50">
        <v>72.13</v>
      </c>
      <c r="X122" s="50">
        <v>89.16</v>
      </c>
      <c r="Y122" s="50">
        <v>41.52</v>
      </c>
      <c r="Z122" s="50">
        <v>98.73</v>
      </c>
      <c r="AA122" s="50">
        <v>84.76</v>
      </c>
      <c r="AB122" s="50">
        <v>77.19</v>
      </c>
      <c r="AC122" s="50">
        <v>24.4</v>
      </c>
      <c r="AD122" s="50">
        <v>54.32</v>
      </c>
      <c r="AE122" s="17">
        <v>37.17</v>
      </c>
      <c r="AF122" s="17">
        <v>45.1</v>
      </c>
      <c r="AG122" s="17">
        <v>35.83</v>
      </c>
      <c r="AH122" s="17">
        <v>43.4</v>
      </c>
      <c r="AI122" s="17">
        <v>1.45</v>
      </c>
      <c r="AJ122" s="17">
        <v>52.27</v>
      </c>
      <c r="AK122" s="17"/>
      <c r="AL122" s="17"/>
      <c r="AM122" s="17">
        <v>120</v>
      </c>
      <c r="AN122" s="17">
        <v>30</v>
      </c>
      <c r="AO122" s="17">
        <v>10.74</v>
      </c>
      <c r="AP122" s="17">
        <v>37.65</v>
      </c>
      <c r="AQ122" s="17"/>
      <c r="AR122" s="17">
        <v>49.45</v>
      </c>
      <c r="AS122" s="17"/>
      <c r="AT122" s="3" t="s">
        <v>146</v>
      </c>
      <c r="AU122" s="3"/>
    </row>
    <row r="123" spans="1:47" x14ac:dyDescent="0.2">
      <c r="A123" s="115">
        <v>121.99999999999989</v>
      </c>
      <c r="B123" s="3">
        <v>69</v>
      </c>
      <c r="C123" s="4">
        <v>21.122</v>
      </c>
      <c r="D123" s="126" t="s">
        <v>168</v>
      </c>
      <c r="E123" t="s">
        <v>169</v>
      </c>
      <c r="F123" s="3" t="s">
        <v>170</v>
      </c>
      <c r="G123" s="3" t="s">
        <v>29</v>
      </c>
      <c r="I123" s="127">
        <v>44292</v>
      </c>
      <c r="J123" s="17" t="s">
        <v>142</v>
      </c>
      <c r="K123" s="17" t="s">
        <v>235</v>
      </c>
      <c r="L123" s="17"/>
      <c r="M123" s="17"/>
      <c r="N123" s="17">
        <v>305.87</v>
      </c>
      <c r="O123" s="17">
        <v>174.5</v>
      </c>
      <c r="P123" s="17">
        <v>186.71</v>
      </c>
      <c r="Q123" s="17">
        <v>39.520000000000003</v>
      </c>
      <c r="R123" s="17">
        <v>20.61</v>
      </c>
      <c r="S123" s="17"/>
      <c r="T123" s="17"/>
      <c r="U123" s="50">
        <v>65.95</v>
      </c>
      <c r="V123" s="50">
        <v>48.42</v>
      </c>
      <c r="W123" s="50">
        <v>71.75</v>
      </c>
      <c r="X123" s="50">
        <v>88.99</v>
      </c>
      <c r="Y123" s="50">
        <v>44.32</v>
      </c>
      <c r="Z123" s="50">
        <v>98.11</v>
      </c>
      <c r="AA123" s="50">
        <v>83.06</v>
      </c>
      <c r="AB123" s="50">
        <v>78.680000000000007</v>
      </c>
      <c r="AC123" s="50">
        <v>34.549999999999997</v>
      </c>
      <c r="AD123" s="50">
        <v>59.44</v>
      </c>
      <c r="AE123" s="17">
        <v>34.82</v>
      </c>
      <c r="AF123" s="17">
        <v>37.24</v>
      </c>
      <c r="AG123" s="17">
        <v>33.520000000000003</v>
      </c>
      <c r="AH123" s="17">
        <v>41.13</v>
      </c>
      <c r="AI123" s="17">
        <v>1.4350000000000001</v>
      </c>
      <c r="AJ123" s="17">
        <v>44.65</v>
      </c>
      <c r="AK123" s="17"/>
      <c r="AL123" s="17"/>
      <c r="AM123" s="17"/>
      <c r="AN123" s="17"/>
      <c r="AO123" s="17">
        <v>14.5</v>
      </c>
      <c r="AP123" s="17">
        <v>44.5</v>
      </c>
      <c r="AQ123" s="17"/>
      <c r="AR123" s="17">
        <v>53.92</v>
      </c>
      <c r="AS123" s="17"/>
      <c r="AT123" s="3" t="s">
        <v>146</v>
      </c>
      <c r="AU123" s="3"/>
    </row>
    <row r="124" spans="1:47" x14ac:dyDescent="0.2">
      <c r="A124" s="115">
        <v>123.00000000000111</v>
      </c>
      <c r="B124" s="3">
        <v>50</v>
      </c>
      <c r="C124" s="4">
        <v>21.123000000000001</v>
      </c>
      <c r="D124" s="126" t="s">
        <v>168</v>
      </c>
      <c r="E124" t="s">
        <v>169</v>
      </c>
      <c r="F124" s="3" t="s">
        <v>170</v>
      </c>
      <c r="H124" s="3" t="s">
        <v>29</v>
      </c>
      <c r="I124" s="127">
        <v>44283</v>
      </c>
      <c r="J124" s="17" t="s">
        <v>142</v>
      </c>
      <c r="K124" s="17" t="s">
        <v>235</v>
      </c>
      <c r="L124" s="17"/>
      <c r="M124" s="17"/>
      <c r="N124" s="17">
        <v>293.39999999999998</v>
      </c>
      <c r="O124" s="17">
        <v>182.26</v>
      </c>
      <c r="P124" s="17">
        <v>187.59</v>
      </c>
      <c r="Q124" s="17">
        <v>36.22</v>
      </c>
      <c r="R124" s="17">
        <v>21.45</v>
      </c>
      <c r="S124" s="17"/>
      <c r="T124" s="17"/>
      <c r="U124" s="50">
        <v>66.59</v>
      </c>
      <c r="V124" s="50">
        <v>54.17</v>
      </c>
      <c r="W124" s="50">
        <v>70.47</v>
      </c>
      <c r="X124" s="50">
        <v>85.71</v>
      </c>
      <c r="Y124" s="50">
        <v>44.23</v>
      </c>
      <c r="Z124" s="50">
        <v>97.51</v>
      </c>
      <c r="AA124" s="50">
        <v>84.99</v>
      </c>
      <c r="AB124" s="50">
        <v>79.819999999999993</v>
      </c>
      <c r="AC124" s="50">
        <v>29.42</v>
      </c>
      <c r="AD124" s="50">
        <v>57.42</v>
      </c>
      <c r="AE124" s="17">
        <v>35.11</v>
      </c>
      <c r="AF124" s="17">
        <v>41.19</v>
      </c>
      <c r="AG124" s="17">
        <v>33.68</v>
      </c>
      <c r="AH124" s="17">
        <v>37.92</v>
      </c>
      <c r="AI124" s="17">
        <v>1.33</v>
      </c>
      <c r="AJ124" s="54"/>
      <c r="AK124" s="54"/>
      <c r="AL124" s="54"/>
      <c r="AM124" s="17"/>
      <c r="AN124" s="17">
        <v>136</v>
      </c>
      <c r="AO124" s="17">
        <v>11.89</v>
      </c>
      <c r="AP124" s="17">
        <v>47.77</v>
      </c>
      <c r="AQ124" s="17"/>
      <c r="AR124" s="17">
        <v>46.85</v>
      </c>
      <c r="AS124" s="17"/>
      <c r="AT124" s="3" t="s">
        <v>146</v>
      </c>
      <c r="AU124" s="3"/>
    </row>
    <row r="125" spans="1:47" x14ac:dyDescent="0.2">
      <c r="A125" s="115">
        <v>123.99999999999878</v>
      </c>
      <c r="B125" s="3">
        <v>52</v>
      </c>
      <c r="C125" s="4">
        <v>21.123999999999999</v>
      </c>
      <c r="D125" s="126" t="s">
        <v>168</v>
      </c>
      <c r="E125" t="s">
        <v>169</v>
      </c>
      <c r="F125" s="3" t="s">
        <v>170</v>
      </c>
      <c r="H125" s="3" t="s">
        <v>234</v>
      </c>
      <c r="I125" s="127">
        <v>44290</v>
      </c>
      <c r="J125" s="17" t="s">
        <v>142</v>
      </c>
      <c r="K125" s="17" t="s">
        <v>203</v>
      </c>
      <c r="L125" s="17"/>
      <c r="M125" s="17"/>
      <c r="N125" s="17">
        <v>234.23</v>
      </c>
      <c r="O125" s="17">
        <v>173.83</v>
      </c>
      <c r="P125" s="17">
        <v>182.1</v>
      </c>
      <c r="Q125" s="17">
        <v>44.91</v>
      </c>
      <c r="R125" s="17">
        <v>20.79</v>
      </c>
      <c r="S125" s="17"/>
      <c r="T125" s="17"/>
      <c r="U125" s="50">
        <v>69.239999999999995</v>
      </c>
      <c r="V125" s="50">
        <v>49.62</v>
      </c>
      <c r="W125" s="50">
        <v>71.62</v>
      </c>
      <c r="X125" s="50">
        <v>87.27</v>
      </c>
      <c r="Y125" s="50">
        <v>40.44</v>
      </c>
      <c r="Z125" s="50">
        <v>95.6</v>
      </c>
      <c r="AA125" s="50">
        <v>79.56</v>
      </c>
      <c r="AB125" s="50">
        <v>75.88</v>
      </c>
      <c r="AC125" s="50">
        <v>28.21</v>
      </c>
      <c r="AD125" s="50">
        <v>49.68</v>
      </c>
      <c r="AE125" s="17">
        <v>30.04</v>
      </c>
      <c r="AF125" s="17">
        <v>39.92</v>
      </c>
      <c r="AG125" s="17">
        <v>31.87</v>
      </c>
      <c r="AH125" s="17">
        <v>37.04</v>
      </c>
      <c r="AI125" s="17">
        <v>1.1859999999999999</v>
      </c>
      <c r="AJ125" s="54"/>
      <c r="AK125" s="54"/>
      <c r="AL125" s="54"/>
      <c r="AM125" s="17">
        <v>33</v>
      </c>
      <c r="AN125" s="17"/>
      <c r="AO125" s="17">
        <v>13.69</v>
      </c>
      <c r="AP125" s="17">
        <v>50.98</v>
      </c>
      <c r="AQ125" s="128">
        <v>114</v>
      </c>
      <c r="AR125" s="17">
        <v>50.53</v>
      </c>
      <c r="AS125" s="17"/>
      <c r="AT125" s="3" t="s">
        <v>146</v>
      </c>
      <c r="AU125" s="3"/>
    </row>
    <row r="126" spans="1:47" x14ac:dyDescent="0.2">
      <c r="A126" s="115">
        <v>125</v>
      </c>
      <c r="B126" s="3">
        <v>76</v>
      </c>
      <c r="C126" s="4">
        <v>21.125</v>
      </c>
      <c r="D126" s="129" t="s">
        <v>140</v>
      </c>
      <c r="E126" t="s">
        <v>141</v>
      </c>
      <c r="F126" s="3" t="s">
        <v>62</v>
      </c>
      <c r="H126" s="3" t="s">
        <v>62</v>
      </c>
      <c r="I126" s="82">
        <v>44322</v>
      </c>
      <c r="J126" s="17" t="s">
        <v>142</v>
      </c>
      <c r="K126" s="17" t="s">
        <v>203</v>
      </c>
      <c r="L126" s="17"/>
      <c r="M126" s="17"/>
      <c r="N126" s="17">
        <v>214.77</v>
      </c>
      <c r="O126" s="17">
        <v>182.81</v>
      </c>
      <c r="P126" s="17">
        <v>206.68</v>
      </c>
      <c r="Q126" s="17">
        <v>57.94</v>
      </c>
      <c r="R126" s="17">
        <v>32.58</v>
      </c>
      <c r="S126" s="17"/>
      <c r="T126" s="17"/>
      <c r="U126" s="50">
        <v>65.959999999999994</v>
      </c>
      <c r="V126" s="50">
        <v>45.66</v>
      </c>
      <c r="W126" s="50">
        <v>73.09</v>
      </c>
      <c r="X126" s="50">
        <v>92.74</v>
      </c>
      <c r="Y126" s="50">
        <v>37.53</v>
      </c>
      <c r="Z126" s="50">
        <v>103.74</v>
      </c>
      <c r="AA126" s="50">
        <v>79.540000000000006</v>
      </c>
      <c r="AB126" s="50">
        <v>77.209999999999994</v>
      </c>
      <c r="AC126" s="50">
        <v>20.68</v>
      </c>
      <c r="AD126" s="50">
        <v>44.02</v>
      </c>
      <c r="AE126" s="17">
        <v>31.72</v>
      </c>
      <c r="AF126" s="17">
        <v>39.54</v>
      </c>
      <c r="AG126" s="17">
        <v>39.299999999999997</v>
      </c>
      <c r="AH126" s="17">
        <v>43.96</v>
      </c>
      <c r="AI126" s="17">
        <v>1.5940000000000001</v>
      </c>
      <c r="AJ126" s="54"/>
      <c r="AK126" s="54"/>
      <c r="AL126" s="54"/>
      <c r="AM126" s="17">
        <v>16</v>
      </c>
      <c r="AN126" s="17"/>
      <c r="AO126" s="17">
        <v>13.51</v>
      </c>
      <c r="AP126" s="17">
        <v>47.79</v>
      </c>
      <c r="AQ126" s="17">
        <v>89.31</v>
      </c>
      <c r="AR126" s="17">
        <v>43.88</v>
      </c>
      <c r="AS126" s="17"/>
      <c r="AT126" s="3" t="s">
        <v>146</v>
      </c>
      <c r="AU126" s="3"/>
    </row>
    <row r="127" spans="1:47" x14ac:dyDescent="0.2">
      <c r="A127" s="115">
        <v>126.00000000000122</v>
      </c>
      <c r="C127" s="4">
        <v>21.126000000000001</v>
      </c>
      <c r="D127" s="131" t="s">
        <v>151</v>
      </c>
      <c r="F127" s="3" t="s">
        <v>227</v>
      </c>
      <c r="I127" s="82">
        <v>44290</v>
      </c>
      <c r="J127" s="3" t="s">
        <v>492</v>
      </c>
      <c r="K127" s="3" t="s">
        <v>203</v>
      </c>
      <c r="N127" s="3">
        <v>192.7</v>
      </c>
      <c r="O127" s="3">
        <v>148.06</v>
      </c>
      <c r="P127" s="3">
        <v>155.62</v>
      </c>
      <c r="Q127" s="3">
        <v>33.19</v>
      </c>
      <c r="R127" s="3">
        <v>16.71</v>
      </c>
      <c r="U127" s="6">
        <v>64.84</v>
      </c>
      <c r="V127" s="6">
        <v>58.75</v>
      </c>
      <c r="W127" s="6">
        <v>72.84</v>
      </c>
      <c r="X127" s="6">
        <v>84.9</v>
      </c>
      <c r="Y127" s="6">
        <v>40.94</v>
      </c>
      <c r="Z127" s="6">
        <v>88.01</v>
      </c>
      <c r="AA127" s="6">
        <v>69.97</v>
      </c>
      <c r="AB127" s="6">
        <v>75.92</v>
      </c>
      <c r="AC127" s="6">
        <v>18.940000000000001</v>
      </c>
      <c r="AD127" s="6">
        <v>49.39</v>
      </c>
      <c r="AE127" s="3">
        <v>27.88</v>
      </c>
      <c r="AF127" s="3">
        <v>35.6</v>
      </c>
      <c r="AG127" s="3">
        <v>35.549999999999997</v>
      </c>
      <c r="AH127" s="3">
        <v>37.85</v>
      </c>
      <c r="AI127" s="3">
        <v>1.9219999999999999</v>
      </c>
      <c r="AJ127" s="47"/>
      <c r="AK127" s="47"/>
      <c r="AL127" s="47"/>
      <c r="AR127" s="3">
        <v>53.1</v>
      </c>
      <c r="AT127" s="3" t="s">
        <v>146</v>
      </c>
      <c r="AU127" s="3"/>
    </row>
    <row r="128" spans="1:47" x14ac:dyDescent="0.2">
      <c r="A128" s="115">
        <v>126.99999999999889</v>
      </c>
      <c r="B128" s="3" t="s">
        <v>515</v>
      </c>
      <c r="C128" s="4">
        <v>21.126999999999999</v>
      </c>
      <c r="D128" s="132" t="s">
        <v>223</v>
      </c>
      <c r="E128" t="s">
        <v>223</v>
      </c>
      <c r="F128" s="3" t="s">
        <v>73</v>
      </c>
      <c r="G128" s="3" t="s">
        <v>73</v>
      </c>
      <c r="I128" s="82">
        <v>44251</v>
      </c>
      <c r="J128" s="17" t="s">
        <v>142</v>
      </c>
      <c r="K128" s="17" t="s">
        <v>203</v>
      </c>
      <c r="L128" s="17"/>
      <c r="M128" s="17"/>
      <c r="N128" s="17">
        <v>201.46</v>
      </c>
      <c r="O128" s="17">
        <v>158.09</v>
      </c>
      <c r="P128" s="17">
        <v>153.53</v>
      </c>
      <c r="Q128" s="17">
        <v>40.19</v>
      </c>
      <c r="R128" s="17">
        <v>16.32</v>
      </c>
      <c r="S128" s="17"/>
      <c r="T128" s="17"/>
      <c r="U128" s="50">
        <v>73.739999999999995</v>
      </c>
      <c r="V128" s="50">
        <v>51.84</v>
      </c>
      <c r="W128" s="50">
        <v>76.430000000000007</v>
      </c>
      <c r="X128" s="50">
        <v>87.88</v>
      </c>
      <c r="Y128" s="50">
        <v>41.83</v>
      </c>
      <c r="Z128" s="50">
        <v>98.61</v>
      </c>
      <c r="AA128" s="50">
        <v>74.819999999999993</v>
      </c>
      <c r="AB128" s="50">
        <v>78.239999999999995</v>
      </c>
      <c r="AC128" s="50">
        <v>25.68</v>
      </c>
      <c r="AD128" s="50">
        <v>48.07</v>
      </c>
      <c r="AE128" s="17">
        <v>29</v>
      </c>
      <c r="AF128" s="17">
        <v>31.64</v>
      </c>
      <c r="AG128" s="17">
        <v>28.41</v>
      </c>
      <c r="AH128" s="17">
        <v>31.91</v>
      </c>
      <c r="AI128" s="17">
        <v>1.9610000000000001</v>
      </c>
      <c r="AJ128" s="54"/>
      <c r="AK128" s="54"/>
      <c r="AL128" s="54"/>
      <c r="AM128" s="17">
        <v>24</v>
      </c>
      <c r="AN128" s="17"/>
      <c r="AO128" s="17">
        <v>8.98</v>
      </c>
      <c r="AP128" s="17">
        <v>105.33</v>
      </c>
      <c r="AQ128" s="17"/>
      <c r="AR128" s="17">
        <v>55.52</v>
      </c>
      <c r="AS128" s="17">
        <v>24.637</v>
      </c>
      <c r="AT128" s="3" t="s">
        <v>146</v>
      </c>
      <c r="AU128" s="3"/>
    </row>
    <row r="129" spans="1:47" x14ac:dyDescent="0.2">
      <c r="A129" s="115">
        <v>128.00000000000011</v>
      </c>
      <c r="B129" s="3" t="s">
        <v>516</v>
      </c>
      <c r="C129" s="4">
        <v>21.128</v>
      </c>
      <c r="D129" s="132" t="s">
        <v>223</v>
      </c>
      <c r="E129" t="s">
        <v>223</v>
      </c>
      <c r="F129" s="3" t="s">
        <v>73</v>
      </c>
      <c r="G129" s="3" t="s">
        <v>73</v>
      </c>
      <c r="I129" s="82">
        <v>44261</v>
      </c>
      <c r="J129" s="17" t="s">
        <v>142</v>
      </c>
      <c r="K129" s="17" t="s">
        <v>203</v>
      </c>
      <c r="L129" s="17"/>
      <c r="M129" s="17"/>
      <c r="N129" s="17">
        <v>197.61</v>
      </c>
      <c r="O129" s="17">
        <v>159.46</v>
      </c>
      <c r="P129" s="17">
        <v>160.21</v>
      </c>
      <c r="Q129" s="17">
        <v>40.549999999999997</v>
      </c>
      <c r="R129" s="17">
        <v>11.53</v>
      </c>
      <c r="S129" s="17"/>
      <c r="T129" s="17"/>
      <c r="U129" s="50">
        <v>51.2</v>
      </c>
      <c r="V129" s="50">
        <v>72.98</v>
      </c>
      <c r="W129" s="50">
        <v>73.959999999999994</v>
      </c>
      <c r="X129" s="50">
        <v>87.13</v>
      </c>
      <c r="Y129" s="50">
        <v>41.06</v>
      </c>
      <c r="Z129" s="50">
        <v>100.52</v>
      </c>
      <c r="AA129" s="50">
        <v>77.349999999999994</v>
      </c>
      <c r="AB129" s="50">
        <v>79.11</v>
      </c>
      <c r="AC129" s="50">
        <v>32.56</v>
      </c>
      <c r="AD129" s="50">
        <v>47.42</v>
      </c>
      <c r="AE129" s="17">
        <v>30.72</v>
      </c>
      <c r="AF129" s="17">
        <v>33.67</v>
      </c>
      <c r="AG129" s="17">
        <v>32.200000000000003</v>
      </c>
      <c r="AH129" s="17">
        <v>30.83</v>
      </c>
      <c r="AI129" s="17">
        <v>2.0499999999999998</v>
      </c>
      <c r="AJ129" s="54"/>
      <c r="AK129" s="54"/>
      <c r="AL129" s="54"/>
      <c r="AM129" s="17">
        <v>28</v>
      </c>
      <c r="AN129" s="17"/>
      <c r="AO129" s="17">
        <v>8.9</v>
      </c>
      <c r="AP129" s="17">
        <v>106.19</v>
      </c>
      <c r="AQ129" s="17"/>
      <c r="AR129" s="17">
        <v>49.91</v>
      </c>
      <c r="AS129" s="17">
        <v>20.204000000000001</v>
      </c>
      <c r="AT129" s="3" t="s">
        <v>146</v>
      </c>
      <c r="AU129" s="3"/>
    </row>
    <row r="130" spans="1:47" x14ac:dyDescent="0.2">
      <c r="A130" s="115">
        <v>129.00000000000134</v>
      </c>
      <c r="B130" s="3" t="s">
        <v>517</v>
      </c>
      <c r="C130" s="4">
        <v>21.129000000000001</v>
      </c>
      <c r="D130" s="132" t="s">
        <v>223</v>
      </c>
      <c r="E130" t="s">
        <v>223</v>
      </c>
      <c r="F130" s="3" t="s">
        <v>73</v>
      </c>
      <c r="G130" s="3" t="s">
        <v>73</v>
      </c>
      <c r="I130" s="82">
        <v>44264</v>
      </c>
      <c r="J130" s="17" t="s">
        <v>142</v>
      </c>
      <c r="K130" s="17" t="s">
        <v>235</v>
      </c>
      <c r="L130" s="17"/>
      <c r="M130" s="17"/>
      <c r="N130" s="17">
        <v>254.94</v>
      </c>
      <c r="O130" s="17">
        <v>160.07</v>
      </c>
      <c r="P130" s="17">
        <v>162.28</v>
      </c>
      <c r="Q130" s="17">
        <v>32.81</v>
      </c>
      <c r="R130" s="17">
        <v>8.9700000000000006</v>
      </c>
      <c r="S130" s="17"/>
      <c r="T130" s="17"/>
      <c r="U130" s="50">
        <v>52.91</v>
      </c>
      <c r="V130" s="50">
        <v>74.430000000000007</v>
      </c>
      <c r="W130" s="50">
        <v>74.319999999999993</v>
      </c>
      <c r="X130" s="50">
        <v>90.11</v>
      </c>
      <c r="Y130" s="50">
        <v>41.92</v>
      </c>
      <c r="Z130" s="50">
        <v>102.65</v>
      </c>
      <c r="AA130" s="50">
        <v>82.76</v>
      </c>
      <c r="AB130" s="50">
        <v>79.61</v>
      </c>
      <c r="AC130" s="50">
        <v>41.23</v>
      </c>
      <c r="AD130" s="50">
        <v>55.29</v>
      </c>
      <c r="AE130" s="17">
        <v>30.83</v>
      </c>
      <c r="AF130" s="17">
        <v>30.73</v>
      </c>
      <c r="AG130" s="17">
        <v>35.07</v>
      </c>
      <c r="AH130" s="17">
        <v>29.68</v>
      </c>
      <c r="AI130" s="17">
        <v>1.5509999999999999</v>
      </c>
      <c r="AJ130" s="17">
        <v>45.17</v>
      </c>
      <c r="AK130" s="17"/>
      <c r="AL130" s="54"/>
      <c r="AM130" s="17"/>
      <c r="AN130" s="17">
        <v>108</v>
      </c>
      <c r="AO130" s="17">
        <v>10.38</v>
      </c>
      <c r="AP130" s="17">
        <v>26.23</v>
      </c>
      <c r="AQ130" s="17"/>
      <c r="AR130" s="17">
        <v>52.12</v>
      </c>
      <c r="AS130" s="17">
        <v>22.824000000000002</v>
      </c>
      <c r="AT130" s="3" t="s">
        <v>146</v>
      </c>
      <c r="AU130" s="3"/>
    </row>
    <row r="131" spans="1:47" x14ac:dyDescent="0.2">
      <c r="A131" s="115">
        <v>129.99999999999901</v>
      </c>
      <c r="B131" s="3">
        <v>23</v>
      </c>
      <c r="C131" s="2" t="s">
        <v>518</v>
      </c>
      <c r="D131" s="129" t="s">
        <v>140</v>
      </c>
      <c r="E131" t="s">
        <v>141</v>
      </c>
      <c r="F131" s="3" t="s">
        <v>62</v>
      </c>
      <c r="H131" s="3" t="s">
        <v>62</v>
      </c>
      <c r="I131" s="82">
        <v>44259</v>
      </c>
      <c r="J131" s="17" t="s">
        <v>142</v>
      </c>
      <c r="K131" s="17" t="s">
        <v>203</v>
      </c>
      <c r="L131" s="17"/>
      <c r="M131" s="17"/>
      <c r="N131" s="17">
        <v>213.7</v>
      </c>
      <c r="O131" s="17">
        <v>206.65</v>
      </c>
      <c r="P131" s="17">
        <f>206.65+25.49</f>
        <v>232.14000000000001</v>
      </c>
      <c r="Q131" s="17">
        <v>57.48</v>
      </c>
      <c r="R131" s="17">
        <v>36.33</v>
      </c>
      <c r="S131" s="17"/>
      <c r="T131" s="17"/>
      <c r="U131" s="50">
        <v>56.26</v>
      </c>
      <c r="V131" s="50">
        <v>67.599999999999994</v>
      </c>
      <c r="W131" s="50">
        <v>73.489999999999995</v>
      </c>
      <c r="X131" s="50">
        <v>92.05</v>
      </c>
      <c r="Y131" s="50">
        <v>43.24</v>
      </c>
      <c r="Z131" s="50">
        <v>100.2</v>
      </c>
      <c r="AA131" s="50">
        <v>79.069999999999993</v>
      </c>
      <c r="AB131" s="50">
        <v>80.41</v>
      </c>
      <c r="AC131" s="50">
        <v>17.38</v>
      </c>
      <c r="AD131" s="50">
        <v>45.26</v>
      </c>
      <c r="AE131" s="17">
        <v>37.54</v>
      </c>
      <c r="AF131" s="17">
        <v>41.34</v>
      </c>
      <c r="AG131" s="17">
        <v>44.05</v>
      </c>
      <c r="AH131" s="17">
        <v>48.24</v>
      </c>
      <c r="AI131" s="17">
        <v>1.8440000000000001</v>
      </c>
      <c r="AJ131" s="54"/>
      <c r="AK131" s="54"/>
      <c r="AL131" s="54"/>
      <c r="AM131" s="17">
        <v>17</v>
      </c>
      <c r="AN131" s="17"/>
      <c r="AO131" s="17">
        <v>11.51</v>
      </c>
      <c r="AP131" s="17">
        <v>129.86000000000001</v>
      </c>
      <c r="AQ131" s="17"/>
      <c r="AR131" s="17">
        <v>48.13</v>
      </c>
      <c r="AS131" s="17">
        <v>29.28</v>
      </c>
      <c r="AT131" s="3" t="s">
        <v>146</v>
      </c>
      <c r="AU131" s="3"/>
    </row>
    <row r="132" spans="1:47" x14ac:dyDescent="0.2">
      <c r="A132" s="115">
        <v>131.00000000000023</v>
      </c>
      <c r="B132" s="3">
        <v>21</v>
      </c>
      <c r="C132" s="4">
        <v>21.131</v>
      </c>
      <c r="D132" s="129" t="s">
        <v>140</v>
      </c>
      <c r="E132" t="s">
        <v>141</v>
      </c>
      <c r="F132" s="3" t="s">
        <v>62</v>
      </c>
      <c r="H132" s="3" t="s">
        <v>62</v>
      </c>
      <c r="I132" s="82">
        <v>44259</v>
      </c>
      <c r="J132" s="17" t="s">
        <v>142</v>
      </c>
      <c r="K132" s="17" t="s">
        <v>203</v>
      </c>
      <c r="L132" s="17"/>
      <c r="M132" s="17"/>
      <c r="N132" s="17">
        <v>238.27</v>
      </c>
      <c r="O132" s="17">
        <f xml:space="preserve"> 206.64+ 7.26</f>
        <v>213.89999999999998</v>
      </c>
      <c r="P132" s="17">
        <f xml:space="preserve"> 206.64+ 35.2</f>
        <v>241.83999999999997</v>
      </c>
      <c r="Q132" s="17">
        <v>55.36</v>
      </c>
      <c r="R132" s="17">
        <v>40.479999999999997</v>
      </c>
      <c r="S132" s="17"/>
      <c r="T132" s="17"/>
      <c r="U132" s="50">
        <v>51.72</v>
      </c>
      <c r="V132" s="50">
        <v>64.650000000000006</v>
      </c>
      <c r="W132" s="50">
        <v>77.23</v>
      </c>
      <c r="X132" s="50">
        <v>96.36</v>
      </c>
      <c r="Y132" s="50">
        <v>45.97</v>
      </c>
      <c r="Z132" s="50">
        <v>103.77</v>
      </c>
      <c r="AA132" s="50">
        <v>79.89</v>
      </c>
      <c r="AB132" s="50">
        <v>80.7</v>
      </c>
      <c r="AC132" s="50">
        <v>13.16</v>
      </c>
      <c r="AD132" s="50">
        <v>46.49</v>
      </c>
      <c r="AE132" s="17">
        <v>41.71</v>
      </c>
      <c r="AF132" s="17">
        <v>41.88</v>
      </c>
      <c r="AG132" s="17">
        <v>46.01</v>
      </c>
      <c r="AH132" s="17">
        <v>42.51</v>
      </c>
      <c r="AI132" s="17">
        <v>1.9219999999999999</v>
      </c>
      <c r="AJ132" s="54"/>
      <c r="AK132" s="54"/>
      <c r="AL132" s="54"/>
      <c r="AM132" s="17">
        <v>21</v>
      </c>
      <c r="AN132" s="17"/>
      <c r="AO132" s="17">
        <v>13.45</v>
      </c>
      <c r="AP132" s="17">
        <v>143.94999999999999</v>
      </c>
      <c r="AQ132" s="17"/>
      <c r="AR132" s="17">
        <v>52.42</v>
      </c>
      <c r="AS132" s="17">
        <v>23.753</v>
      </c>
      <c r="AT132" s="3" t="s">
        <v>146</v>
      </c>
      <c r="AU132" s="3"/>
    </row>
    <row r="133" spans="1:47" x14ac:dyDescent="0.2">
      <c r="A133" s="115">
        <v>132.00000000000145</v>
      </c>
      <c r="B133" s="3">
        <v>15</v>
      </c>
      <c r="C133" s="4">
        <v>21.132000000000001</v>
      </c>
      <c r="D133" s="129" t="s">
        <v>140</v>
      </c>
      <c r="E133" t="s">
        <v>141</v>
      </c>
      <c r="F133" s="3" t="s">
        <v>497</v>
      </c>
      <c r="I133" s="82">
        <v>44256</v>
      </c>
      <c r="J133" s="17" t="s">
        <v>142</v>
      </c>
      <c r="K133" s="17" t="s">
        <v>203</v>
      </c>
      <c r="L133" s="17"/>
      <c r="M133" s="17"/>
      <c r="N133" s="17">
        <v>176.68</v>
      </c>
      <c r="O133" s="17">
        <v>192.78</v>
      </c>
      <c r="P133" s="17">
        <v>192.85</v>
      </c>
      <c r="Q133" s="17">
        <v>46.34</v>
      </c>
      <c r="R133" s="17">
        <v>36.700000000000003</v>
      </c>
      <c r="S133" s="17"/>
      <c r="T133" s="17"/>
      <c r="U133" s="50">
        <v>41.22</v>
      </c>
      <c r="V133" s="50">
        <v>54.63</v>
      </c>
      <c r="W133" s="50">
        <v>64.69</v>
      </c>
      <c r="X133" s="50">
        <v>80.48</v>
      </c>
      <c r="Y133" s="50">
        <v>35.93</v>
      </c>
      <c r="Z133" s="50">
        <v>91.14</v>
      </c>
      <c r="AA133" s="50">
        <v>72.66</v>
      </c>
      <c r="AB133" s="50">
        <v>67.290000000000006</v>
      </c>
      <c r="AC133" s="50">
        <v>14.39</v>
      </c>
      <c r="AD133" s="50">
        <v>43.86</v>
      </c>
      <c r="AE133" s="17">
        <v>41.62</v>
      </c>
      <c r="AF133" s="17">
        <v>41.89</v>
      </c>
      <c r="AG133" s="17">
        <v>43.93</v>
      </c>
      <c r="AH133" s="17">
        <v>38.299999999999997</v>
      </c>
      <c r="AI133" s="17">
        <v>1.556</v>
      </c>
      <c r="AJ133" s="54"/>
      <c r="AK133" s="54"/>
      <c r="AL133" s="54"/>
      <c r="AM133" s="17">
        <v>12</v>
      </c>
      <c r="AN133" s="17"/>
      <c r="AO133" s="17">
        <v>10.11</v>
      </c>
      <c r="AP133" s="17">
        <v>113.95</v>
      </c>
      <c r="AQ133" s="17"/>
      <c r="AR133" s="17">
        <v>37.299999999999997</v>
      </c>
      <c r="AS133" s="17">
        <v>16.541</v>
      </c>
      <c r="AT133" s="3" t="s">
        <v>146</v>
      </c>
      <c r="AU133" s="3"/>
    </row>
    <row r="134" spans="1:47" x14ac:dyDescent="0.2">
      <c r="A134" s="115">
        <v>132.99999999999912</v>
      </c>
      <c r="B134" s="3">
        <v>22</v>
      </c>
      <c r="C134" s="4">
        <v>21.132999999999999</v>
      </c>
      <c r="D134" s="129" t="s">
        <v>140</v>
      </c>
      <c r="E134" t="s">
        <v>141</v>
      </c>
      <c r="F134" s="3" t="s">
        <v>62</v>
      </c>
      <c r="H134" s="3" t="s">
        <v>62</v>
      </c>
      <c r="I134" s="82">
        <v>44259</v>
      </c>
      <c r="J134" s="17" t="s">
        <v>142</v>
      </c>
      <c r="K134" s="17" t="s">
        <v>203</v>
      </c>
      <c r="L134" s="17"/>
      <c r="M134" s="17"/>
      <c r="N134" s="17">
        <v>201.29</v>
      </c>
      <c r="O134" s="17">
        <v>182.84</v>
      </c>
      <c r="P134" s="17">
        <v>206.68</v>
      </c>
      <c r="Q134" s="17">
        <v>55.75</v>
      </c>
      <c r="R134" s="17">
        <v>33.07</v>
      </c>
      <c r="S134" s="17"/>
      <c r="T134" s="17"/>
      <c r="U134" s="50">
        <v>56.43</v>
      </c>
      <c r="V134" s="50">
        <v>73.09</v>
      </c>
      <c r="W134" s="50">
        <v>77.36</v>
      </c>
      <c r="X134" s="50">
        <v>90.18</v>
      </c>
      <c r="Y134" s="50">
        <v>44.36</v>
      </c>
      <c r="Z134" s="50">
        <v>102.11</v>
      </c>
      <c r="AA134" s="50">
        <v>79.489999999999995</v>
      </c>
      <c r="AB134" s="50">
        <v>80.88</v>
      </c>
      <c r="AC134" s="50">
        <v>16.66</v>
      </c>
      <c r="AD134" s="50">
        <v>43.26</v>
      </c>
      <c r="AE134" s="17">
        <v>32.020000000000003</v>
      </c>
      <c r="AF134" s="17">
        <v>46.05</v>
      </c>
      <c r="AG134" s="17">
        <v>41.36</v>
      </c>
      <c r="AH134" s="17">
        <v>49.53</v>
      </c>
      <c r="AI134" s="17">
        <v>1.8320000000000001</v>
      </c>
      <c r="AJ134" s="54"/>
      <c r="AK134" s="54"/>
      <c r="AL134" s="54"/>
      <c r="AM134" s="17">
        <v>20</v>
      </c>
      <c r="AN134" s="17"/>
      <c r="AO134" s="17">
        <v>9.39</v>
      </c>
      <c r="AP134" s="17">
        <v>120.37</v>
      </c>
      <c r="AQ134" s="17"/>
      <c r="AR134" s="17">
        <v>47.86</v>
      </c>
      <c r="AS134" s="17">
        <v>21.670999999999999</v>
      </c>
      <c r="AT134" s="3" t="s">
        <v>146</v>
      </c>
      <c r="AU134" s="3"/>
    </row>
    <row r="135" spans="1:47" x14ac:dyDescent="0.2">
      <c r="A135" s="115">
        <v>134.00000000000034</v>
      </c>
      <c r="B135" s="3">
        <v>20</v>
      </c>
      <c r="C135" s="4">
        <v>21.134</v>
      </c>
      <c r="D135" s="129" t="s">
        <v>140</v>
      </c>
      <c r="E135" t="s">
        <v>141</v>
      </c>
      <c r="F135" s="3" t="s">
        <v>62</v>
      </c>
      <c r="H135" s="3" t="s">
        <v>62</v>
      </c>
      <c r="I135" s="82">
        <v>44259</v>
      </c>
      <c r="J135" s="17" t="s">
        <v>142</v>
      </c>
      <c r="K135" s="17" t="s">
        <v>203</v>
      </c>
      <c r="L135" s="17"/>
      <c r="M135" s="17"/>
      <c r="N135" s="17">
        <v>229.75</v>
      </c>
      <c r="O135" s="17">
        <v>188.34</v>
      </c>
      <c r="P135" s="17">
        <f>206.64+ 13.92</f>
        <v>220.55999999999997</v>
      </c>
      <c r="Q135" s="17">
        <v>55.47</v>
      </c>
      <c r="R135" s="17">
        <v>34.08</v>
      </c>
      <c r="S135" s="17"/>
      <c r="T135" s="17"/>
      <c r="U135" s="50">
        <v>57.49</v>
      </c>
      <c r="V135" s="50">
        <v>69.13</v>
      </c>
      <c r="W135" s="50">
        <v>78.89</v>
      </c>
      <c r="X135" s="50">
        <v>96.85</v>
      </c>
      <c r="Y135" s="50">
        <v>47.85</v>
      </c>
      <c r="Z135" s="50">
        <v>106.6</v>
      </c>
      <c r="AA135" s="50">
        <v>82.61</v>
      </c>
      <c r="AB135" s="50">
        <v>83.36</v>
      </c>
      <c r="AC135" s="50">
        <v>20.25</v>
      </c>
      <c r="AD135" s="50">
        <v>43.86</v>
      </c>
      <c r="AE135" s="17">
        <v>30.02</v>
      </c>
      <c r="AF135" s="17">
        <v>40.86</v>
      </c>
      <c r="AG135" s="17">
        <v>42.43</v>
      </c>
      <c r="AH135" s="17">
        <v>44.68</v>
      </c>
      <c r="AI135" s="17">
        <v>1.849</v>
      </c>
      <c r="AJ135" s="54"/>
      <c r="AK135" s="54"/>
      <c r="AL135" s="54"/>
      <c r="AM135" s="17">
        <v>21.5</v>
      </c>
      <c r="AN135" s="17"/>
      <c r="AO135" s="17">
        <v>10.34</v>
      </c>
      <c r="AP135" s="17">
        <v>140.68</v>
      </c>
      <c r="AQ135" s="17"/>
      <c r="AR135" s="17">
        <v>54.48</v>
      </c>
      <c r="AS135" s="17">
        <v>24.346</v>
      </c>
      <c r="AT135" s="3" t="s">
        <v>146</v>
      </c>
      <c r="AU135" s="3"/>
    </row>
    <row r="136" spans="1:47" x14ac:dyDescent="0.2">
      <c r="A136" s="115">
        <v>135.00000000000156</v>
      </c>
      <c r="B136" s="3">
        <v>11</v>
      </c>
      <c r="C136" s="4">
        <v>21.135000000000002</v>
      </c>
      <c r="D136" s="129" t="s">
        <v>140</v>
      </c>
      <c r="E136" t="s">
        <v>141</v>
      </c>
      <c r="F136" s="3" t="s">
        <v>497</v>
      </c>
      <c r="I136" s="82">
        <v>44255</v>
      </c>
      <c r="J136" s="17" t="s">
        <v>142</v>
      </c>
      <c r="K136" s="17" t="s">
        <v>203</v>
      </c>
      <c r="L136" s="17"/>
      <c r="M136" s="17"/>
      <c r="N136" s="17">
        <v>174.79</v>
      </c>
      <c r="O136" s="17">
        <v>180.53</v>
      </c>
      <c r="P136" s="17">
        <v>188.1</v>
      </c>
      <c r="Q136" s="17">
        <v>43.36</v>
      </c>
      <c r="R136" s="17">
        <v>28.61</v>
      </c>
      <c r="S136" s="17"/>
      <c r="T136" s="17"/>
      <c r="U136" s="50">
        <v>42.71</v>
      </c>
      <c r="V136" s="50">
        <v>57.01</v>
      </c>
      <c r="W136" s="50">
        <v>67.31</v>
      </c>
      <c r="X136" s="50">
        <v>81.39</v>
      </c>
      <c r="Y136" s="50">
        <v>35.08</v>
      </c>
      <c r="Z136" s="50">
        <v>91.31</v>
      </c>
      <c r="AA136" s="50">
        <v>71.900000000000006</v>
      </c>
      <c r="AB136" s="50">
        <v>66.16</v>
      </c>
      <c r="AC136" s="50">
        <v>8.36</v>
      </c>
      <c r="AD136" s="50">
        <v>44.68</v>
      </c>
      <c r="AE136" s="17">
        <v>37.549999999999997</v>
      </c>
      <c r="AF136" s="17">
        <v>38.49</v>
      </c>
      <c r="AG136" s="17">
        <v>38.64</v>
      </c>
      <c r="AH136" s="17">
        <v>41.9</v>
      </c>
      <c r="AI136" s="17">
        <v>1.7210000000000001</v>
      </c>
      <c r="AJ136" s="54"/>
      <c r="AK136" s="54"/>
      <c r="AL136" s="54"/>
      <c r="AM136" s="17">
        <v>6</v>
      </c>
      <c r="AN136" s="17"/>
      <c r="AO136" s="17">
        <v>7.52</v>
      </c>
      <c r="AP136" s="17">
        <v>124.28</v>
      </c>
      <c r="AQ136" s="17"/>
      <c r="AR136" s="17">
        <v>36.479999999999997</v>
      </c>
      <c r="AS136" s="17">
        <v>15.962999999999999</v>
      </c>
      <c r="AT136" s="3" t="s">
        <v>146</v>
      </c>
      <c r="AU136" s="3"/>
    </row>
    <row r="137" spans="1:47" x14ac:dyDescent="0.2">
      <c r="A137" s="115">
        <v>135.99999999999923</v>
      </c>
      <c r="B137" s="3">
        <v>18</v>
      </c>
      <c r="C137" s="4">
        <v>21.135999999999999</v>
      </c>
      <c r="D137" s="129" t="s">
        <v>140</v>
      </c>
      <c r="E137" t="s">
        <v>141</v>
      </c>
      <c r="F137" s="3" t="s">
        <v>497</v>
      </c>
      <c r="I137" s="82">
        <v>44256</v>
      </c>
      <c r="J137" s="17" t="s">
        <v>142</v>
      </c>
      <c r="K137" s="17" t="s">
        <v>203</v>
      </c>
      <c r="L137" s="17"/>
      <c r="M137" s="17"/>
      <c r="N137" s="17">
        <v>173.9</v>
      </c>
      <c r="O137" s="17">
        <v>172.68</v>
      </c>
      <c r="P137" s="17">
        <v>181.12</v>
      </c>
      <c r="Q137" s="17">
        <v>46.68</v>
      </c>
      <c r="R137" s="17">
        <v>27.99</v>
      </c>
      <c r="S137" s="17"/>
      <c r="T137" s="17"/>
      <c r="U137" s="50">
        <v>41.52</v>
      </c>
      <c r="V137" s="50">
        <v>56.93</v>
      </c>
      <c r="W137" s="50">
        <v>64.58</v>
      </c>
      <c r="X137" s="50">
        <v>83.21</v>
      </c>
      <c r="Y137" s="50">
        <v>34.29</v>
      </c>
      <c r="Z137" s="50">
        <v>90.8</v>
      </c>
      <c r="AA137" s="50">
        <v>72.900000000000006</v>
      </c>
      <c r="AB137" s="50">
        <v>65.08</v>
      </c>
      <c r="AC137" s="50">
        <v>10.89</v>
      </c>
      <c r="AD137" s="50">
        <v>44.04</v>
      </c>
      <c r="AE137" s="17">
        <v>39.81</v>
      </c>
      <c r="AF137" s="17">
        <v>41.62</v>
      </c>
      <c r="AG137" s="17">
        <v>37.28</v>
      </c>
      <c r="AH137" s="17">
        <v>40.17</v>
      </c>
      <c r="AI137" s="17">
        <v>1.641</v>
      </c>
      <c r="AJ137" s="54"/>
      <c r="AK137" s="54"/>
      <c r="AL137" s="54"/>
      <c r="AM137" s="17">
        <v>5.5</v>
      </c>
      <c r="AN137" s="17"/>
      <c r="AO137" s="17">
        <v>10.77</v>
      </c>
      <c r="AP137" s="17">
        <v>119.7</v>
      </c>
      <c r="AQ137" s="17"/>
      <c r="AR137" s="17">
        <v>36.270000000000003</v>
      </c>
      <c r="AS137" s="17">
        <v>16.312000000000001</v>
      </c>
      <c r="AT137" s="3" t="s">
        <v>146</v>
      </c>
      <c r="AU137" s="3"/>
    </row>
    <row r="138" spans="1:47" x14ac:dyDescent="0.2">
      <c r="A138" s="115">
        <v>137.00000000000045</v>
      </c>
      <c r="B138" s="3">
        <v>13</v>
      </c>
      <c r="C138" s="4">
        <v>21.137</v>
      </c>
      <c r="D138" s="129" t="s">
        <v>140</v>
      </c>
      <c r="E138" t="s">
        <v>141</v>
      </c>
      <c r="F138" s="3" t="s">
        <v>60</v>
      </c>
      <c r="H138" s="3" t="s">
        <v>60</v>
      </c>
      <c r="I138" s="82">
        <v>44256</v>
      </c>
      <c r="J138" s="17" t="s">
        <v>142</v>
      </c>
      <c r="K138" s="17" t="s">
        <v>203</v>
      </c>
      <c r="L138" s="17"/>
      <c r="M138" s="17"/>
      <c r="N138" s="17">
        <v>211.53</v>
      </c>
      <c r="O138" s="17">
        <v>160.63</v>
      </c>
      <c r="P138" s="17">
        <v>173.22</v>
      </c>
      <c r="Q138" s="17">
        <v>37.380000000000003</v>
      </c>
      <c r="R138" s="17">
        <v>22.2</v>
      </c>
      <c r="S138" s="17"/>
      <c r="T138" s="17"/>
      <c r="U138" s="50">
        <v>41.95</v>
      </c>
      <c r="V138" s="50">
        <v>62.94</v>
      </c>
      <c r="W138" s="50">
        <v>72.459999999999994</v>
      </c>
      <c r="X138" s="50">
        <v>88.2</v>
      </c>
      <c r="Y138" s="50">
        <v>40.35</v>
      </c>
      <c r="Z138" s="50">
        <v>92.71</v>
      </c>
      <c r="AA138" s="50">
        <v>75.28</v>
      </c>
      <c r="AB138" s="50">
        <v>71.87</v>
      </c>
      <c r="AC138" s="50">
        <v>4.3</v>
      </c>
      <c r="AD138" s="50">
        <v>50.18</v>
      </c>
      <c r="AE138" s="17">
        <v>27.99</v>
      </c>
      <c r="AF138" s="17">
        <v>35.770000000000003</v>
      </c>
      <c r="AG138" s="17">
        <v>33.53</v>
      </c>
      <c r="AH138" s="17">
        <v>41.91</v>
      </c>
      <c r="AI138" s="17">
        <v>2.0310000000000001</v>
      </c>
      <c r="AJ138" s="54"/>
      <c r="AK138" s="54"/>
      <c r="AL138" s="54"/>
      <c r="AM138" s="17">
        <v>33</v>
      </c>
      <c r="AN138" s="17"/>
      <c r="AO138" s="17">
        <v>12.03</v>
      </c>
      <c r="AP138" s="17">
        <v>113.59</v>
      </c>
      <c r="AQ138" s="17"/>
      <c r="AR138" s="17">
        <v>50.57</v>
      </c>
      <c r="AS138" s="17">
        <v>21.782</v>
      </c>
      <c r="AT138" s="3" t="s">
        <v>146</v>
      </c>
      <c r="AU138" s="3"/>
    </row>
    <row r="139" spans="1:47" x14ac:dyDescent="0.2">
      <c r="A139" s="115">
        <v>138.00000000000168</v>
      </c>
      <c r="B139" s="3">
        <v>12</v>
      </c>
      <c r="C139" s="4">
        <v>21.138000000000002</v>
      </c>
      <c r="D139" s="129" t="s">
        <v>140</v>
      </c>
      <c r="E139" t="s">
        <v>141</v>
      </c>
      <c r="F139" s="3" t="s">
        <v>60</v>
      </c>
      <c r="H139" s="3" t="s">
        <v>60</v>
      </c>
      <c r="I139" s="82">
        <v>44256</v>
      </c>
      <c r="J139" s="17" t="s">
        <v>142</v>
      </c>
      <c r="K139" s="17" t="s">
        <v>203</v>
      </c>
      <c r="L139" s="17"/>
      <c r="M139" s="17"/>
      <c r="N139" s="17">
        <v>208.21</v>
      </c>
      <c r="O139" s="17">
        <v>164.61</v>
      </c>
      <c r="P139" s="17">
        <v>147.4</v>
      </c>
      <c r="Q139" s="17">
        <v>28.14</v>
      </c>
      <c r="R139" s="17">
        <v>21.69</v>
      </c>
      <c r="S139" s="17"/>
      <c r="T139" s="17"/>
      <c r="U139" s="50">
        <v>43.01</v>
      </c>
      <c r="V139" s="50">
        <v>63.24</v>
      </c>
      <c r="W139" s="50">
        <v>74.86</v>
      </c>
      <c r="X139" s="50">
        <v>87.67</v>
      </c>
      <c r="Y139" s="50">
        <v>41.47</v>
      </c>
      <c r="Z139" s="50">
        <v>93.71</v>
      </c>
      <c r="AA139" s="50">
        <v>75.09</v>
      </c>
      <c r="AB139" s="50">
        <v>69.7</v>
      </c>
      <c r="AC139" s="50">
        <v>7.58</v>
      </c>
      <c r="AD139" s="50">
        <v>48.77</v>
      </c>
      <c r="AE139" s="17">
        <v>36.549999999999997</v>
      </c>
      <c r="AF139" s="17">
        <v>37.86</v>
      </c>
      <c r="AG139" s="17">
        <v>25.73</v>
      </c>
      <c r="AH139" s="17">
        <v>34.57</v>
      </c>
      <c r="AI139" s="17">
        <v>2.0910000000000002</v>
      </c>
      <c r="AJ139" s="54"/>
      <c r="AK139" s="54"/>
      <c r="AL139" s="54"/>
      <c r="AM139" s="17">
        <v>37</v>
      </c>
      <c r="AN139" s="17"/>
      <c r="AO139" s="17">
        <v>11.09</v>
      </c>
      <c r="AP139" s="17">
        <v>111.29</v>
      </c>
      <c r="AQ139" s="17"/>
      <c r="AR139" s="17">
        <v>49.51</v>
      </c>
      <c r="AS139" s="17">
        <v>21.236999999999998</v>
      </c>
      <c r="AT139" s="3" t="s">
        <v>146</v>
      </c>
      <c r="AU139" s="3"/>
    </row>
    <row r="140" spans="1:47" x14ac:dyDescent="0.2">
      <c r="A140" s="115">
        <v>138.99999999999935</v>
      </c>
      <c r="B140" s="3">
        <v>14</v>
      </c>
      <c r="C140" s="4">
        <v>21.138999999999999</v>
      </c>
      <c r="D140" s="129" t="s">
        <v>140</v>
      </c>
      <c r="E140" t="s">
        <v>141</v>
      </c>
      <c r="F140" s="3" t="s">
        <v>60</v>
      </c>
      <c r="H140" s="3" t="s">
        <v>60</v>
      </c>
      <c r="I140" s="82">
        <v>44256</v>
      </c>
      <c r="J140" s="17" t="s">
        <v>142</v>
      </c>
      <c r="K140" s="17" t="s">
        <v>203</v>
      </c>
      <c r="L140" s="17"/>
      <c r="M140" s="17"/>
      <c r="N140" s="17">
        <v>210.3</v>
      </c>
      <c r="O140" s="17">
        <v>169.3</v>
      </c>
      <c r="P140" s="17">
        <v>160.33000000000001</v>
      </c>
      <c r="Q140" s="17">
        <v>34.79</v>
      </c>
      <c r="R140" s="17">
        <v>23.89</v>
      </c>
      <c r="S140" s="17"/>
      <c r="T140" s="17"/>
      <c r="U140" s="50">
        <v>48.19</v>
      </c>
      <c r="V140" s="50">
        <v>58.14</v>
      </c>
      <c r="W140" s="50">
        <v>72.98</v>
      </c>
      <c r="X140" s="50">
        <v>91.55</v>
      </c>
      <c r="Y140" s="50">
        <v>46.77</v>
      </c>
      <c r="Z140" s="50">
        <v>96.61</v>
      </c>
      <c r="AA140" s="50">
        <v>79.7</v>
      </c>
      <c r="AB140" s="50">
        <v>68.040000000000006</v>
      </c>
      <c r="AC140" s="50">
        <v>7.83</v>
      </c>
      <c r="AD140" s="50">
        <v>48.5</v>
      </c>
      <c r="AE140" s="17">
        <v>33.53</v>
      </c>
      <c r="AF140" s="17">
        <v>38.880000000000003</v>
      </c>
      <c r="AG140" s="17">
        <v>30.28</v>
      </c>
      <c r="AH140" s="17">
        <v>38</v>
      </c>
      <c r="AI140" s="17">
        <v>2.3220000000000001</v>
      </c>
      <c r="AJ140" s="54"/>
      <c r="AK140" s="54"/>
      <c r="AL140" s="54"/>
      <c r="AM140" s="17">
        <v>30.5</v>
      </c>
      <c r="AN140" s="17"/>
      <c r="AO140" s="17">
        <v>10.66</v>
      </c>
      <c r="AP140" s="17">
        <v>115.08</v>
      </c>
      <c r="AQ140" s="17"/>
      <c r="AR140" s="17">
        <v>51.38</v>
      </c>
      <c r="AS140" s="17">
        <v>22.321999999999999</v>
      </c>
      <c r="AT140" s="3" t="s">
        <v>146</v>
      </c>
      <c r="AU140" s="3"/>
    </row>
    <row r="141" spans="1:47" x14ac:dyDescent="0.2">
      <c r="A141" s="115">
        <v>140.00000000000057</v>
      </c>
      <c r="B141" s="3" t="s">
        <v>519</v>
      </c>
      <c r="C141" s="2" t="s">
        <v>520</v>
      </c>
      <c r="D141" s="132" t="s">
        <v>223</v>
      </c>
      <c r="E141" t="s">
        <v>223</v>
      </c>
      <c r="F141" s="3" t="s">
        <v>73</v>
      </c>
      <c r="G141" s="3" t="s">
        <v>73</v>
      </c>
      <c r="H141" s="14"/>
      <c r="I141" s="82">
        <v>44264</v>
      </c>
      <c r="J141" s="17" t="s">
        <v>142</v>
      </c>
      <c r="K141" s="17" t="s">
        <v>203</v>
      </c>
      <c r="L141" s="17"/>
      <c r="M141" s="17"/>
      <c r="N141" s="17">
        <v>195</v>
      </c>
      <c r="O141" s="17">
        <v>157.76</v>
      </c>
      <c r="P141" s="17">
        <v>160.27000000000001</v>
      </c>
      <c r="Q141" s="17">
        <v>42.36</v>
      </c>
      <c r="R141" s="17">
        <v>19.62</v>
      </c>
      <c r="S141" s="17"/>
      <c r="T141" s="17"/>
      <c r="U141" s="50">
        <v>50.53</v>
      </c>
      <c r="V141" s="50">
        <v>74.36</v>
      </c>
      <c r="W141" s="50">
        <v>76.75</v>
      </c>
      <c r="X141" s="50">
        <v>86.93</v>
      </c>
      <c r="Y141" s="50">
        <v>41.75</v>
      </c>
      <c r="Z141" s="50">
        <v>100.21</v>
      </c>
      <c r="AA141" s="50">
        <v>74.45</v>
      </c>
      <c r="AB141" s="50">
        <v>81.209999999999994</v>
      </c>
      <c r="AC141" s="50">
        <v>23.63</v>
      </c>
      <c r="AD141" s="50">
        <v>49.6</v>
      </c>
      <c r="AE141" s="17">
        <v>32.81</v>
      </c>
      <c r="AF141" s="17">
        <v>31.6</v>
      </c>
      <c r="AG141" s="17">
        <v>32.18</v>
      </c>
      <c r="AH141" s="17">
        <v>32.14</v>
      </c>
      <c r="AI141" s="17">
        <v>2.012</v>
      </c>
      <c r="AJ141" s="54"/>
      <c r="AK141" s="54"/>
      <c r="AL141" s="54"/>
      <c r="AM141" s="17">
        <v>0</v>
      </c>
      <c r="AN141" s="17"/>
      <c r="AO141" s="17">
        <v>9.98</v>
      </c>
      <c r="AP141" s="17">
        <v>128.11000000000001</v>
      </c>
      <c r="AQ141" s="17"/>
      <c r="AR141" s="17">
        <v>54.01</v>
      </c>
      <c r="AS141" s="17">
        <v>23.474</v>
      </c>
      <c r="AT141" s="3" t="s">
        <v>146</v>
      </c>
      <c r="AU141" s="3"/>
    </row>
    <row r="142" spans="1:47" x14ac:dyDescent="0.2">
      <c r="A142" s="115">
        <v>140.99999999999824</v>
      </c>
      <c r="B142" s="3">
        <v>41</v>
      </c>
      <c r="C142" s="4">
        <v>21.140999999999998</v>
      </c>
      <c r="D142" s="126" t="s">
        <v>168</v>
      </c>
      <c r="E142" t="s">
        <v>169</v>
      </c>
      <c r="F142" s="3" t="s">
        <v>170</v>
      </c>
      <c r="H142" s="3" t="s">
        <v>29</v>
      </c>
      <c r="I142" s="82">
        <v>44271</v>
      </c>
      <c r="J142" s="17" t="s">
        <v>142</v>
      </c>
      <c r="K142" s="17" t="s">
        <v>203</v>
      </c>
      <c r="L142" s="17"/>
      <c r="M142" s="17"/>
      <c r="N142" s="17">
        <v>243.48</v>
      </c>
      <c r="O142" s="17">
        <v>172.28</v>
      </c>
      <c r="P142" s="17">
        <v>179.79</v>
      </c>
      <c r="Q142" s="17">
        <v>45.54</v>
      </c>
      <c r="R142" s="17">
        <v>21.98</v>
      </c>
      <c r="S142" s="17"/>
      <c r="T142" s="17"/>
      <c r="U142" s="50">
        <v>52.8</v>
      </c>
      <c r="V142" s="50">
        <v>64.36</v>
      </c>
      <c r="W142" s="50">
        <v>72.8</v>
      </c>
      <c r="X142" s="50">
        <v>84.27</v>
      </c>
      <c r="Y142" s="50">
        <v>39.81</v>
      </c>
      <c r="Z142" s="50">
        <v>92.24</v>
      </c>
      <c r="AA142" s="50">
        <v>73.209999999999994</v>
      </c>
      <c r="AB142" s="50">
        <v>80.430000000000007</v>
      </c>
      <c r="AC142" s="50">
        <v>31.01</v>
      </c>
      <c r="AD142" s="50">
        <v>50.75</v>
      </c>
      <c r="AE142" s="17">
        <v>36.81</v>
      </c>
      <c r="AF142" s="17">
        <v>38.81</v>
      </c>
      <c r="AG142" s="17">
        <v>33.299999999999997</v>
      </c>
      <c r="AH142" s="17">
        <v>43.93</v>
      </c>
      <c r="AI142" s="17">
        <v>1.889</v>
      </c>
      <c r="AJ142" s="54"/>
      <c r="AK142" s="54"/>
      <c r="AL142" s="54"/>
      <c r="AM142" s="17">
        <v>31</v>
      </c>
      <c r="AN142" s="17"/>
      <c r="AO142" s="17">
        <v>12.49</v>
      </c>
      <c r="AP142" s="17">
        <v>144.15</v>
      </c>
      <c r="AQ142" s="17"/>
      <c r="AR142" s="17">
        <v>52.08</v>
      </c>
      <c r="AS142" s="17">
        <v>23.157</v>
      </c>
      <c r="AT142" s="3" t="s">
        <v>146</v>
      </c>
      <c r="AU142" s="3"/>
    </row>
    <row r="143" spans="1:47" x14ac:dyDescent="0.2">
      <c r="A143" s="115">
        <v>141.99999999999946</v>
      </c>
      <c r="B143" s="3">
        <v>56</v>
      </c>
      <c r="C143" s="4">
        <v>21.141999999999999</v>
      </c>
      <c r="D143" s="126" t="s">
        <v>168</v>
      </c>
      <c r="E143" t="s">
        <v>232</v>
      </c>
      <c r="F143" s="3" t="s">
        <v>251</v>
      </c>
      <c r="G143"/>
      <c r="H143" s="3" t="s">
        <v>498</v>
      </c>
      <c r="I143" s="82">
        <v>44276</v>
      </c>
      <c r="J143" s="17" t="s">
        <v>142</v>
      </c>
      <c r="K143" s="17" t="s">
        <v>203</v>
      </c>
      <c r="L143" s="17"/>
      <c r="M143" s="17"/>
      <c r="N143" s="17">
        <v>207.04</v>
      </c>
      <c r="O143" s="17">
        <v>214.02</v>
      </c>
      <c r="P143" s="17">
        <v>206.68</v>
      </c>
      <c r="Q143" s="17">
        <v>60.1</v>
      </c>
      <c r="R143" s="17">
        <v>33.54</v>
      </c>
      <c r="S143" s="17"/>
      <c r="T143" s="17"/>
      <c r="U143" s="50">
        <v>51.74</v>
      </c>
      <c r="V143" s="50">
        <v>75.55</v>
      </c>
      <c r="W143" s="50">
        <v>80.47</v>
      </c>
      <c r="X143" s="50">
        <v>99.55</v>
      </c>
      <c r="Y143" s="50">
        <v>44.85</v>
      </c>
      <c r="Z143" s="50">
        <v>102.91</v>
      </c>
      <c r="AA143" s="50">
        <v>78.78</v>
      </c>
      <c r="AB143" s="50">
        <v>75.28</v>
      </c>
      <c r="AC143" s="50">
        <v>6.64</v>
      </c>
      <c r="AD143" s="50">
        <v>41.55</v>
      </c>
      <c r="AE143" s="17">
        <v>31.33</v>
      </c>
      <c r="AF143" s="17">
        <v>46.8</v>
      </c>
      <c r="AG143" s="17">
        <v>34.93</v>
      </c>
      <c r="AH143" s="17">
        <v>42.49</v>
      </c>
      <c r="AI143" s="17">
        <v>1.7949999999999999</v>
      </c>
      <c r="AJ143" s="54"/>
      <c r="AK143" s="54"/>
      <c r="AL143" s="54"/>
      <c r="AM143" s="17">
        <v>14</v>
      </c>
      <c r="AN143" s="17"/>
      <c r="AO143" s="17">
        <v>18.89</v>
      </c>
      <c r="AP143" s="17">
        <v>127.22</v>
      </c>
      <c r="AQ143" s="17"/>
      <c r="AR143" s="17">
        <v>46.1</v>
      </c>
      <c r="AS143" s="17">
        <v>19.504000000000001</v>
      </c>
      <c r="AT143" s="3" t="s">
        <v>146</v>
      </c>
      <c r="AU143" s="3"/>
    </row>
    <row r="144" spans="1:47" x14ac:dyDescent="0.2">
      <c r="A144" s="115">
        <v>143.00000000000068</v>
      </c>
      <c r="B144" s="3">
        <v>39</v>
      </c>
      <c r="C144" s="4">
        <v>21.143000000000001</v>
      </c>
      <c r="D144" s="129" t="s">
        <v>140</v>
      </c>
      <c r="E144" t="s">
        <v>141</v>
      </c>
      <c r="F144" s="3" t="s">
        <v>61</v>
      </c>
      <c r="H144" s="3" t="s">
        <v>61</v>
      </c>
      <c r="I144" s="82">
        <v>44275</v>
      </c>
      <c r="J144" s="17" t="s">
        <v>142</v>
      </c>
      <c r="K144" s="17" t="s">
        <v>203</v>
      </c>
      <c r="L144" s="17"/>
      <c r="M144" s="17"/>
      <c r="N144" s="17">
        <v>184.61</v>
      </c>
      <c r="O144" s="17">
        <v>194.06</v>
      </c>
      <c r="P144" s="17">
        <v>198.13</v>
      </c>
      <c r="Q144" s="17">
        <v>56.17</v>
      </c>
      <c r="R144" s="17">
        <v>27.06</v>
      </c>
      <c r="S144" s="17"/>
      <c r="T144" s="17"/>
      <c r="U144" s="50">
        <v>41.72</v>
      </c>
      <c r="V144" s="50">
        <v>54.55</v>
      </c>
      <c r="W144" s="50">
        <v>63.13</v>
      </c>
      <c r="X144" s="50">
        <v>83.86</v>
      </c>
      <c r="Y144" s="50">
        <v>39.47</v>
      </c>
      <c r="Z144" s="50">
        <v>90.76</v>
      </c>
      <c r="AA144" s="50">
        <v>76.290000000000006</v>
      </c>
      <c r="AB144" s="50">
        <v>66.239999999999995</v>
      </c>
      <c r="AC144" s="50">
        <v>10.52</v>
      </c>
      <c r="AD144" s="50">
        <v>46.53</v>
      </c>
      <c r="AE144" s="17">
        <v>42.06</v>
      </c>
      <c r="AF144" s="17">
        <v>46.03</v>
      </c>
      <c r="AG144" s="17">
        <v>40.869999999999997</v>
      </c>
      <c r="AH144" s="17">
        <v>40.619999999999997</v>
      </c>
      <c r="AI144" s="17">
        <v>1.556</v>
      </c>
      <c r="AJ144" s="54"/>
      <c r="AK144" s="54"/>
      <c r="AL144" s="54"/>
      <c r="AM144" s="17">
        <v>17</v>
      </c>
      <c r="AN144" s="17"/>
      <c r="AO144" s="17">
        <v>10.7</v>
      </c>
      <c r="AP144" s="17">
        <v>115.16</v>
      </c>
      <c r="AQ144" s="17"/>
      <c r="AR144" s="17">
        <v>40.549999999999997</v>
      </c>
      <c r="AS144" s="17">
        <v>18.007999999999999</v>
      </c>
      <c r="AT144" s="3" t="s">
        <v>146</v>
      </c>
      <c r="AU144" s="3"/>
    </row>
    <row r="145" spans="1:47" x14ac:dyDescent="0.2">
      <c r="A145" s="115">
        <v>143.99999999999835</v>
      </c>
      <c r="B145" s="3">
        <v>38</v>
      </c>
      <c r="C145" s="4">
        <v>21.143999999999998</v>
      </c>
      <c r="D145" s="129" t="s">
        <v>140</v>
      </c>
      <c r="E145" t="s">
        <v>141</v>
      </c>
      <c r="F145" s="3" t="s">
        <v>61</v>
      </c>
      <c r="H145" s="3" t="s">
        <v>61</v>
      </c>
      <c r="I145" s="82">
        <v>44275</v>
      </c>
      <c r="J145" s="17" t="s">
        <v>142</v>
      </c>
      <c r="K145" s="17" t="s">
        <v>203</v>
      </c>
      <c r="L145" s="17"/>
      <c r="M145" s="17"/>
      <c r="N145" s="17">
        <v>174.88</v>
      </c>
      <c r="O145" s="17">
        <v>176.77</v>
      </c>
      <c r="P145" s="17">
        <v>188.32</v>
      </c>
      <c r="Q145" s="17">
        <v>48.34</v>
      </c>
      <c r="R145" s="17">
        <v>23.31</v>
      </c>
      <c r="S145" s="17"/>
      <c r="T145" s="17"/>
      <c r="U145" s="50">
        <v>41.61</v>
      </c>
      <c r="V145" s="50">
        <v>51.36</v>
      </c>
      <c r="W145" s="50">
        <v>63.13</v>
      </c>
      <c r="X145" s="50">
        <v>82.67</v>
      </c>
      <c r="Y145" s="50">
        <v>38.85</v>
      </c>
      <c r="Z145" s="50">
        <v>89.06</v>
      </c>
      <c r="AA145" s="50">
        <v>70.03</v>
      </c>
      <c r="AB145" s="50">
        <v>60.72</v>
      </c>
      <c r="AC145" s="50">
        <v>11.2</v>
      </c>
      <c r="AD145" s="50">
        <v>43.19</v>
      </c>
      <c r="AE145" s="17">
        <v>36.619999999999997</v>
      </c>
      <c r="AF145" s="17">
        <v>39.81</v>
      </c>
      <c r="AG145" s="17">
        <v>34.21</v>
      </c>
      <c r="AH145" s="17">
        <v>35.31</v>
      </c>
      <c r="AI145" s="17">
        <v>1.49</v>
      </c>
      <c r="AJ145" s="54"/>
      <c r="AK145" s="54"/>
      <c r="AL145" s="54"/>
      <c r="AM145" s="17">
        <v>9.5</v>
      </c>
      <c r="AN145" s="17"/>
      <c r="AO145" s="17">
        <v>10.9</v>
      </c>
      <c r="AP145" s="17">
        <v>115.04</v>
      </c>
      <c r="AQ145" s="17"/>
      <c r="AR145" s="17">
        <v>38.43</v>
      </c>
      <c r="AS145" s="17">
        <v>16.91</v>
      </c>
      <c r="AT145" s="3" t="s">
        <v>146</v>
      </c>
      <c r="AU145" s="3"/>
    </row>
    <row r="146" spans="1:47" x14ac:dyDescent="0.2">
      <c r="A146" s="115">
        <v>144.99999999999957</v>
      </c>
      <c r="B146" s="3">
        <v>37</v>
      </c>
      <c r="C146" s="4">
        <v>21.145</v>
      </c>
      <c r="D146" s="129" t="s">
        <v>140</v>
      </c>
      <c r="E146" t="s">
        <v>141</v>
      </c>
      <c r="F146" s="3" t="s">
        <v>61</v>
      </c>
      <c r="H146" s="3" t="s">
        <v>61</v>
      </c>
      <c r="I146" s="82">
        <v>44275</v>
      </c>
      <c r="J146" s="17" t="s">
        <v>142</v>
      </c>
      <c r="K146" s="17" t="s">
        <v>203</v>
      </c>
      <c r="L146" s="17"/>
      <c r="M146" s="17"/>
      <c r="N146" s="17">
        <v>184.65</v>
      </c>
      <c r="O146" s="17">
        <v>195.88</v>
      </c>
      <c r="P146" s="17">
        <v>193.37</v>
      </c>
      <c r="Q146" s="17">
        <v>45.28</v>
      </c>
      <c r="R146" s="17">
        <v>27.44</v>
      </c>
      <c r="S146" s="17"/>
      <c r="T146" s="17"/>
      <c r="U146" s="50">
        <v>38.31</v>
      </c>
      <c r="V146" s="50">
        <v>54.32</v>
      </c>
      <c r="W146" s="50">
        <v>63.94</v>
      </c>
      <c r="X146" s="50">
        <v>81.73</v>
      </c>
      <c r="Y146" s="50">
        <v>35.81</v>
      </c>
      <c r="Z146" s="50">
        <v>90.21</v>
      </c>
      <c r="AA146" s="50">
        <v>68.16</v>
      </c>
      <c r="AB146" s="50">
        <v>66.16</v>
      </c>
      <c r="AC146" s="50">
        <v>14.04</v>
      </c>
      <c r="AD146" s="50">
        <v>45.23</v>
      </c>
      <c r="AE146" s="17">
        <v>45.71</v>
      </c>
      <c r="AF146" s="17">
        <v>43.66</v>
      </c>
      <c r="AG146" s="17">
        <v>42.95</v>
      </c>
      <c r="AH146" s="17">
        <v>35.78</v>
      </c>
      <c r="AI146" s="17">
        <v>1.571</v>
      </c>
      <c r="AJ146" s="54"/>
      <c r="AK146" s="54"/>
      <c r="AL146" s="54"/>
      <c r="AM146" s="17">
        <v>25</v>
      </c>
      <c r="AN146" s="17"/>
      <c r="AO146" s="17">
        <v>9.4600000000000009</v>
      </c>
      <c r="AP146" s="17">
        <v>117.98</v>
      </c>
      <c r="AQ146" s="17"/>
      <c r="AR146" s="17">
        <v>39.54</v>
      </c>
      <c r="AS146" s="17">
        <v>17.425000000000001</v>
      </c>
      <c r="AT146" s="3" t="s">
        <v>146</v>
      </c>
      <c r="AU146" s="3"/>
    </row>
    <row r="147" spans="1:47" x14ac:dyDescent="0.2">
      <c r="A147" s="115">
        <v>146.0000000000008</v>
      </c>
      <c r="B147" s="3">
        <v>36</v>
      </c>
      <c r="C147" s="4">
        <v>21.146000000000001</v>
      </c>
      <c r="D147" s="129" t="s">
        <v>140</v>
      </c>
      <c r="E147" t="s">
        <v>141</v>
      </c>
      <c r="F147" s="3" t="s">
        <v>61</v>
      </c>
      <c r="H147" s="3" t="s">
        <v>61</v>
      </c>
      <c r="I147" s="82">
        <v>44275</v>
      </c>
      <c r="J147" s="17" t="s">
        <v>142</v>
      </c>
      <c r="K147" s="17" t="s">
        <v>203</v>
      </c>
      <c r="L147" s="17"/>
      <c r="M147" s="17"/>
      <c r="N147" s="17">
        <v>182.9</v>
      </c>
      <c r="O147" s="17">
        <v>170.04</v>
      </c>
      <c r="P147" s="17">
        <v>187.7</v>
      </c>
      <c r="Q147" s="17">
        <v>57.35</v>
      </c>
      <c r="R147" s="17">
        <v>25.73</v>
      </c>
      <c r="S147" s="17"/>
      <c r="T147" s="17"/>
      <c r="U147" s="50">
        <v>35.82</v>
      </c>
      <c r="V147" s="50">
        <v>57.06</v>
      </c>
      <c r="W147" s="50">
        <v>61.99</v>
      </c>
      <c r="X147" s="50">
        <v>85.14</v>
      </c>
      <c r="Y147" s="50">
        <v>33.590000000000003</v>
      </c>
      <c r="Z147" s="50">
        <v>91.05</v>
      </c>
      <c r="AA147" s="50">
        <v>72.91</v>
      </c>
      <c r="AB147" s="50">
        <v>63.21</v>
      </c>
      <c r="AC147" s="50">
        <v>8.91</v>
      </c>
      <c r="AD147" s="50">
        <v>47.17</v>
      </c>
      <c r="AE147" s="17">
        <v>29.52</v>
      </c>
      <c r="AF147" s="17">
        <v>36.07</v>
      </c>
      <c r="AG147" s="17">
        <v>36.880000000000003</v>
      </c>
      <c r="AH147" s="17">
        <v>40.22</v>
      </c>
      <c r="AI147" s="17">
        <v>1.702</v>
      </c>
      <c r="AJ147" s="54"/>
      <c r="AK147" s="54"/>
      <c r="AL147" s="54"/>
      <c r="AM147" s="17">
        <v>24</v>
      </c>
      <c r="AN147" s="17"/>
      <c r="AO147" s="17">
        <v>9.2200000000000006</v>
      </c>
      <c r="AP147" s="17">
        <v>107.71</v>
      </c>
      <c r="AQ147" s="17"/>
      <c r="AR147" s="17">
        <v>39.619999999999997</v>
      </c>
      <c r="AS147" s="17">
        <v>17.556999999999999</v>
      </c>
      <c r="AT147" s="3" t="s">
        <v>146</v>
      </c>
      <c r="AU147" s="3"/>
    </row>
    <row r="148" spans="1:47" x14ac:dyDescent="0.2">
      <c r="A148" s="115">
        <v>146.99999999999847</v>
      </c>
      <c r="B148" s="3">
        <v>45</v>
      </c>
      <c r="C148" s="4">
        <v>21.146999999999998</v>
      </c>
      <c r="D148" s="129" t="s">
        <v>140</v>
      </c>
      <c r="E148" t="s">
        <v>141</v>
      </c>
      <c r="F148" s="3" t="s">
        <v>60</v>
      </c>
      <c r="G148" s="35"/>
      <c r="H148" s="3" t="s">
        <v>60</v>
      </c>
      <c r="I148" s="82">
        <v>44277</v>
      </c>
      <c r="J148" s="17" t="s">
        <v>142</v>
      </c>
      <c r="K148" s="17" t="s">
        <v>203</v>
      </c>
      <c r="L148" s="17"/>
      <c r="M148" s="17"/>
      <c r="N148" s="17">
        <v>234</v>
      </c>
      <c r="O148" s="17">
        <v>205.23</v>
      </c>
      <c r="P148" s="17">
        <v>206.68</v>
      </c>
      <c r="Q148" s="17">
        <v>53.27</v>
      </c>
      <c r="R148" s="17">
        <v>32.6</v>
      </c>
      <c r="S148" s="17"/>
      <c r="T148" s="17"/>
      <c r="U148" s="50">
        <v>51.76</v>
      </c>
      <c r="V148" s="50">
        <v>62.74</v>
      </c>
      <c r="W148" s="50">
        <v>76.2</v>
      </c>
      <c r="X148" s="50">
        <v>93.91</v>
      </c>
      <c r="Y148" s="50">
        <v>42.82</v>
      </c>
      <c r="Z148" s="50">
        <v>103.02</v>
      </c>
      <c r="AA148" s="50">
        <v>81.72</v>
      </c>
      <c r="AB148" s="50">
        <v>79.33</v>
      </c>
      <c r="AC148" s="50">
        <v>14.64</v>
      </c>
      <c r="AD148" s="50">
        <v>43.87</v>
      </c>
      <c r="AE148" s="17">
        <v>37.03</v>
      </c>
      <c r="AF148" s="17">
        <v>42.84</v>
      </c>
      <c r="AG148" s="17">
        <v>44.48</v>
      </c>
      <c r="AH148" s="17">
        <v>47.98</v>
      </c>
      <c r="AI148" s="17">
        <v>1.796</v>
      </c>
      <c r="AJ148" s="54"/>
      <c r="AK148" s="54"/>
      <c r="AL148" s="54"/>
      <c r="AM148" s="17"/>
      <c r="AN148" s="17"/>
      <c r="AO148" s="17">
        <v>12.47</v>
      </c>
      <c r="AP148" s="17">
        <v>145.63</v>
      </c>
      <c r="AQ148" s="17"/>
      <c r="AR148" s="17">
        <v>52.4</v>
      </c>
      <c r="AS148" s="17">
        <v>22.475999999999999</v>
      </c>
      <c r="AT148" s="3" t="s">
        <v>146</v>
      </c>
      <c r="AU148" s="3"/>
    </row>
    <row r="149" spans="1:47" x14ac:dyDescent="0.2">
      <c r="A149" s="115">
        <v>147.99999999999969</v>
      </c>
      <c r="B149" s="3">
        <v>42</v>
      </c>
      <c r="C149" s="4">
        <v>21.148</v>
      </c>
      <c r="D149" s="129" t="s">
        <v>140</v>
      </c>
      <c r="E149" t="s">
        <v>141</v>
      </c>
      <c r="F149" s="3" t="s">
        <v>60</v>
      </c>
      <c r="G149" s="35"/>
      <c r="H149" s="3" t="s">
        <v>60</v>
      </c>
      <c r="I149" s="82">
        <v>44277</v>
      </c>
      <c r="J149" s="17" t="s">
        <v>142</v>
      </c>
      <c r="K149" s="17" t="s">
        <v>203</v>
      </c>
      <c r="L149" s="17"/>
      <c r="M149" s="17"/>
      <c r="N149" s="17">
        <v>198.57</v>
      </c>
      <c r="O149" s="17">
        <v>179.16</v>
      </c>
      <c r="P149" s="17">
        <v>206.17</v>
      </c>
      <c r="Q149" s="17">
        <v>51.42</v>
      </c>
      <c r="R149" s="17">
        <v>30.98</v>
      </c>
      <c r="S149" s="17"/>
      <c r="T149" s="17"/>
      <c r="U149" s="50">
        <v>53.08</v>
      </c>
      <c r="V149" s="50">
        <v>71.849999999999994</v>
      </c>
      <c r="W149" s="50">
        <v>74.23</v>
      </c>
      <c r="X149" s="50">
        <v>89.65</v>
      </c>
      <c r="Y149" s="50">
        <v>44.57</v>
      </c>
      <c r="Z149" s="50">
        <v>101.48</v>
      </c>
      <c r="AA149" s="50">
        <v>76.27</v>
      </c>
      <c r="AB149" s="50">
        <v>79</v>
      </c>
      <c r="AC149" s="50">
        <v>21.33</v>
      </c>
      <c r="AD149" s="50">
        <v>41.91</v>
      </c>
      <c r="AE149" s="17">
        <v>37.94</v>
      </c>
      <c r="AF149" s="17">
        <v>37.950000000000003</v>
      </c>
      <c r="AG149" s="17">
        <v>41.5</v>
      </c>
      <c r="AH149" s="17">
        <v>41.51</v>
      </c>
      <c r="AI149" s="17">
        <v>1.43</v>
      </c>
      <c r="AJ149" s="54"/>
      <c r="AK149" s="54"/>
      <c r="AL149" s="54"/>
      <c r="AM149" s="17">
        <v>22</v>
      </c>
      <c r="AN149" s="17"/>
      <c r="AO149" s="17">
        <v>15.91</v>
      </c>
      <c r="AP149" s="17">
        <v>127.07</v>
      </c>
      <c r="AQ149" s="17"/>
      <c r="AR149" s="17">
        <v>41.37</v>
      </c>
      <c r="AS149" s="17">
        <v>18.247</v>
      </c>
      <c r="AT149" s="3" t="s">
        <v>146</v>
      </c>
      <c r="AU149" s="3"/>
    </row>
    <row r="150" spans="1:47" x14ac:dyDescent="0.2">
      <c r="A150" s="115">
        <v>149.00000000000091</v>
      </c>
      <c r="B150" s="3">
        <v>32</v>
      </c>
      <c r="C150" s="4">
        <v>21.149000000000001</v>
      </c>
      <c r="D150" s="129" t="s">
        <v>140</v>
      </c>
      <c r="E150" t="s">
        <v>141</v>
      </c>
      <c r="F150" s="3" t="s">
        <v>62</v>
      </c>
      <c r="G150" s="35"/>
      <c r="H150" s="3" t="s">
        <v>62</v>
      </c>
      <c r="I150" s="82">
        <v>44268</v>
      </c>
      <c r="J150" s="17" t="s">
        <v>142</v>
      </c>
      <c r="K150" s="17" t="s">
        <v>203</v>
      </c>
      <c r="L150" s="17"/>
      <c r="M150" s="17"/>
      <c r="N150" s="17">
        <v>224.17</v>
      </c>
      <c r="O150" s="17">
        <v>206.68</v>
      </c>
      <c r="P150" s="17">
        <f xml:space="preserve"> 206.66+ 23.55</f>
        <v>230.21</v>
      </c>
      <c r="Q150" s="17">
        <v>53.42</v>
      </c>
      <c r="R150" s="17">
        <v>39.99</v>
      </c>
      <c r="S150" s="17"/>
      <c r="T150" s="17"/>
      <c r="U150" s="50">
        <v>54.08</v>
      </c>
      <c r="V150" s="50">
        <v>63.91</v>
      </c>
      <c r="W150" s="50">
        <v>75.58</v>
      </c>
      <c r="X150" s="50">
        <v>90.71</v>
      </c>
      <c r="Y150" s="50">
        <v>41.95</v>
      </c>
      <c r="Z150" s="50">
        <v>100.23</v>
      </c>
      <c r="AA150" s="50">
        <v>77.400000000000006</v>
      </c>
      <c r="AB150" s="50">
        <v>77.650000000000006</v>
      </c>
      <c r="AC150" s="50">
        <v>7.19</v>
      </c>
      <c r="AD150" s="50">
        <v>45.89</v>
      </c>
      <c r="AE150" s="17">
        <v>40.9</v>
      </c>
      <c r="AF150" s="17">
        <v>44.75</v>
      </c>
      <c r="AG150" s="17">
        <v>49.46</v>
      </c>
      <c r="AH150" s="17">
        <v>49.46</v>
      </c>
      <c r="AI150" s="17">
        <v>1.851</v>
      </c>
      <c r="AJ150" s="54"/>
      <c r="AK150" s="54"/>
      <c r="AL150" s="54"/>
      <c r="AM150" s="17">
        <v>11</v>
      </c>
      <c r="AN150" s="17"/>
      <c r="AO150" s="17">
        <v>12.37</v>
      </c>
      <c r="AP150" s="17">
        <v>155.44</v>
      </c>
      <c r="AQ150" s="17"/>
      <c r="AR150" s="17">
        <v>31.96</v>
      </c>
      <c r="AS150" s="17">
        <v>21.388999999999999</v>
      </c>
      <c r="AT150" s="3" t="s">
        <v>146</v>
      </c>
      <c r="AU150" s="3"/>
    </row>
    <row r="151" spans="1:47" x14ac:dyDescent="0.2">
      <c r="A151" s="115">
        <v>149.99999999999858</v>
      </c>
      <c r="B151" s="3">
        <v>31</v>
      </c>
      <c r="C151" s="2" t="s">
        <v>521</v>
      </c>
      <c r="D151" s="129" t="s">
        <v>140</v>
      </c>
      <c r="E151" t="s">
        <v>141</v>
      </c>
      <c r="F151" s="3" t="s">
        <v>62</v>
      </c>
      <c r="G151" s="35"/>
      <c r="H151" s="3" t="s">
        <v>62</v>
      </c>
      <c r="I151" s="82">
        <v>44267</v>
      </c>
      <c r="J151" s="17" t="s">
        <v>142</v>
      </c>
      <c r="K151" s="17" t="s">
        <v>203</v>
      </c>
      <c r="L151" s="17"/>
      <c r="M151" s="17"/>
      <c r="N151" s="17">
        <v>216.24</v>
      </c>
      <c r="O151" s="17">
        <v>155.19999999999999</v>
      </c>
      <c r="P151" s="17">
        <v>168.21</v>
      </c>
      <c r="Q151" s="17">
        <v>39.380000000000003</v>
      </c>
      <c r="R151" s="17">
        <v>16.37</v>
      </c>
      <c r="S151" s="17"/>
      <c r="T151" s="17"/>
      <c r="U151" s="50">
        <v>43.59</v>
      </c>
      <c r="V151" s="50">
        <v>61.35</v>
      </c>
      <c r="W151" s="50">
        <v>70.67</v>
      </c>
      <c r="X151" s="50">
        <v>88.02</v>
      </c>
      <c r="Y151" s="50">
        <v>38.96</v>
      </c>
      <c r="Z151" s="50">
        <v>94.05</v>
      </c>
      <c r="AA151" s="50">
        <v>71.510000000000005</v>
      </c>
      <c r="AB151" s="50">
        <v>74.48</v>
      </c>
      <c r="AC151" s="50">
        <v>8.86</v>
      </c>
      <c r="AD151" s="50">
        <v>48.31</v>
      </c>
      <c r="AE151" s="17">
        <v>24.4</v>
      </c>
      <c r="AF151" s="17">
        <v>38.700000000000003</v>
      </c>
      <c r="AG151" s="17">
        <v>31.33</v>
      </c>
      <c r="AH151" s="17">
        <v>38.65</v>
      </c>
      <c r="AI151" s="17">
        <v>2.0920000000000001</v>
      </c>
      <c r="AJ151" s="54"/>
      <c r="AK151" s="54"/>
      <c r="AL151" s="54"/>
      <c r="AM151" s="17">
        <v>34</v>
      </c>
      <c r="AN151" s="17"/>
      <c r="AO151" s="17">
        <v>12.7</v>
      </c>
      <c r="AP151" s="17">
        <v>113.05</v>
      </c>
      <c r="AQ151" s="17"/>
      <c r="AR151" s="17">
        <v>51.54</v>
      </c>
      <c r="AS151" s="17">
        <v>22.713999999999999</v>
      </c>
      <c r="AT151" s="3" t="s">
        <v>146</v>
      </c>
      <c r="AU151" s="3"/>
    </row>
    <row r="152" spans="1:47" x14ac:dyDescent="0.2">
      <c r="A152" s="115">
        <v>150.9999999999998</v>
      </c>
      <c r="B152" s="3">
        <v>44</v>
      </c>
      <c r="C152" s="4">
        <v>21.151</v>
      </c>
      <c r="D152" s="129" t="s">
        <v>140</v>
      </c>
      <c r="E152" t="s">
        <v>141</v>
      </c>
      <c r="F152" s="3" t="s">
        <v>60</v>
      </c>
      <c r="H152" s="3" t="s">
        <v>60</v>
      </c>
      <c r="I152" s="82">
        <v>44277</v>
      </c>
      <c r="J152" s="17" t="s">
        <v>142</v>
      </c>
      <c r="K152" s="17" t="s">
        <v>203</v>
      </c>
      <c r="L152" s="17"/>
      <c r="M152" s="17"/>
      <c r="N152" s="17">
        <v>234.81</v>
      </c>
      <c r="O152" s="17">
        <v>186.29</v>
      </c>
      <c r="P152" s="17">
        <v>206.68</v>
      </c>
      <c r="Q152" s="17">
        <v>61.56</v>
      </c>
      <c r="R152" s="17">
        <v>33.020000000000003</v>
      </c>
      <c r="S152" s="17"/>
      <c r="T152" s="17"/>
      <c r="U152" s="50">
        <v>55.25</v>
      </c>
      <c r="V152" s="50">
        <v>69.569999999999993</v>
      </c>
      <c r="W152" s="50">
        <v>78.430000000000007</v>
      </c>
      <c r="X152" s="50">
        <v>93.29</v>
      </c>
      <c r="Y152" s="50">
        <v>44.09</v>
      </c>
      <c r="Z152" s="50">
        <v>104.55</v>
      </c>
      <c r="AA152" s="50">
        <v>80.94</v>
      </c>
      <c r="AB152" s="50">
        <v>78.03</v>
      </c>
      <c r="AC152" s="50">
        <v>13</v>
      </c>
      <c r="AD152" s="50">
        <v>45.27</v>
      </c>
      <c r="AE152" s="17">
        <v>31.69</v>
      </c>
      <c r="AF152" s="17">
        <v>42.54</v>
      </c>
      <c r="AG152" s="17">
        <v>36.72</v>
      </c>
      <c r="AH152" s="17">
        <v>46.32</v>
      </c>
      <c r="AI152" s="17">
        <v>1.8460000000000001</v>
      </c>
      <c r="AJ152" s="54"/>
      <c r="AK152" s="54"/>
      <c r="AL152" s="54"/>
      <c r="AM152" s="17">
        <v>19</v>
      </c>
      <c r="AN152" s="17"/>
      <c r="AO152" s="17">
        <v>12.05</v>
      </c>
      <c r="AP152" s="17">
        <v>184.73</v>
      </c>
      <c r="AQ152" s="17"/>
      <c r="AR152" s="17">
        <v>51.23</v>
      </c>
      <c r="AS152" s="17">
        <v>22.273</v>
      </c>
      <c r="AT152" s="3" t="s">
        <v>146</v>
      </c>
      <c r="AU152" s="3"/>
    </row>
    <row r="153" spans="1:47" x14ac:dyDescent="0.2">
      <c r="A153" s="115">
        <v>152.00000000000102</v>
      </c>
      <c r="B153" s="3">
        <v>35</v>
      </c>
      <c r="C153" s="4">
        <v>21.152000000000001</v>
      </c>
      <c r="D153" s="129" t="s">
        <v>140</v>
      </c>
      <c r="E153" s="11" t="s">
        <v>141</v>
      </c>
      <c r="F153" s="9" t="s">
        <v>61</v>
      </c>
      <c r="H153" s="9" t="s">
        <v>61</v>
      </c>
      <c r="I153" s="82">
        <v>44275</v>
      </c>
      <c r="J153" s="17" t="s">
        <v>142</v>
      </c>
      <c r="K153" s="17" t="s">
        <v>203</v>
      </c>
      <c r="L153" s="17"/>
      <c r="M153" s="17"/>
      <c r="N153" s="17">
        <v>184.74</v>
      </c>
      <c r="O153" s="17">
        <v>194.02</v>
      </c>
      <c r="P153" s="17">
        <v>195.31</v>
      </c>
      <c r="Q153" s="17">
        <v>49.68</v>
      </c>
      <c r="R153" s="17">
        <v>28.06</v>
      </c>
      <c r="S153" s="17"/>
      <c r="T153" s="17"/>
      <c r="U153" s="50">
        <v>40.89</v>
      </c>
      <c r="V153" s="50">
        <v>55.51</v>
      </c>
      <c r="W153" s="50">
        <v>65.67</v>
      </c>
      <c r="X153" s="50">
        <v>81.790000000000006</v>
      </c>
      <c r="Y153" s="50">
        <v>36.85</v>
      </c>
      <c r="Z153" s="50">
        <v>86.93</v>
      </c>
      <c r="AA153" s="50">
        <v>71.28</v>
      </c>
      <c r="AB153" s="50">
        <v>64.86</v>
      </c>
      <c r="AC153" s="50">
        <v>9.0399999999999991</v>
      </c>
      <c r="AD153" s="50">
        <v>46.18</v>
      </c>
      <c r="AE153" s="17">
        <v>43.16</v>
      </c>
      <c r="AF153" s="17">
        <v>44.42</v>
      </c>
      <c r="AG153" s="17">
        <v>41</v>
      </c>
      <c r="AH153" s="17">
        <v>38.81</v>
      </c>
      <c r="AI153" s="17">
        <v>1.516</v>
      </c>
      <c r="AJ153" s="54"/>
      <c r="AK153" s="54"/>
      <c r="AL153" s="54"/>
      <c r="AM153" s="17">
        <v>0</v>
      </c>
      <c r="AN153" s="17"/>
      <c r="AO153" s="17">
        <v>12.51</v>
      </c>
      <c r="AP153" s="17">
        <v>128.88</v>
      </c>
      <c r="AQ153" s="17"/>
      <c r="AR153" s="17">
        <v>38.07</v>
      </c>
      <c r="AS153" s="17">
        <v>16.533000000000001</v>
      </c>
      <c r="AT153" s="3" t="s">
        <v>146</v>
      </c>
      <c r="AU153" s="3"/>
    </row>
    <row r="154" spans="1:47" x14ac:dyDescent="0.2">
      <c r="A154" s="115">
        <v>152.99999999999869</v>
      </c>
      <c r="B154" s="3">
        <v>25</v>
      </c>
      <c r="C154" s="4">
        <v>21.152999999999999</v>
      </c>
      <c r="D154" s="129" t="s">
        <v>140</v>
      </c>
      <c r="E154" s="11" t="s">
        <v>141</v>
      </c>
      <c r="F154" s="9" t="s">
        <v>62</v>
      </c>
      <c r="H154" s="9" t="s">
        <v>62</v>
      </c>
      <c r="I154" s="82">
        <v>44264</v>
      </c>
      <c r="J154" s="17" t="s">
        <v>142</v>
      </c>
      <c r="K154" s="17" t="s">
        <v>203</v>
      </c>
      <c r="L154" s="17"/>
      <c r="M154" s="17"/>
      <c r="N154" s="17">
        <v>234.87</v>
      </c>
      <c r="O154" s="17">
        <v>189.88</v>
      </c>
      <c r="P154" s="17">
        <f>206.44+ 30.14</f>
        <v>236.57999999999998</v>
      </c>
      <c r="Q154" s="17">
        <v>54.15</v>
      </c>
      <c r="R154" s="17">
        <v>42.65</v>
      </c>
      <c r="S154" s="17"/>
      <c r="T154" s="17"/>
      <c r="U154" s="50">
        <v>57.01</v>
      </c>
      <c r="V154" s="50">
        <v>67.11</v>
      </c>
      <c r="W154" s="50">
        <v>78.239999999999995</v>
      </c>
      <c r="X154" s="50">
        <v>95.37</v>
      </c>
      <c r="Y154" s="50">
        <v>45.88</v>
      </c>
      <c r="Z154" s="50">
        <v>102.14</v>
      </c>
      <c r="AA154" s="50">
        <v>76.59</v>
      </c>
      <c r="AB154" s="50">
        <v>78.849999999999994</v>
      </c>
      <c r="AC154" s="50">
        <v>17.86</v>
      </c>
      <c r="AD154" s="50">
        <v>45.97</v>
      </c>
      <c r="AE154" s="17">
        <v>37.31</v>
      </c>
      <c r="AF154" s="17">
        <v>43.73</v>
      </c>
      <c r="AG154" s="17">
        <v>41.32</v>
      </c>
      <c r="AH154" s="17">
        <v>48.07</v>
      </c>
      <c r="AI154" s="17">
        <v>1.48</v>
      </c>
      <c r="AJ154" s="54"/>
      <c r="AK154" s="54"/>
      <c r="AL154" s="54"/>
      <c r="AM154" s="17">
        <v>9.5</v>
      </c>
      <c r="AN154" s="17"/>
      <c r="AO154" s="17">
        <v>13.63</v>
      </c>
      <c r="AP154" s="17">
        <v>130.54</v>
      </c>
      <c r="AQ154" s="17"/>
      <c r="AR154" s="17">
        <v>40.17</v>
      </c>
      <c r="AS154" s="17">
        <v>21.584</v>
      </c>
      <c r="AT154" s="3" t="s">
        <v>146</v>
      </c>
      <c r="AU154" s="3"/>
    </row>
    <row r="155" spans="1:47" x14ac:dyDescent="0.2">
      <c r="A155" s="115">
        <v>153.99999999999991</v>
      </c>
      <c r="B155" s="3">
        <v>43</v>
      </c>
      <c r="C155" s="4">
        <v>21.154</v>
      </c>
      <c r="D155" s="129" t="s">
        <v>140</v>
      </c>
      <c r="E155" t="s">
        <v>141</v>
      </c>
      <c r="F155" s="3" t="s">
        <v>60</v>
      </c>
      <c r="H155" s="3" t="s">
        <v>60</v>
      </c>
      <c r="I155" s="82">
        <v>44277</v>
      </c>
      <c r="J155" s="17" t="s">
        <v>142</v>
      </c>
      <c r="K155" s="17" t="s">
        <v>203</v>
      </c>
      <c r="L155" s="17"/>
      <c r="M155" s="17"/>
      <c r="N155" s="17">
        <v>208.23</v>
      </c>
      <c r="O155" s="17">
        <v>186.48</v>
      </c>
      <c r="P155" s="17">
        <v>206.68</v>
      </c>
      <c r="Q155" s="17">
        <v>55.55</v>
      </c>
      <c r="R155" s="17">
        <v>32.549999999999997</v>
      </c>
      <c r="S155" s="17"/>
      <c r="T155" s="17"/>
      <c r="U155" s="50">
        <v>55.72</v>
      </c>
      <c r="V155" s="50">
        <v>64.709999999999994</v>
      </c>
      <c r="W155" s="50">
        <v>73.89</v>
      </c>
      <c r="X155" s="50">
        <v>94.86</v>
      </c>
      <c r="Y155" s="50">
        <v>43.42</v>
      </c>
      <c r="Z155" s="50">
        <v>101.3</v>
      </c>
      <c r="AA155" s="50">
        <v>76.62</v>
      </c>
      <c r="AB155" s="50">
        <v>79.08</v>
      </c>
      <c r="AC155" s="50">
        <v>16.98</v>
      </c>
      <c r="AD155" s="50">
        <v>43.58</v>
      </c>
      <c r="AE155" s="17">
        <v>32.67</v>
      </c>
      <c r="AF155" s="17">
        <v>42.33</v>
      </c>
      <c r="AG155" s="17">
        <v>24.12</v>
      </c>
      <c r="AH155" s="17">
        <v>52.76</v>
      </c>
      <c r="AI155" s="17">
        <v>1.9119999999999999</v>
      </c>
      <c r="AJ155" s="54"/>
      <c r="AK155" s="54"/>
      <c r="AL155" s="54"/>
      <c r="AM155" s="17">
        <v>19</v>
      </c>
      <c r="AN155" s="17"/>
      <c r="AO155" s="17">
        <v>10.75</v>
      </c>
      <c r="AP155" s="17">
        <v>160.18</v>
      </c>
      <c r="AQ155" s="17"/>
      <c r="AR155" s="17">
        <v>50.07</v>
      </c>
      <c r="AS155" s="17">
        <v>17.856999999999999</v>
      </c>
      <c r="AT155" s="3" t="s">
        <v>146</v>
      </c>
      <c r="AU155" s="3"/>
    </row>
    <row r="156" spans="1:47" x14ac:dyDescent="0.2">
      <c r="A156" s="115">
        <v>155.00000000000114</v>
      </c>
      <c r="B156" s="3">
        <v>33</v>
      </c>
      <c r="C156" s="4">
        <v>21.155000000000001</v>
      </c>
      <c r="D156" s="129" t="s">
        <v>140</v>
      </c>
      <c r="E156" t="s">
        <v>141</v>
      </c>
      <c r="F156" s="3" t="s">
        <v>62</v>
      </c>
      <c r="H156" s="3" t="s">
        <v>62</v>
      </c>
      <c r="I156" s="82">
        <v>44268</v>
      </c>
      <c r="J156" s="17" t="s">
        <v>142</v>
      </c>
      <c r="K156" s="17" t="s">
        <v>203</v>
      </c>
      <c r="L156" s="17"/>
      <c r="M156" s="17"/>
      <c r="N156" s="17">
        <v>178.73</v>
      </c>
      <c r="O156" s="17">
        <v>193.19</v>
      </c>
      <c r="P156" s="17">
        <v>206.68</v>
      </c>
      <c r="Q156" s="17">
        <v>52.04</v>
      </c>
      <c r="R156" s="17">
        <v>34.020000000000003</v>
      </c>
      <c r="S156" s="17"/>
      <c r="T156" s="17"/>
      <c r="U156" s="50">
        <v>56.17</v>
      </c>
      <c r="V156" s="50">
        <v>70.599999999999994</v>
      </c>
      <c r="W156" s="50">
        <v>76.53</v>
      </c>
      <c r="X156" s="50">
        <v>90.39</v>
      </c>
      <c r="Y156" s="50">
        <v>44.61</v>
      </c>
      <c r="Z156" s="50">
        <v>102.25</v>
      </c>
      <c r="AA156" s="50">
        <v>77.42</v>
      </c>
      <c r="AB156" s="50">
        <v>78.400000000000006</v>
      </c>
      <c r="AC156" s="50">
        <v>17.77</v>
      </c>
      <c r="AD156" s="50">
        <v>46.24</v>
      </c>
      <c r="AE156" s="17">
        <v>35.19</v>
      </c>
      <c r="AF156" s="17">
        <v>41.44</v>
      </c>
      <c r="AG156" s="17">
        <v>40.64</v>
      </c>
      <c r="AH156" s="17">
        <v>42.12</v>
      </c>
      <c r="AI156" s="17">
        <v>1.752</v>
      </c>
      <c r="AJ156" s="54"/>
      <c r="AK156" s="54"/>
      <c r="AL156" s="54"/>
      <c r="AM156" s="17">
        <v>0</v>
      </c>
      <c r="AN156" s="17"/>
      <c r="AO156" s="17">
        <v>12.57</v>
      </c>
      <c r="AP156" s="17">
        <v>114.77</v>
      </c>
      <c r="AQ156" s="17"/>
      <c r="AR156" s="17">
        <v>47.44</v>
      </c>
      <c r="AS156" s="17">
        <v>20.63</v>
      </c>
      <c r="AT156" s="3" t="s">
        <v>146</v>
      </c>
      <c r="AU156" s="3"/>
    </row>
    <row r="157" spans="1:47" x14ac:dyDescent="0.2">
      <c r="A157" s="115">
        <v>155.99999999999881</v>
      </c>
      <c r="B157" s="3">
        <v>29</v>
      </c>
      <c r="C157" s="4">
        <v>21.155999999999999</v>
      </c>
      <c r="D157" s="129" t="s">
        <v>140</v>
      </c>
      <c r="E157" t="s">
        <v>141</v>
      </c>
      <c r="F157" s="3" t="s">
        <v>60</v>
      </c>
      <c r="H157" s="3" t="s">
        <v>60</v>
      </c>
      <c r="I157" s="82">
        <v>44266</v>
      </c>
      <c r="J157" s="17" t="s">
        <v>142</v>
      </c>
      <c r="K157" s="17" t="s">
        <v>203</v>
      </c>
      <c r="L157" s="17"/>
      <c r="M157" s="17"/>
      <c r="N157" s="17">
        <v>212.88</v>
      </c>
      <c r="O157" s="17">
        <v>159.25</v>
      </c>
      <c r="P157" s="17">
        <v>171.36</v>
      </c>
      <c r="Q157" s="17">
        <v>33.369999999999997</v>
      </c>
      <c r="R157" s="17">
        <v>24.34</v>
      </c>
      <c r="S157" s="17"/>
      <c r="T157" s="17"/>
      <c r="U157" s="50">
        <v>45.78</v>
      </c>
      <c r="V157" s="50">
        <v>63.9</v>
      </c>
      <c r="W157" s="50">
        <v>68.900000000000006</v>
      </c>
      <c r="X157" s="50">
        <v>87.7</v>
      </c>
      <c r="Y157" s="50">
        <v>40.9</v>
      </c>
      <c r="Z157" s="50">
        <v>92.19</v>
      </c>
      <c r="AA157" s="50">
        <v>73.069999999999993</v>
      </c>
      <c r="AB157" s="50">
        <v>68.31</v>
      </c>
      <c r="AC157" s="50">
        <v>15.36</v>
      </c>
      <c r="AD157" s="50">
        <v>47.52</v>
      </c>
      <c r="AE157" s="17">
        <v>24.5</v>
      </c>
      <c r="AF157" s="17">
        <v>36.78</v>
      </c>
      <c r="AG157" s="17">
        <v>32.22</v>
      </c>
      <c r="AH157" s="17">
        <v>41.99</v>
      </c>
      <c r="AI157" s="17">
        <v>1.9450000000000001</v>
      </c>
      <c r="AJ157" s="54"/>
      <c r="AK157" s="54"/>
      <c r="AL157" s="54"/>
      <c r="AM157" s="17">
        <v>0</v>
      </c>
      <c r="AN157" s="17"/>
      <c r="AO157" s="17">
        <v>15.46</v>
      </c>
      <c r="AP157" s="17">
        <v>146.65</v>
      </c>
      <c r="AQ157" s="17"/>
      <c r="AR157" s="17">
        <v>48.68</v>
      </c>
      <c r="AS157" s="17">
        <v>21.167999999999999</v>
      </c>
      <c r="AT157" s="3" t="s">
        <v>146</v>
      </c>
      <c r="AU157" s="3"/>
    </row>
    <row r="158" spans="1:47" x14ac:dyDescent="0.2">
      <c r="A158" s="115">
        <v>157.00000000000003</v>
      </c>
      <c r="B158" s="3">
        <v>26</v>
      </c>
      <c r="C158" s="4">
        <v>21.157</v>
      </c>
      <c r="D158" s="129" t="s">
        <v>140</v>
      </c>
      <c r="E158" t="s">
        <v>141</v>
      </c>
      <c r="F158" s="3" t="s">
        <v>62</v>
      </c>
      <c r="H158" s="3" t="s">
        <v>62</v>
      </c>
      <c r="I158" s="82">
        <v>44266</v>
      </c>
      <c r="J158" s="17" t="s">
        <v>142</v>
      </c>
      <c r="K158" s="17" t="s">
        <v>203</v>
      </c>
      <c r="L158" s="17"/>
      <c r="M158" s="17"/>
      <c r="N158" s="17">
        <v>223.52</v>
      </c>
      <c r="O158" s="17">
        <v>201.21</v>
      </c>
      <c r="P158" s="17">
        <v>206.68</v>
      </c>
      <c r="Q158" s="17">
        <v>50.75</v>
      </c>
      <c r="R158" s="17">
        <v>32.880000000000003</v>
      </c>
      <c r="S158" s="17"/>
      <c r="T158" s="17"/>
      <c r="U158" s="50">
        <v>56.81</v>
      </c>
      <c r="V158" s="50">
        <v>67.010000000000005</v>
      </c>
      <c r="W158" s="50">
        <v>75.59</v>
      </c>
      <c r="X158" s="50">
        <v>91.16</v>
      </c>
      <c r="Y158" s="50">
        <v>42.27</v>
      </c>
      <c r="Z158" s="50">
        <v>101.1</v>
      </c>
      <c r="AA158" s="50">
        <v>76.58</v>
      </c>
      <c r="AB158" s="50">
        <v>78.739999999999995</v>
      </c>
      <c r="AC158" s="50">
        <v>14.42</v>
      </c>
      <c r="AD158" s="50">
        <v>45.85</v>
      </c>
      <c r="AE158" s="17">
        <v>35.83</v>
      </c>
      <c r="AF158" s="17">
        <v>40.799999999999997</v>
      </c>
      <c r="AG158" s="17">
        <v>39.61</v>
      </c>
      <c r="AH158" s="17">
        <v>43.9</v>
      </c>
      <c r="AI158" s="17">
        <v>1.667</v>
      </c>
      <c r="AJ158" s="54"/>
      <c r="AK158" s="54"/>
      <c r="AL158" s="54"/>
      <c r="AM158" s="17">
        <v>17</v>
      </c>
      <c r="AN158" s="17"/>
      <c r="AO158" s="17">
        <v>18.649999999999999</v>
      </c>
      <c r="AP158" s="17">
        <v>138.13</v>
      </c>
      <c r="AQ158" s="17"/>
      <c r="AR158" s="17">
        <v>46.26</v>
      </c>
      <c r="AS158" s="17">
        <v>23.445</v>
      </c>
      <c r="AT158" s="3" t="s">
        <v>146</v>
      </c>
      <c r="AU158" s="3"/>
    </row>
    <row r="159" spans="1:47" x14ac:dyDescent="0.2">
      <c r="A159" s="115">
        <v>158.00000000000125</v>
      </c>
      <c r="B159" s="3">
        <v>27</v>
      </c>
      <c r="C159" s="4">
        <v>21.158000000000001</v>
      </c>
      <c r="D159" s="129" t="s">
        <v>140</v>
      </c>
      <c r="E159" t="s">
        <v>141</v>
      </c>
      <c r="F159" s="3" t="s">
        <v>60</v>
      </c>
      <c r="H159" s="3" t="s">
        <v>60</v>
      </c>
      <c r="I159" s="82">
        <v>44266</v>
      </c>
      <c r="J159" s="17" t="s">
        <v>142</v>
      </c>
      <c r="K159" s="17" t="s">
        <v>203</v>
      </c>
      <c r="L159" s="17"/>
      <c r="M159" s="17"/>
      <c r="N159" s="17">
        <v>222.34</v>
      </c>
      <c r="O159" s="17">
        <v>164.05</v>
      </c>
      <c r="P159" s="17">
        <v>171.83</v>
      </c>
      <c r="Q159" s="17">
        <v>33.71</v>
      </c>
      <c r="R159" s="17">
        <v>19.829999999999998</v>
      </c>
      <c r="S159" s="17"/>
      <c r="T159" s="17"/>
      <c r="U159" s="50">
        <v>46.2</v>
      </c>
      <c r="V159" s="50">
        <v>61.04</v>
      </c>
      <c r="W159" s="50">
        <v>72.290000000000006</v>
      </c>
      <c r="X159" s="50">
        <v>87.6</v>
      </c>
      <c r="Y159" s="50">
        <v>40.64</v>
      </c>
      <c r="Z159" s="50">
        <v>92.87</v>
      </c>
      <c r="AA159" s="50">
        <v>73.81</v>
      </c>
      <c r="AB159" s="50">
        <v>74.23</v>
      </c>
      <c r="AC159" s="50">
        <v>9.5299999999999994</v>
      </c>
      <c r="AD159" s="50">
        <v>48.96</v>
      </c>
      <c r="AE159" s="17">
        <v>28.23</v>
      </c>
      <c r="AF159" s="17">
        <v>35.81</v>
      </c>
      <c r="AG159" s="17">
        <v>32.44</v>
      </c>
      <c r="AH159" s="17">
        <v>38.44</v>
      </c>
      <c r="AI159" s="17">
        <v>2.0459999999999998</v>
      </c>
      <c r="AJ159" s="54"/>
      <c r="AK159" s="54"/>
      <c r="AL159" s="54"/>
      <c r="AM159" s="17">
        <v>0</v>
      </c>
      <c r="AN159" s="17"/>
      <c r="AO159" s="17">
        <v>14.33</v>
      </c>
      <c r="AP159" s="17">
        <v>153.88999999999999</v>
      </c>
      <c r="AQ159" s="17"/>
      <c r="AR159" s="17">
        <v>50.79</v>
      </c>
      <c r="AS159" s="17">
        <v>22.170999999999999</v>
      </c>
      <c r="AT159" s="3" t="s">
        <v>146</v>
      </c>
      <c r="AU159" s="3"/>
    </row>
    <row r="160" spans="1:47" x14ac:dyDescent="0.2">
      <c r="A160" s="115">
        <v>158.99999999999892</v>
      </c>
      <c r="B160" s="3">
        <v>30</v>
      </c>
      <c r="C160" s="4">
        <v>21.158999999999999</v>
      </c>
      <c r="D160" s="129" t="s">
        <v>140</v>
      </c>
      <c r="E160" t="s">
        <v>141</v>
      </c>
      <c r="F160" s="3" t="s">
        <v>60</v>
      </c>
      <c r="H160" s="3" t="s">
        <v>60</v>
      </c>
      <c r="I160" s="82">
        <v>44266</v>
      </c>
      <c r="J160" s="17" t="s">
        <v>142</v>
      </c>
      <c r="K160" s="17" t="s">
        <v>203</v>
      </c>
      <c r="L160" s="17"/>
      <c r="M160" s="17"/>
      <c r="N160" s="17">
        <v>214.61</v>
      </c>
      <c r="O160" s="17">
        <v>153.41</v>
      </c>
      <c r="P160" s="17">
        <v>166.23</v>
      </c>
      <c r="Q160" s="17">
        <v>36.14</v>
      </c>
      <c r="R160" s="17">
        <v>19.18</v>
      </c>
      <c r="S160" s="17"/>
      <c r="T160" s="17"/>
      <c r="U160" s="50">
        <v>49.66</v>
      </c>
      <c r="V160" s="50">
        <v>66.180000000000007</v>
      </c>
      <c r="W160" s="50">
        <v>70.209999999999994</v>
      </c>
      <c r="X160" s="50">
        <v>87.05</v>
      </c>
      <c r="Y160" s="50">
        <v>38.450000000000003</v>
      </c>
      <c r="Z160" s="50">
        <v>94.36</v>
      </c>
      <c r="AA160" s="50">
        <v>74.37</v>
      </c>
      <c r="AB160" s="50">
        <v>70.790000000000006</v>
      </c>
      <c r="AC160" s="50">
        <v>14.51</v>
      </c>
      <c r="AD160" s="50">
        <v>47.74</v>
      </c>
      <c r="AE160" s="17">
        <v>23.93</v>
      </c>
      <c r="AF160" s="17">
        <v>35.96</v>
      </c>
      <c r="AG160" s="17">
        <v>27.24</v>
      </c>
      <c r="AH160" s="17">
        <v>35.14</v>
      </c>
      <c r="AI160" s="17">
        <v>2.3450000000000002</v>
      </c>
      <c r="AJ160" s="54"/>
      <c r="AK160" s="54"/>
      <c r="AL160" s="54"/>
      <c r="AM160" s="17">
        <v>33</v>
      </c>
      <c r="AN160" s="17"/>
      <c r="AO160" s="17">
        <v>11.09</v>
      </c>
      <c r="AP160" s="17">
        <v>118.65</v>
      </c>
      <c r="AQ160" s="17"/>
      <c r="AR160" s="17">
        <v>49.49</v>
      </c>
      <c r="AS160" s="17">
        <v>21.658000000000001</v>
      </c>
      <c r="AT160" s="3" t="s">
        <v>146</v>
      </c>
      <c r="AU160" s="3"/>
    </row>
    <row r="161" spans="1:47" x14ac:dyDescent="0.2">
      <c r="A161" s="115">
        <v>160.00000000000014</v>
      </c>
      <c r="B161" s="3">
        <v>24</v>
      </c>
      <c r="C161" s="2" t="s">
        <v>522</v>
      </c>
      <c r="D161" s="129" t="s">
        <v>140</v>
      </c>
      <c r="E161" t="s">
        <v>141</v>
      </c>
      <c r="F161" s="3" t="s">
        <v>60</v>
      </c>
      <c r="G161" s="35"/>
      <c r="H161" s="3" t="s">
        <v>60</v>
      </c>
      <c r="I161" s="82">
        <v>44264</v>
      </c>
      <c r="J161" s="17" t="s">
        <v>142</v>
      </c>
      <c r="K161" s="17" t="s">
        <v>203</v>
      </c>
      <c r="L161" s="17"/>
      <c r="M161" s="17"/>
      <c r="N161" s="17">
        <v>224.12</v>
      </c>
      <c r="O161" s="17">
        <v>164.54</v>
      </c>
      <c r="P161" s="17">
        <v>177.34</v>
      </c>
      <c r="Q161" s="17">
        <v>35.76</v>
      </c>
      <c r="R161" s="17">
        <v>24.99</v>
      </c>
      <c r="S161" s="17"/>
      <c r="T161" s="17"/>
      <c r="U161" s="50">
        <v>47.67</v>
      </c>
      <c r="V161" s="50">
        <v>61.38</v>
      </c>
      <c r="W161" s="50">
        <v>71.650000000000006</v>
      </c>
      <c r="X161" s="50">
        <v>86.78</v>
      </c>
      <c r="Y161" s="50">
        <v>43.75</v>
      </c>
      <c r="Z161" s="50">
        <v>95.22</v>
      </c>
      <c r="AA161" s="50">
        <v>73.78</v>
      </c>
      <c r="AB161" s="50">
        <v>78.010000000000005</v>
      </c>
      <c r="AC161" s="50">
        <v>11.94</v>
      </c>
      <c r="AD161" s="50">
        <v>50.04</v>
      </c>
      <c r="AE161" s="17">
        <v>26.99</v>
      </c>
      <c r="AF161" s="17">
        <v>37.65</v>
      </c>
      <c r="AG161" s="17">
        <v>33.909999999999997</v>
      </c>
      <c r="AH161" s="17">
        <v>39.840000000000003</v>
      </c>
      <c r="AI161" s="17">
        <v>2.1949999999999998</v>
      </c>
      <c r="AJ161" s="54"/>
      <c r="AK161" s="54"/>
      <c r="AL161" s="54"/>
      <c r="AM161" s="17">
        <v>32</v>
      </c>
      <c r="AN161" s="17"/>
      <c r="AO161" s="17">
        <v>18.21</v>
      </c>
      <c r="AP161" s="17">
        <v>118.76</v>
      </c>
      <c r="AQ161" s="17"/>
      <c r="AR161" s="17">
        <v>51.05</v>
      </c>
      <c r="AS161" s="17">
        <v>22.818999999999999</v>
      </c>
      <c r="AT161" s="3" t="s">
        <v>146</v>
      </c>
      <c r="AU161" s="3"/>
    </row>
    <row r="162" spans="1:47" ht="17" x14ac:dyDescent="0.2">
      <c r="A162" s="115">
        <v>161.00000000000136</v>
      </c>
      <c r="B162" s="3">
        <v>66</v>
      </c>
      <c r="C162" s="4">
        <v>21.161000000000001</v>
      </c>
      <c r="D162" s="126" t="s">
        <v>168</v>
      </c>
      <c r="E162" t="s">
        <v>169</v>
      </c>
      <c r="F162" s="35" t="s">
        <v>170</v>
      </c>
      <c r="H162" s="3" t="s">
        <v>29</v>
      </c>
      <c r="I162" s="127">
        <v>44321</v>
      </c>
      <c r="J162" s="17" t="s">
        <v>142</v>
      </c>
      <c r="K162" s="17" t="s">
        <v>203</v>
      </c>
      <c r="L162" s="17"/>
      <c r="M162" s="17"/>
      <c r="N162" s="17">
        <v>237.73</v>
      </c>
      <c r="O162" s="17">
        <v>172.87</v>
      </c>
      <c r="P162" s="17">
        <v>182.99</v>
      </c>
      <c r="Q162" s="17">
        <v>46.12</v>
      </c>
      <c r="R162" s="17">
        <v>21.28</v>
      </c>
      <c r="S162" s="17"/>
      <c r="T162" s="17"/>
      <c r="U162" s="50">
        <v>48.95</v>
      </c>
      <c r="V162" s="50">
        <v>66.58</v>
      </c>
      <c r="W162" s="50">
        <v>71.66</v>
      </c>
      <c r="X162" s="50">
        <v>87.44</v>
      </c>
      <c r="Y162" s="50">
        <v>40.71</v>
      </c>
      <c r="Z162" s="50">
        <v>95.33</v>
      </c>
      <c r="AA162" s="50">
        <v>78.73</v>
      </c>
      <c r="AB162" s="50">
        <v>80.180000000000007</v>
      </c>
      <c r="AC162" s="50">
        <v>26.77</v>
      </c>
      <c r="AD162" s="50">
        <v>51.5</v>
      </c>
      <c r="AE162" s="17">
        <v>34.04</v>
      </c>
      <c r="AF162" s="17">
        <v>41.57</v>
      </c>
      <c r="AG162" s="17">
        <v>38.799999999999997</v>
      </c>
      <c r="AH162" s="17">
        <v>39.15</v>
      </c>
      <c r="AI162" s="17">
        <v>1.927</v>
      </c>
      <c r="AJ162" s="54"/>
      <c r="AK162" s="54"/>
      <c r="AL162" s="54"/>
      <c r="AM162" s="17">
        <v>27</v>
      </c>
      <c r="AN162" s="17"/>
      <c r="AO162" s="17">
        <v>19.239999999999998</v>
      </c>
      <c r="AP162" s="17">
        <v>130.57</v>
      </c>
      <c r="AQ162" s="17"/>
      <c r="AR162" s="17">
        <v>56.19</v>
      </c>
      <c r="AS162" s="17">
        <v>24.222999999999999</v>
      </c>
      <c r="AT162" s="3" t="s">
        <v>146</v>
      </c>
      <c r="AU162" s="3"/>
    </row>
    <row r="163" spans="1:47" ht="17" x14ac:dyDescent="0.2">
      <c r="A163" s="115">
        <v>161.99999999999903</v>
      </c>
      <c r="B163" s="3">
        <v>76</v>
      </c>
      <c r="C163" s="4">
        <v>21.161999999999999</v>
      </c>
      <c r="D163" s="126" t="s">
        <v>168</v>
      </c>
      <c r="E163" t="s">
        <v>169</v>
      </c>
      <c r="F163" s="35" t="s">
        <v>170</v>
      </c>
      <c r="H163" s="3" t="s">
        <v>29</v>
      </c>
      <c r="I163" s="127">
        <v>44307</v>
      </c>
      <c r="J163" s="17" t="s">
        <v>142</v>
      </c>
      <c r="K163" s="17" t="s">
        <v>203</v>
      </c>
      <c r="L163" s="17"/>
      <c r="M163" s="17"/>
      <c r="N163" s="17">
        <v>237.9</v>
      </c>
      <c r="O163" s="17">
        <v>187.8</v>
      </c>
      <c r="P163" s="17">
        <v>188.64</v>
      </c>
      <c r="Q163" s="17">
        <v>46.19</v>
      </c>
      <c r="R163" s="17">
        <v>21.63</v>
      </c>
      <c r="S163" s="17"/>
      <c r="T163" s="17"/>
      <c r="U163" s="50">
        <v>53.01</v>
      </c>
      <c r="V163" s="50">
        <v>70.16</v>
      </c>
      <c r="W163" s="50">
        <v>72.42</v>
      </c>
      <c r="X163" s="50">
        <v>88.75</v>
      </c>
      <c r="Y163" s="50">
        <v>43.01</v>
      </c>
      <c r="Z163" s="50">
        <v>96.54</v>
      </c>
      <c r="AA163" s="50">
        <v>80.569999999999993</v>
      </c>
      <c r="AB163" s="50">
        <v>81.16</v>
      </c>
      <c r="AC163" s="50">
        <v>27.53</v>
      </c>
      <c r="AD163" s="50">
        <v>48.25</v>
      </c>
      <c r="AE163" s="17">
        <v>34.840000000000003</v>
      </c>
      <c r="AF163" s="17">
        <v>44.05</v>
      </c>
      <c r="AG163" s="17">
        <v>35.03</v>
      </c>
      <c r="AH163" s="17">
        <v>42.47</v>
      </c>
      <c r="AI163" s="17">
        <v>1.7949999999999999</v>
      </c>
      <c r="AJ163" s="54"/>
      <c r="AK163" s="54"/>
      <c r="AL163" s="54"/>
      <c r="AM163" s="17">
        <v>33</v>
      </c>
      <c r="AN163" s="17"/>
      <c r="AO163" s="17">
        <v>14.6</v>
      </c>
      <c r="AP163" s="17">
        <f>119.41+15.84</f>
        <v>135.25</v>
      </c>
      <c r="AQ163" s="17"/>
      <c r="AR163" s="17">
        <v>52.57</v>
      </c>
      <c r="AS163" s="17">
        <v>22.838999999999999</v>
      </c>
      <c r="AT163" s="3" t="s">
        <v>146</v>
      </c>
      <c r="AU163" s="3"/>
    </row>
    <row r="164" spans="1:47" ht="17" x14ac:dyDescent="0.2">
      <c r="A164" s="115">
        <v>163.00000000000026</v>
      </c>
      <c r="B164" s="3">
        <v>73</v>
      </c>
      <c r="C164" s="4">
        <v>21.163</v>
      </c>
      <c r="D164" s="126" t="s">
        <v>168</v>
      </c>
      <c r="E164" t="s">
        <v>169</v>
      </c>
      <c r="F164" s="35" t="s">
        <v>170</v>
      </c>
      <c r="H164" s="3" t="s">
        <v>29</v>
      </c>
      <c r="I164" s="127">
        <v>44299</v>
      </c>
      <c r="J164" s="17" t="s">
        <v>142</v>
      </c>
      <c r="K164" s="17" t="s">
        <v>203</v>
      </c>
      <c r="L164" s="17"/>
      <c r="M164" s="17"/>
      <c r="N164" s="17">
        <v>249.11</v>
      </c>
      <c r="O164" s="17">
        <v>173.42</v>
      </c>
      <c r="P164" s="17">
        <v>183.98</v>
      </c>
      <c r="Q164" s="17">
        <v>45.86</v>
      </c>
      <c r="R164" s="17">
        <v>19.260000000000002</v>
      </c>
      <c r="S164" s="17"/>
      <c r="T164" s="17"/>
      <c r="U164" s="50">
        <v>50.26</v>
      </c>
      <c r="V164" s="50">
        <v>67.7</v>
      </c>
      <c r="W164" s="50">
        <v>68.94</v>
      </c>
      <c r="X164" s="50">
        <v>86.63</v>
      </c>
      <c r="Y164" s="50">
        <v>44.83</v>
      </c>
      <c r="Z164" s="50">
        <v>97.19</v>
      </c>
      <c r="AA164" s="50">
        <v>81.3</v>
      </c>
      <c r="AB164" s="50">
        <v>80.319999999999993</v>
      </c>
      <c r="AC164" s="50">
        <v>30.69</v>
      </c>
      <c r="AD164" s="50">
        <v>50.23</v>
      </c>
      <c r="AE164" s="17">
        <v>31.48</v>
      </c>
      <c r="AF164" s="17">
        <v>41.74</v>
      </c>
      <c r="AG164" s="17">
        <v>33.74</v>
      </c>
      <c r="AH164" s="17">
        <v>42.46</v>
      </c>
      <c r="AI164" s="17">
        <v>1.9019999999999999</v>
      </c>
      <c r="AJ164" s="54"/>
      <c r="AK164" s="54"/>
      <c r="AL164" s="54"/>
      <c r="AM164" s="17">
        <v>31</v>
      </c>
      <c r="AN164" s="17"/>
      <c r="AO164" s="17">
        <v>18.63</v>
      </c>
      <c r="AP164" s="17">
        <v>144.37</v>
      </c>
      <c r="AQ164" s="17"/>
      <c r="AR164" s="17">
        <v>52.57</v>
      </c>
      <c r="AS164" s="17">
        <v>23.12</v>
      </c>
      <c r="AT164" s="3" t="s">
        <v>146</v>
      </c>
      <c r="AU164" s="3"/>
    </row>
    <row r="165" spans="1:47" ht="17" x14ac:dyDescent="0.2">
      <c r="A165" s="115">
        <v>164.00000000000148</v>
      </c>
      <c r="B165" s="3">
        <v>64</v>
      </c>
      <c r="C165" s="4">
        <v>21.164000000000001</v>
      </c>
      <c r="D165" s="126" t="s">
        <v>168</v>
      </c>
      <c r="E165" t="s">
        <v>169</v>
      </c>
      <c r="F165" s="35" t="s">
        <v>170</v>
      </c>
      <c r="H165" s="3" t="s">
        <v>29</v>
      </c>
      <c r="I165" s="127">
        <v>44313</v>
      </c>
      <c r="J165" s="17" t="s">
        <v>142</v>
      </c>
      <c r="K165" s="17" t="s">
        <v>203</v>
      </c>
      <c r="L165" s="17"/>
      <c r="M165" s="17"/>
      <c r="N165" s="17">
        <v>243.51</v>
      </c>
      <c r="O165" s="17">
        <v>172.83</v>
      </c>
      <c r="P165" s="17">
        <v>186.61</v>
      </c>
      <c r="Q165" s="17">
        <v>42.22</v>
      </c>
      <c r="R165" s="17">
        <v>17.68</v>
      </c>
      <c r="S165" s="17"/>
      <c r="T165" s="17"/>
      <c r="U165" s="50">
        <v>52.48</v>
      </c>
      <c r="V165" s="50">
        <v>63.23</v>
      </c>
      <c r="W165" s="50">
        <v>70.02</v>
      </c>
      <c r="X165" s="50">
        <v>80.89</v>
      </c>
      <c r="Y165" s="50">
        <v>42.61</v>
      </c>
      <c r="Z165" s="50">
        <v>95.16</v>
      </c>
      <c r="AA165" s="50">
        <v>79.39</v>
      </c>
      <c r="AB165" s="50">
        <v>80.430000000000007</v>
      </c>
      <c r="AC165" s="50">
        <v>24.17</v>
      </c>
      <c r="AD165" s="50">
        <v>50.01</v>
      </c>
      <c r="AE165" s="17">
        <v>35.49</v>
      </c>
      <c r="AF165" s="17">
        <v>39.909999999999997</v>
      </c>
      <c r="AG165" s="17">
        <v>37.18</v>
      </c>
      <c r="AH165" s="17">
        <v>39.770000000000003</v>
      </c>
      <c r="AI165" s="17">
        <v>1.6919999999999999</v>
      </c>
      <c r="AJ165" s="54"/>
      <c r="AK165" s="54"/>
      <c r="AL165" s="54"/>
      <c r="AM165" s="17">
        <v>25</v>
      </c>
      <c r="AN165" s="17"/>
      <c r="AO165" s="17">
        <v>15.59</v>
      </c>
      <c r="AP165" s="17">
        <v>148.47</v>
      </c>
      <c r="AQ165" s="17"/>
      <c r="AR165" s="17">
        <v>50.53</v>
      </c>
      <c r="AS165" s="17">
        <v>21.663</v>
      </c>
      <c r="AT165" s="3" t="s">
        <v>146</v>
      </c>
      <c r="AU165" s="3"/>
    </row>
    <row r="166" spans="1:47" ht="17" x14ac:dyDescent="0.2">
      <c r="A166" s="115">
        <v>164.99999999999915</v>
      </c>
      <c r="B166" s="3">
        <v>47</v>
      </c>
      <c r="C166" s="4">
        <v>21.164999999999999</v>
      </c>
      <c r="D166" s="126" t="s">
        <v>168</v>
      </c>
      <c r="E166" t="s">
        <v>169</v>
      </c>
      <c r="F166" s="35" t="s">
        <v>170</v>
      </c>
      <c r="H166" s="3" t="s">
        <v>29</v>
      </c>
      <c r="I166" s="127">
        <v>44283</v>
      </c>
      <c r="J166" s="17" t="s">
        <v>142</v>
      </c>
      <c r="K166" s="17" t="s">
        <v>203</v>
      </c>
      <c r="L166" s="17"/>
      <c r="M166" s="17"/>
      <c r="N166" s="17">
        <v>233</v>
      </c>
      <c r="O166" s="17">
        <v>176.64</v>
      </c>
      <c r="P166" s="17">
        <v>176.9</v>
      </c>
      <c r="Q166" s="17">
        <v>45.05</v>
      </c>
      <c r="R166" s="17">
        <v>20.95</v>
      </c>
      <c r="S166" s="17"/>
      <c r="T166" s="17"/>
      <c r="U166" s="50">
        <v>52.36</v>
      </c>
      <c r="V166" s="50">
        <v>67.87</v>
      </c>
      <c r="W166" s="50">
        <v>69.92</v>
      </c>
      <c r="X166" s="50">
        <v>83.55</v>
      </c>
      <c r="Y166" s="50">
        <v>39.61</v>
      </c>
      <c r="Z166" s="50">
        <v>92.87</v>
      </c>
      <c r="AA166" s="50">
        <v>77.180000000000007</v>
      </c>
      <c r="AB166" s="50">
        <v>78.63</v>
      </c>
      <c r="AC166" s="50">
        <v>22.59</v>
      </c>
      <c r="AD166" s="50">
        <v>50.66</v>
      </c>
      <c r="AE166" s="17">
        <v>34.04</v>
      </c>
      <c r="AF166" s="17">
        <v>44.62</v>
      </c>
      <c r="AG166" s="17">
        <v>31.52</v>
      </c>
      <c r="AH166" s="17">
        <v>42.88</v>
      </c>
      <c r="AI166" s="17">
        <v>1.7789999999999999</v>
      </c>
      <c r="AJ166" s="54"/>
      <c r="AK166" s="54"/>
      <c r="AL166" s="54"/>
      <c r="AM166" s="17">
        <v>38</v>
      </c>
      <c r="AN166" s="17"/>
      <c r="AO166" s="17">
        <v>10.88</v>
      </c>
      <c r="AP166" s="17">
        <v>130.24</v>
      </c>
      <c r="AQ166" s="17"/>
      <c r="AR166" s="17">
        <v>49.02</v>
      </c>
      <c r="AS166" s="17">
        <v>22.047000000000001</v>
      </c>
      <c r="AT166" s="3" t="s">
        <v>146</v>
      </c>
      <c r="AU166" s="3"/>
    </row>
    <row r="167" spans="1:47" ht="17" x14ac:dyDescent="0.2">
      <c r="A167" s="115">
        <v>166.00000000000037</v>
      </c>
      <c r="B167" s="3">
        <v>61</v>
      </c>
      <c r="C167" s="4">
        <v>21.166</v>
      </c>
      <c r="D167" s="126" t="s">
        <v>168</v>
      </c>
      <c r="E167" t="s">
        <v>169</v>
      </c>
      <c r="F167" s="35" t="s">
        <v>170</v>
      </c>
      <c r="H167" s="3" t="s">
        <v>29</v>
      </c>
      <c r="I167" s="127">
        <v>44313</v>
      </c>
      <c r="J167" s="17" t="s">
        <v>142</v>
      </c>
      <c r="K167" s="17" t="s">
        <v>203</v>
      </c>
      <c r="L167" s="17"/>
      <c r="M167" s="17"/>
      <c r="N167" s="17">
        <v>229.86</v>
      </c>
      <c r="O167" s="17">
        <v>171.73</v>
      </c>
      <c r="P167" s="17">
        <v>176.01</v>
      </c>
      <c r="Q167" s="17">
        <v>43.51</v>
      </c>
      <c r="R167" s="17">
        <v>13.62</v>
      </c>
      <c r="S167" s="17"/>
      <c r="T167" s="17"/>
      <c r="U167" s="50">
        <v>50.22</v>
      </c>
      <c r="V167" s="50">
        <v>71.239999999999995</v>
      </c>
      <c r="W167" s="50">
        <v>72.05</v>
      </c>
      <c r="X167" s="50">
        <v>88.38</v>
      </c>
      <c r="Y167" s="50">
        <v>43.46</v>
      </c>
      <c r="Z167" s="50">
        <v>95.89</v>
      </c>
      <c r="AA167" s="50">
        <v>80.41</v>
      </c>
      <c r="AB167" s="50">
        <v>82.56</v>
      </c>
      <c r="AC167" s="50">
        <v>26</v>
      </c>
      <c r="AD167" s="50">
        <v>48.99</v>
      </c>
      <c r="AE167" s="17">
        <v>31.82</v>
      </c>
      <c r="AF167" s="17">
        <v>42.11</v>
      </c>
      <c r="AG167" s="17">
        <v>32.6</v>
      </c>
      <c r="AH167" s="17">
        <v>37.799999999999997</v>
      </c>
      <c r="AI167" s="17">
        <v>1.6579999999999999</v>
      </c>
      <c r="AJ167" s="54"/>
      <c r="AK167" s="54"/>
      <c r="AL167" s="54"/>
      <c r="AM167" s="17">
        <v>23</v>
      </c>
      <c r="AN167" s="17"/>
      <c r="AO167" s="17">
        <v>12.65</v>
      </c>
      <c r="AP167" s="17">
        <v>140.18</v>
      </c>
      <c r="AQ167" s="17"/>
      <c r="AR167" s="17">
        <v>47.82</v>
      </c>
      <c r="AS167" s="17">
        <v>28.09</v>
      </c>
      <c r="AT167" s="3" t="s">
        <v>146</v>
      </c>
      <c r="AU167" s="3"/>
    </row>
    <row r="168" spans="1:47" ht="17" x14ac:dyDescent="0.2">
      <c r="A168" s="115">
        <v>167.00000000000159</v>
      </c>
      <c r="B168" s="3">
        <v>60</v>
      </c>
      <c r="C168" s="4">
        <v>21.167000000000002</v>
      </c>
      <c r="D168" s="126" t="s">
        <v>168</v>
      </c>
      <c r="E168" t="s">
        <v>169</v>
      </c>
      <c r="F168" s="35" t="s">
        <v>170</v>
      </c>
      <c r="H168" s="3" t="s">
        <v>29</v>
      </c>
      <c r="I168" s="127">
        <v>44307</v>
      </c>
      <c r="J168" s="17" t="s">
        <v>142</v>
      </c>
      <c r="K168" s="17" t="s">
        <v>203</v>
      </c>
      <c r="L168" s="17"/>
      <c r="M168" s="17"/>
      <c r="N168" s="17">
        <v>233.61</v>
      </c>
      <c r="O168" s="17">
        <v>183.23</v>
      </c>
      <c r="P168" s="17">
        <v>191.27</v>
      </c>
      <c r="Q168" s="17">
        <v>52.69</v>
      </c>
      <c r="R168" s="17">
        <v>26.33</v>
      </c>
      <c r="S168" s="17"/>
      <c r="T168" s="17"/>
      <c r="U168" s="50">
        <v>51.3</v>
      </c>
      <c r="V168" s="50">
        <v>66.760000000000005</v>
      </c>
      <c r="W168" s="50">
        <v>72.39</v>
      </c>
      <c r="X168" s="50">
        <v>85.72</v>
      </c>
      <c r="Y168" s="50">
        <v>39.65</v>
      </c>
      <c r="Z168" s="50">
        <v>95.72</v>
      </c>
      <c r="AA168" s="50">
        <v>79.8</v>
      </c>
      <c r="AB168" s="50">
        <v>76.98</v>
      </c>
      <c r="AC168" s="50">
        <v>28.81</v>
      </c>
      <c r="AD168" s="50">
        <v>49.9</v>
      </c>
      <c r="AE168" s="17">
        <v>35.11</v>
      </c>
      <c r="AF168" s="17">
        <v>42.34</v>
      </c>
      <c r="AG168" s="17">
        <v>38.86</v>
      </c>
      <c r="AH168" s="17">
        <v>36.78</v>
      </c>
      <c r="AI168" s="17">
        <v>1.5529999999999999</v>
      </c>
      <c r="AJ168" s="54"/>
      <c r="AK168" s="54"/>
      <c r="AL168" s="54"/>
      <c r="AM168" s="17">
        <v>32.5</v>
      </c>
      <c r="AN168" s="17"/>
      <c r="AO168" s="17">
        <v>18.3</v>
      </c>
      <c r="AP168" s="17">
        <f>113.8+11.49</f>
        <v>125.28999999999999</v>
      </c>
      <c r="AQ168" s="17"/>
      <c r="AR168" s="17">
        <v>49.46</v>
      </c>
      <c r="AS168" s="17">
        <v>21.65</v>
      </c>
      <c r="AT168" s="3" t="s">
        <v>146</v>
      </c>
      <c r="AU168" s="3"/>
    </row>
    <row r="169" spans="1:47" ht="17" x14ac:dyDescent="0.2">
      <c r="A169" s="115">
        <v>167.99999999999926</v>
      </c>
      <c r="B169" s="3">
        <v>75</v>
      </c>
      <c r="C169" s="4">
        <v>21.167999999999999</v>
      </c>
      <c r="D169" s="126" t="s">
        <v>168</v>
      </c>
      <c r="E169" t="s">
        <v>169</v>
      </c>
      <c r="F169" s="35" t="s">
        <v>170</v>
      </c>
      <c r="H169" s="3" t="s">
        <v>29</v>
      </c>
      <c r="I169" s="127">
        <v>44306</v>
      </c>
      <c r="J169" s="17" t="s">
        <v>142</v>
      </c>
      <c r="K169" s="17" t="s">
        <v>203</v>
      </c>
      <c r="L169" s="17"/>
      <c r="M169" s="17"/>
      <c r="N169" s="17">
        <v>248.52</v>
      </c>
      <c r="O169" s="17">
        <v>164.83</v>
      </c>
      <c r="P169" s="17">
        <v>179.87</v>
      </c>
      <c r="Q169" s="17">
        <v>42.36</v>
      </c>
      <c r="R169" s="17">
        <v>16.940000000000001</v>
      </c>
      <c r="S169" s="17"/>
      <c r="T169" s="17"/>
      <c r="U169" s="50">
        <v>52.76</v>
      </c>
      <c r="V169" s="50">
        <v>66.13</v>
      </c>
      <c r="W169" s="50">
        <v>72.47</v>
      </c>
      <c r="X169" s="50">
        <v>84.94</v>
      </c>
      <c r="Y169" s="50">
        <v>41.66</v>
      </c>
      <c r="Z169" s="50">
        <v>96.07</v>
      </c>
      <c r="AA169" s="50">
        <v>78.989999999999995</v>
      </c>
      <c r="AB169" s="50">
        <v>83.55</v>
      </c>
      <c r="AC169" s="50">
        <v>24.42</v>
      </c>
      <c r="AD169" s="50">
        <v>51.51</v>
      </c>
      <c r="AE169" s="17">
        <v>29.09</v>
      </c>
      <c r="AF169" s="17">
        <v>35.99</v>
      </c>
      <c r="AG169" s="17">
        <v>36.54</v>
      </c>
      <c r="AH169" s="17">
        <v>40.25</v>
      </c>
      <c r="AI169" s="17">
        <v>1.7589999999999999</v>
      </c>
      <c r="AJ169" s="54"/>
      <c r="AK169" s="54"/>
      <c r="AL169" s="54"/>
      <c r="AM169" s="17">
        <v>31.5</v>
      </c>
      <c r="AN169" s="17"/>
      <c r="AO169" s="17">
        <v>16.07</v>
      </c>
      <c r="AP169" s="17">
        <v>146.49</v>
      </c>
      <c r="AQ169" s="17"/>
      <c r="AR169" s="17">
        <v>51.32</v>
      </c>
      <c r="AS169" s="17">
        <v>22.818000000000001</v>
      </c>
      <c r="AT169" s="3" t="s">
        <v>146</v>
      </c>
      <c r="AU169" s="3"/>
    </row>
    <row r="170" spans="1:47" ht="17" x14ac:dyDescent="0.2">
      <c r="A170" s="115">
        <v>169.00000000000048</v>
      </c>
      <c r="B170" s="3">
        <v>59</v>
      </c>
      <c r="C170" s="4">
        <v>21.169</v>
      </c>
      <c r="D170" s="126" t="s">
        <v>168</v>
      </c>
      <c r="E170" t="s">
        <v>169</v>
      </c>
      <c r="F170" s="35" t="s">
        <v>170</v>
      </c>
      <c r="H170" s="3" t="s">
        <v>29</v>
      </c>
      <c r="I170" s="127">
        <v>44307</v>
      </c>
      <c r="J170" s="17" t="s">
        <v>142</v>
      </c>
      <c r="K170" s="17" t="s">
        <v>203</v>
      </c>
      <c r="L170" s="17"/>
      <c r="M170" s="17"/>
      <c r="N170" s="17">
        <v>251.98</v>
      </c>
      <c r="O170" s="17">
        <v>167.58</v>
      </c>
      <c r="P170" s="17">
        <v>181.54</v>
      </c>
      <c r="Q170" s="17">
        <v>50.13</v>
      </c>
      <c r="R170" s="17">
        <v>14.89</v>
      </c>
      <c r="S170" s="17"/>
      <c r="T170" s="17"/>
      <c r="U170" s="50">
        <v>50.46</v>
      </c>
      <c r="V170" s="50">
        <v>68.05</v>
      </c>
      <c r="W170" s="50">
        <v>68.849999999999994</v>
      </c>
      <c r="X170" s="50">
        <v>88.94</v>
      </c>
      <c r="Y170" s="50">
        <v>43.69</v>
      </c>
      <c r="Z170" s="50">
        <v>96.27</v>
      </c>
      <c r="AA170" s="50">
        <v>80.5</v>
      </c>
      <c r="AB170" s="50">
        <v>80.37</v>
      </c>
      <c r="AC170" s="50">
        <v>21.68</v>
      </c>
      <c r="AD170" s="50">
        <v>50.99</v>
      </c>
      <c r="AE170" s="17">
        <v>29.57</v>
      </c>
      <c r="AF170" s="17">
        <v>40.03</v>
      </c>
      <c r="AG170" s="17">
        <v>32.99</v>
      </c>
      <c r="AH170" s="17">
        <v>43.15</v>
      </c>
      <c r="AI170" s="17">
        <v>1.8340000000000001</v>
      </c>
      <c r="AJ170" s="54"/>
      <c r="AK170" s="54"/>
      <c r="AL170" s="54"/>
      <c r="AM170" s="17">
        <v>29</v>
      </c>
      <c r="AN170" s="17"/>
      <c r="AO170" s="17">
        <v>14.75</v>
      </c>
      <c r="AP170" s="17">
        <v>149.91999999999999</v>
      </c>
      <c r="AQ170" s="17"/>
      <c r="AR170" s="17">
        <v>53.9</v>
      </c>
      <c r="AS170" s="17">
        <v>23.734000000000002</v>
      </c>
      <c r="AT170" s="3" t="s">
        <v>146</v>
      </c>
      <c r="AU170" s="3"/>
    </row>
    <row r="171" spans="1:47" x14ac:dyDescent="0.2">
      <c r="A171" s="115">
        <v>170.00000000000171</v>
      </c>
      <c r="B171" s="3" t="s">
        <v>523</v>
      </c>
      <c r="C171" s="2" t="s">
        <v>524</v>
      </c>
      <c r="D171" s="64" t="s">
        <v>223</v>
      </c>
      <c r="E171" s="11" t="s">
        <v>223</v>
      </c>
      <c r="F171" s="3" t="s">
        <v>73</v>
      </c>
      <c r="G171" s="3" t="s">
        <v>73</v>
      </c>
      <c r="H171"/>
      <c r="I171" s="82">
        <v>44327</v>
      </c>
      <c r="J171" s="17" t="s">
        <v>142</v>
      </c>
      <c r="K171" s="17" t="s">
        <v>203</v>
      </c>
      <c r="L171" s="17"/>
      <c r="M171" s="17"/>
      <c r="N171" s="17">
        <v>221.43</v>
      </c>
      <c r="O171" s="17">
        <v>158.78</v>
      </c>
      <c r="P171" s="17">
        <v>157.5</v>
      </c>
      <c r="Q171" s="17">
        <v>39.49</v>
      </c>
      <c r="R171" s="17">
        <v>17.329999999999998</v>
      </c>
      <c r="S171" s="17"/>
      <c r="T171" s="17"/>
      <c r="U171" s="50">
        <v>50.72</v>
      </c>
      <c r="V171" s="50">
        <v>70.599999999999994</v>
      </c>
      <c r="W171" s="50">
        <v>74.97</v>
      </c>
      <c r="X171" s="50">
        <v>89.26</v>
      </c>
      <c r="Y171" s="50">
        <v>45.43</v>
      </c>
      <c r="Z171" s="50">
        <v>103.66</v>
      </c>
      <c r="AA171" s="50">
        <v>77.81</v>
      </c>
      <c r="AB171" s="50">
        <v>81.680000000000007</v>
      </c>
      <c r="AC171" s="50">
        <v>33.21</v>
      </c>
      <c r="AD171" s="50">
        <v>48.94</v>
      </c>
      <c r="AE171" s="17">
        <v>27.28</v>
      </c>
      <c r="AF171" s="17">
        <v>32.29</v>
      </c>
      <c r="AG171" s="17">
        <v>28.75</v>
      </c>
      <c r="AH171" s="17">
        <v>34.21</v>
      </c>
      <c r="AI171" s="17">
        <v>1.7549999999999999</v>
      </c>
      <c r="AJ171" s="54"/>
      <c r="AK171" s="54"/>
      <c r="AL171" s="54"/>
      <c r="AM171" s="17">
        <v>21</v>
      </c>
      <c r="AN171" s="17"/>
      <c r="AO171" s="17">
        <v>11.05</v>
      </c>
      <c r="AP171" s="17">
        <v>134.69</v>
      </c>
      <c r="AQ171" s="17"/>
      <c r="AR171" s="17">
        <v>50.42</v>
      </c>
      <c r="AS171" s="17">
        <v>20.151</v>
      </c>
      <c r="AT171" s="3" t="s">
        <v>146</v>
      </c>
      <c r="AU171" s="3"/>
    </row>
    <row r="172" spans="1:47" x14ac:dyDescent="0.2">
      <c r="A172" s="115">
        <v>170.99999999999937</v>
      </c>
      <c r="B172" s="3" t="s">
        <v>525</v>
      </c>
      <c r="C172" s="4">
        <v>21.170999999999999</v>
      </c>
      <c r="D172" s="64" t="s">
        <v>223</v>
      </c>
      <c r="E172" s="11" t="s">
        <v>223</v>
      </c>
      <c r="F172" s="3" t="s">
        <v>73</v>
      </c>
      <c r="G172" s="3" t="s">
        <v>73</v>
      </c>
      <c r="H172"/>
      <c r="I172" s="82">
        <v>44327</v>
      </c>
      <c r="J172" s="17" t="s">
        <v>142</v>
      </c>
      <c r="K172" s="17" t="s">
        <v>203</v>
      </c>
      <c r="L172" s="17"/>
      <c r="M172" s="17"/>
      <c r="N172" s="17">
        <v>218.79</v>
      </c>
      <c r="O172" s="17">
        <v>159.19</v>
      </c>
      <c r="P172" s="17">
        <v>161.69</v>
      </c>
      <c r="Q172" s="17">
        <v>41.32</v>
      </c>
      <c r="R172" s="17">
        <v>19.02</v>
      </c>
      <c r="S172" s="17"/>
      <c r="T172" s="17"/>
      <c r="U172" s="50">
        <v>52.35</v>
      </c>
      <c r="V172" s="50">
        <v>72.959999999999994</v>
      </c>
      <c r="W172" s="50">
        <v>78.59</v>
      </c>
      <c r="X172" s="50">
        <v>93.56</v>
      </c>
      <c r="Y172" s="50">
        <v>40.520000000000003</v>
      </c>
      <c r="Z172" s="50">
        <v>103.62</v>
      </c>
      <c r="AA172" s="50">
        <v>77.91</v>
      </c>
      <c r="AB172" s="50">
        <v>82.39</v>
      </c>
      <c r="AC172" s="50">
        <v>25.01</v>
      </c>
      <c r="AD172" s="50">
        <v>48.91</v>
      </c>
      <c r="AE172" s="17">
        <v>27.13</v>
      </c>
      <c r="AF172" s="17">
        <v>32.950000000000003</v>
      </c>
      <c r="AG172" s="17">
        <v>31.98</v>
      </c>
      <c r="AH172" s="17">
        <v>31.71</v>
      </c>
      <c r="AI172" s="17">
        <v>1.7050000000000001</v>
      </c>
      <c r="AJ172" s="54"/>
      <c r="AK172" s="54"/>
      <c r="AL172" s="54"/>
      <c r="AM172" s="17">
        <v>24</v>
      </c>
      <c r="AN172" s="17"/>
      <c r="AO172" s="17">
        <v>13.15</v>
      </c>
      <c r="AP172" s="17">
        <v>135.56</v>
      </c>
      <c r="AQ172" s="17"/>
      <c r="AR172" s="17">
        <v>48.77</v>
      </c>
      <c r="AS172" s="17">
        <v>21.425999999999998</v>
      </c>
      <c r="AT172" s="3" t="s">
        <v>146</v>
      </c>
      <c r="AU172" s="3"/>
    </row>
    <row r="173" spans="1:47" x14ac:dyDescent="0.2">
      <c r="A173" s="115">
        <v>172.0000000000006</v>
      </c>
      <c r="B173" s="3" t="s">
        <v>526</v>
      </c>
      <c r="C173" s="4">
        <v>21.172000000000001</v>
      </c>
      <c r="D173" s="64" t="s">
        <v>223</v>
      </c>
      <c r="E173" s="11" t="s">
        <v>223</v>
      </c>
      <c r="F173" s="3" t="s">
        <v>73</v>
      </c>
      <c r="G173" s="3" t="s">
        <v>73</v>
      </c>
      <c r="H173"/>
      <c r="I173" s="82">
        <v>44310</v>
      </c>
      <c r="J173" s="17" t="s">
        <v>142</v>
      </c>
      <c r="K173" s="17" t="s">
        <v>203</v>
      </c>
      <c r="L173" s="17"/>
      <c r="M173" s="17"/>
      <c r="N173" s="17">
        <v>232.64</v>
      </c>
      <c r="O173" s="17">
        <v>162.80000000000001</v>
      </c>
      <c r="P173" s="17">
        <v>159.69</v>
      </c>
      <c r="Q173" s="17">
        <v>43.99</v>
      </c>
      <c r="R173" s="17">
        <v>19.87</v>
      </c>
      <c r="S173" s="17"/>
      <c r="T173" s="17"/>
      <c r="U173" s="50">
        <v>52.06</v>
      </c>
      <c r="V173" s="50">
        <v>71.459999999999994</v>
      </c>
      <c r="W173" s="50">
        <v>77.06</v>
      </c>
      <c r="X173" s="50">
        <v>90.07</v>
      </c>
      <c r="Y173" s="50">
        <v>41.53</v>
      </c>
      <c r="Z173" s="50">
        <v>109.97</v>
      </c>
      <c r="AA173" s="50">
        <v>74.760000000000005</v>
      </c>
      <c r="AB173" s="50">
        <v>81.34</v>
      </c>
      <c r="AC173" s="50">
        <v>29.38</v>
      </c>
      <c r="AD173" s="50">
        <v>50.06</v>
      </c>
      <c r="AE173" s="17">
        <v>30.94</v>
      </c>
      <c r="AF173" s="17">
        <v>35.47</v>
      </c>
      <c r="AG173" s="17">
        <v>35.659999999999997</v>
      </c>
      <c r="AH173" s="17">
        <v>30.61</v>
      </c>
      <c r="AI173" s="17">
        <v>1.69</v>
      </c>
      <c r="AJ173" s="54"/>
      <c r="AK173" s="54"/>
      <c r="AL173" s="54"/>
      <c r="AM173" s="17">
        <v>24.5</v>
      </c>
      <c r="AN173" s="17"/>
      <c r="AO173" s="17">
        <v>14.17</v>
      </c>
      <c r="AP173" s="17">
        <v>133.03</v>
      </c>
      <c r="AQ173" s="17"/>
      <c r="AR173" s="17">
        <v>53.23</v>
      </c>
      <c r="AS173" s="17">
        <v>23.251999999999999</v>
      </c>
      <c r="AT173" s="3" t="s">
        <v>146</v>
      </c>
      <c r="AU173" s="3"/>
    </row>
    <row r="174" spans="1:47" x14ac:dyDescent="0.2">
      <c r="A174" s="115">
        <v>172.99999999999827</v>
      </c>
      <c r="B174" s="3" t="s">
        <v>527</v>
      </c>
      <c r="C174" s="4">
        <v>21.172999999999998</v>
      </c>
      <c r="D174" s="64" t="s">
        <v>223</v>
      </c>
      <c r="E174" s="11" t="s">
        <v>223</v>
      </c>
      <c r="F174" s="3" t="s">
        <v>73</v>
      </c>
      <c r="G174" s="3" t="s">
        <v>73</v>
      </c>
      <c r="H174"/>
      <c r="I174" s="82">
        <v>44300</v>
      </c>
      <c r="J174" s="17" t="s">
        <v>142</v>
      </c>
      <c r="K174" s="17" t="s">
        <v>203</v>
      </c>
      <c r="L174" s="17"/>
      <c r="M174" s="17"/>
      <c r="N174" s="17">
        <v>206.93</v>
      </c>
      <c r="O174" s="17">
        <v>156.84</v>
      </c>
      <c r="P174" s="17">
        <v>152.88999999999999</v>
      </c>
      <c r="Q174" s="17">
        <v>41.28</v>
      </c>
      <c r="R174" s="17">
        <v>18.64</v>
      </c>
      <c r="S174" s="17"/>
      <c r="T174" s="17"/>
      <c r="U174" s="50">
        <v>54.75</v>
      </c>
      <c r="V174" s="50">
        <v>73.14</v>
      </c>
      <c r="W174" s="50">
        <v>78.78</v>
      </c>
      <c r="X174" s="50">
        <v>89.73</v>
      </c>
      <c r="Y174" s="50">
        <v>43.37</v>
      </c>
      <c r="Z174" s="50">
        <v>99.04</v>
      </c>
      <c r="AA174" s="50">
        <v>73.260000000000005</v>
      </c>
      <c r="AB174" s="50">
        <v>80.84</v>
      </c>
      <c r="AC174" s="50">
        <v>30.54</v>
      </c>
      <c r="AD174" s="50">
        <v>48.25</v>
      </c>
      <c r="AE174" s="17">
        <v>27.77</v>
      </c>
      <c r="AF174" s="17">
        <v>29.12</v>
      </c>
      <c r="AG174" s="17">
        <v>29.12</v>
      </c>
      <c r="AH174" s="17">
        <v>32.4</v>
      </c>
      <c r="AI174" s="17">
        <v>1.9159999999999999</v>
      </c>
      <c r="AJ174" s="54"/>
      <c r="AK174" s="54"/>
      <c r="AL174" s="54"/>
      <c r="AM174" s="17">
        <v>32.5</v>
      </c>
      <c r="AN174" s="17"/>
      <c r="AO174" s="17">
        <v>10.039999999999999</v>
      </c>
      <c r="AP174" s="17">
        <v>105.47</v>
      </c>
      <c r="AQ174" s="17"/>
      <c r="AR174" s="17">
        <v>51.42</v>
      </c>
      <c r="AS174" s="17">
        <v>22.1</v>
      </c>
      <c r="AT174" s="3" t="s">
        <v>146</v>
      </c>
      <c r="AU174" s="3"/>
    </row>
    <row r="175" spans="1:47" x14ac:dyDescent="0.2">
      <c r="A175" s="115">
        <v>173.99999999999949</v>
      </c>
      <c r="B175" s="3" t="s">
        <v>528</v>
      </c>
      <c r="C175" s="4">
        <v>21.173999999999999</v>
      </c>
      <c r="D175" s="64" t="s">
        <v>223</v>
      </c>
      <c r="E175" s="11" t="s">
        <v>223</v>
      </c>
      <c r="F175" s="3" t="s">
        <v>73</v>
      </c>
      <c r="G175" s="3" t="s">
        <v>73</v>
      </c>
      <c r="I175" s="82">
        <v>44310</v>
      </c>
      <c r="J175" s="17" t="s">
        <v>142</v>
      </c>
      <c r="K175" s="17" t="s">
        <v>203</v>
      </c>
      <c r="L175" s="17"/>
      <c r="M175" s="17"/>
      <c r="N175" s="17">
        <v>219.43</v>
      </c>
      <c r="O175" s="17">
        <v>163.85</v>
      </c>
      <c r="P175" s="17">
        <v>157.94999999999999</v>
      </c>
      <c r="Q175" s="17">
        <v>42.51</v>
      </c>
      <c r="R175" s="17">
        <v>16.53</v>
      </c>
      <c r="S175" s="17"/>
      <c r="T175" s="17"/>
      <c r="U175" s="50">
        <v>54.53</v>
      </c>
      <c r="V175" s="50">
        <v>71.180000000000007</v>
      </c>
      <c r="W175" s="50">
        <v>74.45</v>
      </c>
      <c r="X175" s="50">
        <v>89.05</v>
      </c>
      <c r="Y175" s="50">
        <v>38.1</v>
      </c>
      <c r="Z175" s="50">
        <v>100.03</v>
      </c>
      <c r="AA175" s="50">
        <v>72.17</v>
      </c>
      <c r="AB175" s="50">
        <v>79.040000000000006</v>
      </c>
      <c r="AC175" s="50">
        <v>32.31</v>
      </c>
      <c r="AD175" s="50">
        <v>47.7</v>
      </c>
      <c r="AE175" s="17">
        <v>25.84</v>
      </c>
      <c r="AF175" s="17">
        <v>33.83</v>
      </c>
      <c r="AG175" s="17">
        <v>32.200000000000003</v>
      </c>
      <c r="AH175" s="17">
        <v>34.14</v>
      </c>
      <c r="AI175" s="17">
        <v>1.7130000000000001</v>
      </c>
      <c r="AJ175" s="54"/>
      <c r="AK175" s="54"/>
      <c r="AL175" s="54"/>
      <c r="AM175" s="17">
        <v>13</v>
      </c>
      <c r="AN175" s="17"/>
      <c r="AO175" s="17">
        <v>10.96</v>
      </c>
      <c r="AP175" s="17">
        <v>137.26</v>
      </c>
      <c r="AQ175" s="17"/>
      <c r="AR175" s="17">
        <v>50.04</v>
      </c>
      <c r="AS175" s="17">
        <v>22.052</v>
      </c>
      <c r="AT175" s="3" t="s">
        <v>146</v>
      </c>
      <c r="AU175" s="3"/>
    </row>
    <row r="176" spans="1:47" x14ac:dyDescent="0.2">
      <c r="A176" s="115">
        <v>175.00000000000071</v>
      </c>
      <c r="B176" s="3" t="s">
        <v>523</v>
      </c>
      <c r="C176" s="4">
        <v>21.175000000000001</v>
      </c>
      <c r="D176" s="64" t="s">
        <v>223</v>
      </c>
      <c r="E176" s="11" t="s">
        <v>223</v>
      </c>
      <c r="F176" s="3" t="s">
        <v>73</v>
      </c>
      <c r="G176" s="3" t="s">
        <v>73</v>
      </c>
      <c r="H176"/>
      <c r="I176" s="82">
        <v>44331</v>
      </c>
      <c r="J176" s="17" t="s">
        <v>142</v>
      </c>
      <c r="K176" s="17" t="s">
        <v>203</v>
      </c>
      <c r="L176" s="17"/>
      <c r="M176" s="17"/>
      <c r="N176" s="17">
        <v>218.41</v>
      </c>
      <c r="O176" s="17">
        <v>166.02</v>
      </c>
      <c r="P176" s="17">
        <v>165.48</v>
      </c>
      <c r="Q176" s="17">
        <v>48.63</v>
      </c>
      <c r="R176" s="17">
        <v>16.739999999999998</v>
      </c>
      <c r="S176" s="17"/>
      <c r="T176" s="17"/>
      <c r="U176" s="50">
        <v>52.17</v>
      </c>
      <c r="V176" s="50">
        <v>70.89</v>
      </c>
      <c r="W176" s="50">
        <v>76.099999999999994</v>
      </c>
      <c r="X176" s="50">
        <v>89.97</v>
      </c>
      <c r="Y176" s="50">
        <v>39.9</v>
      </c>
      <c r="Z176" s="50">
        <v>103.61</v>
      </c>
      <c r="AA176" s="50">
        <v>77.989999999999995</v>
      </c>
      <c r="AB176" s="50">
        <v>79.89</v>
      </c>
      <c r="AC176" s="50">
        <v>21.53</v>
      </c>
      <c r="AD176" s="50">
        <v>50.32</v>
      </c>
      <c r="AE176" s="17">
        <v>27.05</v>
      </c>
      <c r="AF176" s="17">
        <v>39.340000000000003</v>
      </c>
      <c r="AG176" s="17">
        <v>33.76</v>
      </c>
      <c r="AH176" s="17">
        <v>36.19</v>
      </c>
      <c r="AI176" s="17">
        <v>1.6339999999999999</v>
      </c>
      <c r="AJ176" s="54"/>
      <c r="AK176" s="54"/>
      <c r="AL176" s="54"/>
      <c r="AM176" s="17">
        <v>13</v>
      </c>
      <c r="AN176" s="17"/>
      <c r="AO176" s="17">
        <v>12.91</v>
      </c>
      <c r="AP176" s="17">
        <v>136.02000000000001</v>
      </c>
      <c r="AQ176" s="17"/>
      <c r="AR176" s="17">
        <v>50.22</v>
      </c>
      <c r="AS176" s="17">
        <v>21.718</v>
      </c>
      <c r="AT176" s="3" t="s">
        <v>146</v>
      </c>
      <c r="AU176" s="3"/>
    </row>
    <row r="177" spans="1:47" x14ac:dyDescent="0.2">
      <c r="A177" s="115">
        <v>175.99999999999838</v>
      </c>
      <c r="B177" s="3">
        <v>48</v>
      </c>
      <c r="C177" s="3">
        <v>21.175999999999998</v>
      </c>
      <c r="D177" s="126" t="s">
        <v>168</v>
      </c>
      <c r="E177" t="s">
        <v>169</v>
      </c>
      <c r="F177" s="3" t="s">
        <v>170</v>
      </c>
      <c r="H177" s="3" t="s">
        <v>29</v>
      </c>
      <c r="I177" s="127">
        <v>44283</v>
      </c>
      <c r="J177" s="16" t="s">
        <v>142</v>
      </c>
      <c r="K177" s="17" t="s">
        <v>203</v>
      </c>
      <c r="L177" s="17"/>
      <c r="M177" s="17"/>
      <c r="N177" s="17">
        <v>245.99</v>
      </c>
      <c r="O177" s="17">
        <v>170.75</v>
      </c>
      <c r="P177" s="17">
        <v>177.25</v>
      </c>
      <c r="Q177" s="17">
        <v>41.77</v>
      </c>
      <c r="R177" s="17">
        <v>17.579999999999998</v>
      </c>
      <c r="S177" s="17"/>
      <c r="T177" s="17"/>
      <c r="U177" s="50">
        <v>53.95</v>
      </c>
      <c r="V177" s="50">
        <v>67.62</v>
      </c>
      <c r="W177" s="50">
        <v>71.39</v>
      </c>
      <c r="X177" s="50">
        <v>85.4</v>
      </c>
      <c r="Y177" s="50">
        <v>45.65</v>
      </c>
      <c r="Z177" s="50">
        <v>94.2</v>
      </c>
      <c r="AA177" s="50">
        <v>79.400000000000006</v>
      </c>
      <c r="AB177" s="50">
        <v>78.239999999999995</v>
      </c>
      <c r="AC177" s="50">
        <v>25.2</v>
      </c>
      <c r="AD177" s="50">
        <v>50.34</v>
      </c>
      <c r="AE177" s="17">
        <v>31.34</v>
      </c>
      <c r="AF177" s="17">
        <v>40.86</v>
      </c>
      <c r="AG177" s="17">
        <v>33.79</v>
      </c>
      <c r="AH177" s="17">
        <v>41.77</v>
      </c>
      <c r="AI177" s="17">
        <v>1.835</v>
      </c>
      <c r="AJ177" s="54"/>
      <c r="AK177" s="54"/>
      <c r="AL177" s="54"/>
      <c r="AM177" s="17">
        <v>31</v>
      </c>
      <c r="AN177" s="17"/>
      <c r="AO177" s="17">
        <v>17.18</v>
      </c>
      <c r="AP177" s="17">
        <v>141.01</v>
      </c>
      <c r="AQ177" s="17"/>
      <c r="AR177" s="17">
        <v>51.72</v>
      </c>
      <c r="AS177" s="17">
        <v>22.713000000000001</v>
      </c>
      <c r="AT177" s="3" t="s">
        <v>146</v>
      </c>
      <c r="AU177" s="3"/>
    </row>
    <row r="178" spans="1:47" x14ac:dyDescent="0.2">
      <c r="A178" s="115">
        <v>176.9999999999996</v>
      </c>
      <c r="B178" s="3">
        <v>49</v>
      </c>
      <c r="C178" s="3">
        <v>21.177</v>
      </c>
      <c r="D178" s="126" t="s">
        <v>168</v>
      </c>
      <c r="E178" t="s">
        <v>169</v>
      </c>
      <c r="F178" s="3" t="s">
        <v>170</v>
      </c>
      <c r="H178" s="3" t="s">
        <v>29</v>
      </c>
      <c r="I178" s="127">
        <v>44283</v>
      </c>
      <c r="J178" s="16" t="s">
        <v>142</v>
      </c>
      <c r="K178" s="16" t="s">
        <v>235</v>
      </c>
      <c r="L178" s="17"/>
      <c r="M178" s="17"/>
      <c r="N178" s="17">
        <v>198.12</v>
      </c>
      <c r="O178" s="17">
        <v>177.46</v>
      </c>
      <c r="P178" s="17">
        <v>183.1</v>
      </c>
      <c r="Q178" s="17">
        <v>42.13</v>
      </c>
      <c r="R178" s="17">
        <v>20.52</v>
      </c>
      <c r="S178" s="17"/>
      <c r="T178" s="17"/>
      <c r="U178" s="50">
        <v>51.93</v>
      </c>
      <c r="V178" s="50">
        <v>67.819999999999993</v>
      </c>
      <c r="W178" s="50">
        <v>71.11</v>
      </c>
      <c r="X178" s="50">
        <v>87.14</v>
      </c>
      <c r="Y178" s="50">
        <v>39.18</v>
      </c>
      <c r="Z178" s="50">
        <v>97.22</v>
      </c>
      <c r="AA178" s="50">
        <v>83.47</v>
      </c>
      <c r="AB178" s="50">
        <v>79.83</v>
      </c>
      <c r="AC178" s="50">
        <v>24.04</v>
      </c>
      <c r="AD178" s="50">
        <v>57.27</v>
      </c>
      <c r="AE178" s="17">
        <v>32.69</v>
      </c>
      <c r="AF178" s="17">
        <v>40.96</v>
      </c>
      <c r="AG178" s="17">
        <v>32.770000000000003</v>
      </c>
      <c r="AH178" s="17">
        <v>39.130000000000003</v>
      </c>
      <c r="AI178" s="17">
        <v>1.3939999999999999</v>
      </c>
      <c r="AJ178" s="17">
        <v>46.94</v>
      </c>
      <c r="AK178" s="17"/>
      <c r="AL178" s="17"/>
      <c r="AM178" s="17"/>
      <c r="AN178" s="17">
        <v>131.5</v>
      </c>
      <c r="AO178" s="17">
        <v>12.1</v>
      </c>
      <c r="AP178" s="17">
        <v>37.53</v>
      </c>
      <c r="AQ178" s="17"/>
      <c r="AR178" s="17">
        <v>51.3</v>
      </c>
      <c r="AS178" s="17">
        <v>22.998000000000001</v>
      </c>
      <c r="AT178" s="3" t="s">
        <v>146</v>
      </c>
      <c r="AU178" s="3"/>
    </row>
    <row r="179" spans="1:47" x14ac:dyDescent="0.2">
      <c r="A179" s="115">
        <v>178.00000000000082</v>
      </c>
      <c r="B179" s="3">
        <v>85</v>
      </c>
      <c r="C179" s="3">
        <v>21.178000000000001</v>
      </c>
      <c r="D179" s="129" t="s">
        <v>140</v>
      </c>
      <c r="E179" t="s">
        <v>141</v>
      </c>
      <c r="F179" s="3" t="s">
        <v>62</v>
      </c>
      <c r="G179"/>
      <c r="H179" s="3" t="s">
        <v>62</v>
      </c>
      <c r="I179" s="127">
        <v>44343</v>
      </c>
      <c r="J179" s="16" t="s">
        <v>142</v>
      </c>
      <c r="K179" s="17" t="s">
        <v>203</v>
      </c>
      <c r="L179" s="17"/>
      <c r="M179" s="17"/>
      <c r="N179" s="17">
        <v>230.01</v>
      </c>
      <c r="O179" s="17">
        <v>188.98</v>
      </c>
      <c r="P179" s="17">
        <v>205.47</v>
      </c>
      <c r="Q179" s="17">
        <v>57.51</v>
      </c>
      <c r="R179" s="17">
        <v>25.94</v>
      </c>
      <c r="S179" s="17"/>
      <c r="T179" s="17"/>
      <c r="U179" s="50">
        <v>56.05</v>
      </c>
      <c r="V179" s="50">
        <v>72.83</v>
      </c>
      <c r="W179" s="50">
        <v>75.62</v>
      </c>
      <c r="X179" s="50">
        <v>92.99</v>
      </c>
      <c r="Y179" s="50">
        <v>44.35</v>
      </c>
      <c r="Z179" s="50">
        <v>104.22</v>
      </c>
      <c r="AA179" s="50">
        <v>76.33</v>
      </c>
      <c r="AB179" s="50">
        <v>77.239999999999995</v>
      </c>
      <c r="AC179" s="50">
        <v>16.78</v>
      </c>
      <c r="AD179" s="50">
        <v>45.8</v>
      </c>
      <c r="AE179" s="17">
        <v>31.16</v>
      </c>
      <c r="AF179" s="17">
        <v>47.4</v>
      </c>
      <c r="AG179" s="17">
        <v>43.14</v>
      </c>
      <c r="AH179" s="17">
        <v>45.82</v>
      </c>
      <c r="AI179" s="17">
        <v>1.7050000000000001</v>
      </c>
      <c r="AJ179" s="54"/>
      <c r="AK179" s="54"/>
      <c r="AL179" s="54"/>
      <c r="AM179" s="17">
        <v>14.5</v>
      </c>
      <c r="AN179" s="17"/>
      <c r="AO179" s="17">
        <v>13.78</v>
      </c>
      <c r="AP179" s="17">
        <v>103.62</v>
      </c>
      <c r="AQ179" s="17">
        <v>45.73</v>
      </c>
      <c r="AR179" s="17">
        <v>47.66</v>
      </c>
      <c r="AS179" s="17">
        <v>20.76</v>
      </c>
      <c r="AT179" s="3" t="s">
        <v>146</v>
      </c>
      <c r="AU179" s="3"/>
    </row>
    <row r="180" spans="1:47" x14ac:dyDescent="0.2">
      <c r="A180" s="115">
        <v>178.99999999999849</v>
      </c>
      <c r="B180" s="3">
        <v>86</v>
      </c>
      <c r="C180" s="4">
        <v>21.178999999999998</v>
      </c>
      <c r="D180" s="129" t="s">
        <v>140</v>
      </c>
      <c r="E180" t="s">
        <v>141</v>
      </c>
      <c r="F180" s="3" t="s">
        <v>62</v>
      </c>
      <c r="G180"/>
      <c r="H180" s="3" t="s">
        <v>62</v>
      </c>
      <c r="I180" s="127">
        <v>44343</v>
      </c>
      <c r="J180" s="16" t="s">
        <v>142</v>
      </c>
      <c r="K180" s="17" t="s">
        <v>203</v>
      </c>
      <c r="L180" s="17"/>
      <c r="M180" s="17"/>
      <c r="N180" s="17">
        <v>227.57</v>
      </c>
      <c r="O180" s="17">
        <v>206.69</v>
      </c>
      <c r="P180" s="17">
        <f xml:space="preserve"> 206.68+ 14.7</f>
        <v>221.38</v>
      </c>
      <c r="Q180" s="17">
        <v>58.71</v>
      </c>
      <c r="R180" s="17">
        <v>38</v>
      </c>
      <c r="S180" s="17"/>
      <c r="T180" s="17"/>
      <c r="U180" s="50">
        <v>54.26</v>
      </c>
      <c r="V180" s="50">
        <v>66.790000000000006</v>
      </c>
      <c r="W180" s="50">
        <v>73.2</v>
      </c>
      <c r="X180" s="50">
        <v>95.57</v>
      </c>
      <c r="Y180" s="50">
        <v>41.83</v>
      </c>
      <c r="Z180" s="50">
        <v>103.22</v>
      </c>
      <c r="AA180" s="50">
        <v>78.13</v>
      </c>
      <c r="AB180" s="50">
        <v>77.02</v>
      </c>
      <c r="AC180" s="50">
        <v>10.81</v>
      </c>
      <c r="AD180" s="50">
        <v>45.27</v>
      </c>
      <c r="AE180" s="17">
        <v>35.47</v>
      </c>
      <c r="AF180" s="17">
        <v>46.07</v>
      </c>
      <c r="AG180" s="17">
        <v>44.06</v>
      </c>
      <c r="AH180" s="17">
        <v>51.61</v>
      </c>
      <c r="AI180" s="17">
        <v>1.68</v>
      </c>
      <c r="AJ180" s="54"/>
      <c r="AK180" s="54"/>
      <c r="AL180" s="54"/>
      <c r="AM180" s="17">
        <v>14.5</v>
      </c>
      <c r="AN180" s="17"/>
      <c r="AO180" s="17">
        <v>14.65</v>
      </c>
      <c r="AP180" s="17">
        <v>99.67</v>
      </c>
      <c r="AQ180" s="17">
        <v>45.24</v>
      </c>
      <c r="AR180" s="17">
        <v>46.89</v>
      </c>
      <c r="AS180" s="17">
        <v>20.440000000000001</v>
      </c>
      <c r="AT180" s="3" t="s">
        <v>146</v>
      </c>
      <c r="AU180" s="3"/>
    </row>
    <row r="181" spans="1:47" x14ac:dyDescent="0.2">
      <c r="A181" s="115">
        <v>179.99999999999972</v>
      </c>
      <c r="B181" s="9">
        <v>74</v>
      </c>
      <c r="C181" s="10" t="s">
        <v>529</v>
      </c>
      <c r="D181" s="129" t="s">
        <v>140</v>
      </c>
      <c r="E181" t="s">
        <v>141</v>
      </c>
      <c r="F181" s="3" t="s">
        <v>62</v>
      </c>
      <c r="G181"/>
      <c r="H181" s="3" t="s">
        <v>62</v>
      </c>
      <c r="I181" s="127">
        <v>44318</v>
      </c>
      <c r="J181" s="16" t="s">
        <v>142</v>
      </c>
      <c r="K181" s="17" t="s">
        <v>203</v>
      </c>
      <c r="L181" s="17"/>
      <c r="M181" s="17"/>
      <c r="N181" s="17">
        <v>245.38</v>
      </c>
      <c r="O181" s="17">
        <f xml:space="preserve"> 206.69+ 15.26</f>
        <v>221.95</v>
      </c>
      <c r="P181" s="17">
        <f xml:space="preserve"> 206.69+ 23.21</f>
        <v>229.9</v>
      </c>
      <c r="Q181" s="17">
        <v>63.35</v>
      </c>
      <c r="R181" s="17">
        <v>39.89</v>
      </c>
      <c r="S181" s="17"/>
      <c r="T181" s="17"/>
      <c r="U181" s="50">
        <v>53.7</v>
      </c>
      <c r="V181" s="50">
        <v>63.14</v>
      </c>
      <c r="W181" s="50">
        <v>75.83</v>
      </c>
      <c r="X181" s="50">
        <v>92.08</v>
      </c>
      <c r="Y181" s="50">
        <v>42.08</v>
      </c>
      <c r="Z181" s="50">
        <v>101.76</v>
      </c>
      <c r="AA181" s="50">
        <v>79.17</v>
      </c>
      <c r="AB181" s="50">
        <v>77.39</v>
      </c>
      <c r="AC181" s="50">
        <v>10.96</v>
      </c>
      <c r="AD181" s="50">
        <v>47.46</v>
      </c>
      <c r="AE181" s="17">
        <v>40.69</v>
      </c>
      <c r="AF181" s="17">
        <v>45.66</v>
      </c>
      <c r="AG181" s="17">
        <v>46.15</v>
      </c>
      <c r="AH181" s="17">
        <v>49.29</v>
      </c>
      <c r="AI181" s="17">
        <v>1.744</v>
      </c>
      <c r="AJ181" s="54"/>
      <c r="AK181" s="54"/>
      <c r="AL181" s="54"/>
      <c r="AM181" s="17">
        <v>20</v>
      </c>
      <c r="AN181" s="17"/>
      <c r="AO181" s="17">
        <v>13.97</v>
      </c>
      <c r="AP181" s="17">
        <v>96.17</v>
      </c>
      <c r="AQ181" s="17">
        <v>62.65</v>
      </c>
      <c r="AR181" s="17">
        <v>49.84</v>
      </c>
      <c r="AS181" s="17">
        <v>21.927</v>
      </c>
      <c r="AT181" s="3" t="s">
        <v>146</v>
      </c>
      <c r="AU181" s="3"/>
    </row>
    <row r="182" spans="1:47" x14ac:dyDescent="0.2">
      <c r="A182" s="115">
        <v>181.00000000000094</v>
      </c>
      <c r="B182" s="9">
        <v>72</v>
      </c>
      <c r="C182" s="8">
        <v>21.181000000000001</v>
      </c>
      <c r="D182" s="129" t="s">
        <v>140</v>
      </c>
      <c r="E182" t="s">
        <v>141</v>
      </c>
      <c r="F182" s="3" t="s">
        <v>62</v>
      </c>
      <c r="G182"/>
      <c r="H182" s="3" t="s">
        <v>62</v>
      </c>
      <c r="I182" s="127">
        <v>44321</v>
      </c>
      <c r="J182" s="16" t="s">
        <v>142</v>
      </c>
      <c r="K182" s="17" t="s">
        <v>203</v>
      </c>
      <c r="L182" s="17"/>
      <c r="M182" s="17"/>
      <c r="N182" s="17">
        <v>227.92</v>
      </c>
      <c r="O182" s="17">
        <v>195.67</v>
      </c>
      <c r="P182" s="17">
        <v>202.46</v>
      </c>
      <c r="Q182" s="17">
        <v>54.66</v>
      </c>
      <c r="R182" s="17">
        <v>31.27</v>
      </c>
      <c r="S182" s="17"/>
      <c r="T182" s="17"/>
      <c r="U182" s="50">
        <v>52.57</v>
      </c>
      <c r="V182" s="50">
        <v>62.73</v>
      </c>
      <c r="W182" s="50">
        <v>82.76</v>
      </c>
      <c r="X182" s="50">
        <v>95.21</v>
      </c>
      <c r="Y182" s="50">
        <v>39.54</v>
      </c>
      <c r="Z182" s="50">
        <v>102.54</v>
      </c>
      <c r="AA182" s="50">
        <v>78.09</v>
      </c>
      <c r="AB182" s="50">
        <v>80.180000000000007</v>
      </c>
      <c r="AC182" s="50">
        <v>12.85</v>
      </c>
      <c r="AD182" s="50">
        <v>47.18</v>
      </c>
      <c r="AE182" s="17">
        <v>33.9</v>
      </c>
      <c r="AF182" s="17">
        <v>43.79</v>
      </c>
      <c r="AG182" s="17">
        <v>36.57</v>
      </c>
      <c r="AH182" s="17">
        <v>47.62</v>
      </c>
      <c r="AI182" s="17">
        <v>1.6020000000000001</v>
      </c>
      <c r="AJ182" s="54"/>
      <c r="AK182" s="54"/>
      <c r="AL182" s="54"/>
      <c r="AM182" s="17">
        <v>20</v>
      </c>
      <c r="AN182" s="17"/>
      <c r="AO182" s="17">
        <v>10.47</v>
      </c>
      <c r="AP182" s="17">
        <v>90.94</v>
      </c>
      <c r="AQ182" s="17">
        <v>57.45</v>
      </c>
      <c r="AR182" s="17">
        <v>44.53</v>
      </c>
      <c r="AS182" s="17">
        <v>19.706</v>
      </c>
      <c r="AT182" s="3" t="s">
        <v>146</v>
      </c>
      <c r="AU182" s="3"/>
    </row>
    <row r="183" spans="1:47" x14ac:dyDescent="0.2">
      <c r="A183" s="115">
        <v>181.99999999999861</v>
      </c>
      <c r="B183" s="3">
        <v>74</v>
      </c>
      <c r="C183" s="8">
        <v>21.181999999999999</v>
      </c>
      <c r="D183" s="126" t="s">
        <v>168</v>
      </c>
      <c r="E183" t="s">
        <v>169</v>
      </c>
      <c r="F183" s="3" t="s">
        <v>170</v>
      </c>
      <c r="H183" s="3" t="s">
        <v>29</v>
      </c>
      <c r="I183" s="127">
        <v>44306</v>
      </c>
      <c r="J183" s="16" t="s">
        <v>142</v>
      </c>
      <c r="K183" s="16" t="s">
        <v>235</v>
      </c>
      <c r="L183" s="17"/>
      <c r="M183" s="17"/>
      <c r="N183" s="17">
        <v>301.86</v>
      </c>
      <c r="O183" s="17">
        <v>174.69</v>
      </c>
      <c r="P183" s="17">
        <v>188.66</v>
      </c>
      <c r="Q183" s="17">
        <v>37.49</v>
      </c>
      <c r="R183" s="17">
        <v>15.06</v>
      </c>
      <c r="S183" s="17"/>
      <c r="T183" s="17"/>
      <c r="U183" s="50">
        <v>48</v>
      </c>
      <c r="V183" s="50">
        <v>69.010000000000005</v>
      </c>
      <c r="W183" s="50">
        <v>68.98</v>
      </c>
      <c r="X183" s="50">
        <v>88.48</v>
      </c>
      <c r="Y183" s="50">
        <v>40.79</v>
      </c>
      <c r="Z183" s="50">
        <v>98.45</v>
      </c>
      <c r="AA183" s="50">
        <v>84.13</v>
      </c>
      <c r="AB183" s="50">
        <v>78.400000000000006</v>
      </c>
      <c r="AC183" s="50">
        <v>21.62</v>
      </c>
      <c r="AD183" s="50">
        <v>55.66</v>
      </c>
      <c r="AE183" s="17">
        <v>27.74</v>
      </c>
      <c r="AF183" s="17">
        <v>34.76</v>
      </c>
      <c r="AG183" s="17">
        <v>35.01</v>
      </c>
      <c r="AH183" s="17">
        <v>43.18</v>
      </c>
      <c r="AI183" s="17">
        <v>1.4350000000000001</v>
      </c>
      <c r="AJ183" s="17">
        <v>34.9</v>
      </c>
      <c r="AK183" s="17"/>
      <c r="AL183" s="17"/>
      <c r="AM183" s="17"/>
      <c r="AN183" s="17">
        <v>71.5</v>
      </c>
      <c r="AO183" s="17">
        <v>11.97</v>
      </c>
      <c r="AP183" s="17">
        <f>54.52+46.3</f>
        <v>100.82</v>
      </c>
      <c r="AQ183" s="17"/>
      <c r="AR183" s="17">
        <v>48.28</v>
      </c>
      <c r="AS183" s="17">
        <v>22.773</v>
      </c>
      <c r="AT183" s="3" t="s">
        <v>146</v>
      </c>
      <c r="AU183" s="3"/>
    </row>
    <row r="184" spans="1:47" x14ac:dyDescent="0.2">
      <c r="A184" s="115">
        <v>182.99999999999983</v>
      </c>
      <c r="B184" s="3">
        <v>58</v>
      </c>
      <c r="C184" s="8">
        <v>21.183</v>
      </c>
      <c r="D184" s="126" t="s">
        <v>168</v>
      </c>
      <c r="E184" t="s">
        <v>169</v>
      </c>
      <c r="F184" s="3" t="s">
        <v>170</v>
      </c>
      <c r="H184" s="3" t="s">
        <v>29</v>
      </c>
      <c r="I184" s="127">
        <v>44307</v>
      </c>
      <c r="J184" s="16" t="s">
        <v>142</v>
      </c>
      <c r="K184" s="16" t="s">
        <v>235</v>
      </c>
      <c r="L184" s="17"/>
      <c r="M184" s="17"/>
      <c r="N184" s="17">
        <v>287.91000000000003</v>
      </c>
      <c r="O184" s="17">
        <v>179.56</v>
      </c>
      <c r="P184" s="17">
        <v>186.44</v>
      </c>
      <c r="Q184" s="17">
        <v>40.64</v>
      </c>
      <c r="R184" s="17">
        <v>17.07</v>
      </c>
      <c r="S184" s="17"/>
      <c r="T184" s="17"/>
      <c r="U184" s="50">
        <v>52</v>
      </c>
      <c r="V184" s="50">
        <v>69.55</v>
      </c>
      <c r="W184" s="50">
        <v>71.540000000000006</v>
      </c>
      <c r="X184" s="50">
        <v>87.21</v>
      </c>
      <c r="Y184" s="50">
        <v>42.03</v>
      </c>
      <c r="Z184" s="50">
        <v>97.62</v>
      </c>
      <c r="AA184" s="50">
        <v>85.64</v>
      </c>
      <c r="AB184" s="50">
        <v>80.02</v>
      </c>
      <c r="AC184" s="50">
        <v>25.92</v>
      </c>
      <c r="AD184" s="50">
        <v>54.92</v>
      </c>
      <c r="AE184" s="17">
        <v>35.090000000000003</v>
      </c>
      <c r="AF184" s="17">
        <v>44.19</v>
      </c>
      <c r="AG184" s="17">
        <v>33.61</v>
      </c>
      <c r="AH184" s="17">
        <v>39.090000000000003</v>
      </c>
      <c r="AI184" s="17">
        <v>1.306</v>
      </c>
      <c r="AJ184" s="54"/>
      <c r="AK184" s="54"/>
      <c r="AL184" s="17"/>
      <c r="AM184" s="17"/>
      <c r="AN184" s="17"/>
      <c r="AO184" s="17">
        <v>11.53</v>
      </c>
      <c r="AP184" s="17">
        <v>71.28</v>
      </c>
      <c r="AQ184" s="17"/>
      <c r="AR184" s="17">
        <v>49</v>
      </c>
      <c r="AS184" s="17">
        <v>21.736999999999998</v>
      </c>
      <c r="AT184" s="3" t="s">
        <v>146</v>
      </c>
      <c r="AU184" s="3"/>
    </row>
    <row r="185" spans="1:47" x14ac:dyDescent="0.2">
      <c r="A185" s="115">
        <v>184.00000000000105</v>
      </c>
      <c r="C185" s="8">
        <v>21.184000000000001</v>
      </c>
      <c r="D185" s="131" t="s">
        <v>151</v>
      </c>
      <c r="E185" t="s">
        <v>162</v>
      </c>
      <c r="F185" s="3" t="s">
        <v>88</v>
      </c>
      <c r="G185" s="3" t="s">
        <v>88</v>
      </c>
      <c r="H185"/>
      <c r="I185" s="127">
        <v>44242</v>
      </c>
      <c r="J185" s="9" t="s">
        <v>492</v>
      </c>
      <c r="K185" s="9" t="s">
        <v>203</v>
      </c>
      <c r="N185" s="3">
        <v>218.5</v>
      </c>
      <c r="O185" s="3">
        <v>170.21</v>
      </c>
      <c r="P185" s="3">
        <v>180.56</v>
      </c>
      <c r="Q185" s="3">
        <v>35.18</v>
      </c>
      <c r="R185" s="3">
        <v>17.22</v>
      </c>
      <c r="U185" s="6">
        <v>65.23</v>
      </c>
      <c r="V185" s="6">
        <v>53.84</v>
      </c>
      <c r="W185" s="6">
        <v>68.73</v>
      </c>
      <c r="X185" s="6">
        <v>85.81</v>
      </c>
      <c r="Y185" s="6">
        <v>36.92</v>
      </c>
      <c r="Z185" s="6">
        <v>90.24</v>
      </c>
      <c r="AA185" s="6">
        <v>66.84</v>
      </c>
      <c r="AB185" s="6">
        <v>75.75</v>
      </c>
      <c r="AC185" s="6">
        <v>14.56</v>
      </c>
      <c r="AD185" s="6">
        <v>51.44</v>
      </c>
      <c r="AE185" s="3">
        <v>33.81</v>
      </c>
      <c r="AF185" s="3">
        <v>36.65</v>
      </c>
      <c r="AG185" s="3">
        <v>41.27</v>
      </c>
      <c r="AH185" s="3">
        <v>35.729999999999997</v>
      </c>
      <c r="AI185" s="3">
        <v>1.901</v>
      </c>
      <c r="AJ185" s="47"/>
      <c r="AK185" s="47"/>
      <c r="AR185" s="3">
        <v>62.1</v>
      </c>
      <c r="AT185" s="3" t="s">
        <v>493</v>
      </c>
      <c r="AU185" s="3"/>
    </row>
    <row r="186" spans="1:47" x14ac:dyDescent="0.2">
      <c r="A186" s="115">
        <v>184.99999999999872</v>
      </c>
      <c r="C186" s="8">
        <v>21.184999999999999</v>
      </c>
      <c r="D186" s="131" t="s">
        <v>151</v>
      </c>
      <c r="E186" t="s">
        <v>162</v>
      </c>
      <c r="F186" s="3" t="s">
        <v>88</v>
      </c>
      <c r="G186" s="3" t="s">
        <v>88</v>
      </c>
      <c r="H186"/>
      <c r="I186" s="127">
        <v>44242</v>
      </c>
      <c r="J186" s="9" t="s">
        <v>492</v>
      </c>
      <c r="K186" s="9" t="s">
        <v>203</v>
      </c>
      <c r="N186" s="3">
        <v>222.1</v>
      </c>
      <c r="O186" s="3">
        <v>172.56</v>
      </c>
      <c r="P186" s="3">
        <v>181</v>
      </c>
      <c r="Q186" s="3">
        <v>42.65</v>
      </c>
      <c r="R186" s="3">
        <v>18.940000000000001</v>
      </c>
      <c r="U186" s="6">
        <v>64.86</v>
      </c>
      <c r="V186" s="6">
        <v>52.63</v>
      </c>
      <c r="W186" s="6">
        <v>69.180000000000007</v>
      </c>
      <c r="X186" s="6">
        <v>89.95</v>
      </c>
      <c r="Y186" s="6">
        <v>43.77</v>
      </c>
      <c r="Z186" s="6">
        <v>97.09</v>
      </c>
      <c r="AA186" s="6">
        <v>74.62</v>
      </c>
      <c r="AB186" s="6">
        <v>76.819999999999993</v>
      </c>
      <c r="AC186" s="6">
        <v>12.51</v>
      </c>
      <c r="AD186" s="6">
        <v>53.23</v>
      </c>
      <c r="AE186" s="3">
        <v>34.39</v>
      </c>
      <c r="AF186" s="3">
        <v>44.05</v>
      </c>
      <c r="AG186" s="3">
        <v>36.5</v>
      </c>
      <c r="AH186" s="3">
        <v>44.16</v>
      </c>
      <c r="AI186" s="3">
        <v>2.0409999999999999</v>
      </c>
      <c r="AJ186" s="47"/>
      <c r="AK186" s="47"/>
      <c r="AR186" s="3">
        <v>65.3</v>
      </c>
      <c r="AT186" s="3" t="s">
        <v>493</v>
      </c>
      <c r="AU186" s="3"/>
    </row>
    <row r="187" spans="1:47" x14ac:dyDescent="0.2">
      <c r="A187" s="115">
        <v>185.99999999999994</v>
      </c>
      <c r="C187" s="8">
        <v>21.186</v>
      </c>
      <c r="D187" s="131" t="s">
        <v>151</v>
      </c>
      <c r="E187" t="s">
        <v>162</v>
      </c>
      <c r="F187" s="3" t="s">
        <v>88</v>
      </c>
      <c r="G187" s="3" t="s">
        <v>88</v>
      </c>
      <c r="H187"/>
      <c r="I187" s="127">
        <v>44242</v>
      </c>
      <c r="J187" s="9" t="s">
        <v>492</v>
      </c>
      <c r="K187" s="9" t="s">
        <v>203</v>
      </c>
      <c r="N187" s="3">
        <v>221.3</v>
      </c>
      <c r="O187" s="3">
        <v>175.13</v>
      </c>
      <c r="P187" s="3">
        <v>184.41</v>
      </c>
      <c r="Q187" s="3">
        <v>33.49</v>
      </c>
      <c r="R187" s="3">
        <v>17.190000000000001</v>
      </c>
      <c r="U187" s="6">
        <v>63.74</v>
      </c>
      <c r="V187" s="6">
        <v>52.76</v>
      </c>
      <c r="W187" s="6">
        <v>68.27</v>
      </c>
      <c r="X187" s="6">
        <v>86.04</v>
      </c>
      <c r="Y187" s="6">
        <v>41.12</v>
      </c>
      <c r="Z187" s="6">
        <v>91.84</v>
      </c>
      <c r="AA187" s="6">
        <v>68.989999999999995</v>
      </c>
      <c r="AB187" s="6">
        <v>75.98</v>
      </c>
      <c r="AC187" s="6">
        <v>12.75</v>
      </c>
      <c r="AD187" s="6">
        <v>52.38</v>
      </c>
      <c r="AE187" s="3">
        <v>34.520000000000003</v>
      </c>
      <c r="AF187" s="3">
        <v>35.799999999999997</v>
      </c>
      <c r="AG187" s="3">
        <v>42.86</v>
      </c>
      <c r="AH187" s="3">
        <v>45.02</v>
      </c>
      <c r="AI187" s="3">
        <v>1.861</v>
      </c>
      <c r="AJ187" s="47"/>
      <c r="AK187" s="47"/>
      <c r="AR187" s="3">
        <v>64.400000000000006</v>
      </c>
      <c r="AT187" s="3" t="s">
        <v>493</v>
      </c>
      <c r="AU187" s="3"/>
    </row>
    <row r="188" spans="1:47" x14ac:dyDescent="0.2">
      <c r="A188" s="115">
        <v>187.00000000000117</v>
      </c>
      <c r="C188" s="8">
        <v>21.187000000000001</v>
      </c>
      <c r="D188" s="131" t="s">
        <v>151</v>
      </c>
      <c r="E188" t="s">
        <v>162</v>
      </c>
      <c r="F188" s="3" t="s">
        <v>88</v>
      </c>
      <c r="G188" s="3" t="s">
        <v>88</v>
      </c>
      <c r="H188"/>
      <c r="I188" s="127">
        <v>44242</v>
      </c>
      <c r="J188" s="9" t="s">
        <v>492</v>
      </c>
      <c r="K188" s="9" t="s">
        <v>203</v>
      </c>
      <c r="N188" s="3">
        <v>219</v>
      </c>
      <c r="O188" s="3">
        <v>166.98</v>
      </c>
      <c r="P188" s="3">
        <v>179.99</v>
      </c>
      <c r="Q188" s="3">
        <v>37.46</v>
      </c>
      <c r="R188" s="3">
        <v>20.25</v>
      </c>
      <c r="U188" s="6">
        <v>62.56</v>
      </c>
      <c r="V188" s="6">
        <v>51.14</v>
      </c>
      <c r="W188" s="6">
        <v>67.83</v>
      </c>
      <c r="X188" s="6">
        <v>85.17</v>
      </c>
      <c r="Y188" s="6">
        <v>38</v>
      </c>
      <c r="Z188" s="6">
        <v>91.65</v>
      </c>
      <c r="AA188" s="6">
        <v>70.2</v>
      </c>
      <c r="AB188" s="6">
        <v>71.53</v>
      </c>
      <c r="AC188" s="6">
        <v>9.44</v>
      </c>
      <c r="AD188" s="6">
        <v>51.9</v>
      </c>
      <c r="AE188" s="3">
        <v>33.119999999999997</v>
      </c>
      <c r="AF188" s="3">
        <v>39.049999999999997</v>
      </c>
      <c r="AG188" s="3">
        <v>42.27</v>
      </c>
      <c r="AH188" s="3">
        <v>40.28</v>
      </c>
      <c r="AI188" s="3">
        <v>2.089</v>
      </c>
      <c r="AJ188" s="47"/>
      <c r="AK188" s="47"/>
      <c r="AR188" s="3">
        <v>60</v>
      </c>
      <c r="AT188" s="3" t="s">
        <v>493</v>
      </c>
      <c r="AU188" s="3"/>
    </row>
    <row r="189" spans="1:47" x14ac:dyDescent="0.2">
      <c r="A189" s="115">
        <v>187.99999999999883</v>
      </c>
      <c r="C189" s="8">
        <v>21.187999999999999</v>
      </c>
      <c r="D189" s="131" t="s">
        <v>151</v>
      </c>
      <c r="E189" t="s">
        <v>162</v>
      </c>
      <c r="F189" s="3" t="s">
        <v>88</v>
      </c>
      <c r="G189" s="3" t="s">
        <v>88</v>
      </c>
      <c r="H189"/>
      <c r="I189" s="127">
        <v>44242</v>
      </c>
      <c r="J189" s="9" t="s">
        <v>492</v>
      </c>
      <c r="K189" s="9" t="s">
        <v>203</v>
      </c>
      <c r="N189" s="3">
        <v>222.2</v>
      </c>
      <c r="O189" s="3">
        <v>170.57</v>
      </c>
      <c r="P189" s="3">
        <v>179.09</v>
      </c>
      <c r="Q189" s="3">
        <v>37.21</v>
      </c>
      <c r="R189" s="3">
        <v>15.48</v>
      </c>
      <c r="U189" s="6">
        <v>64.91</v>
      </c>
      <c r="V189" s="6">
        <v>52.15</v>
      </c>
      <c r="W189" s="6">
        <v>68.36</v>
      </c>
      <c r="X189" s="6">
        <v>85.9</v>
      </c>
      <c r="Y189" s="6">
        <v>41.37</v>
      </c>
      <c r="Z189" s="6">
        <v>93.02</v>
      </c>
      <c r="AA189" s="6">
        <v>70.11</v>
      </c>
      <c r="AB189" s="6">
        <v>77.680000000000007</v>
      </c>
      <c r="AC189" s="6">
        <v>20.079999999999998</v>
      </c>
      <c r="AD189" s="6">
        <v>53.19</v>
      </c>
      <c r="AE189" s="3">
        <v>33.44</v>
      </c>
      <c r="AF189" s="3">
        <v>38.29</v>
      </c>
      <c r="AG189" s="3">
        <v>35.1</v>
      </c>
      <c r="AH189" s="3">
        <v>39.43</v>
      </c>
      <c r="AI189" s="3">
        <v>2.1360000000000001</v>
      </c>
      <c r="AJ189" s="47"/>
      <c r="AK189" s="47"/>
      <c r="AR189" s="3">
        <v>65.7</v>
      </c>
      <c r="AT189" s="3" t="s">
        <v>493</v>
      </c>
      <c r="AU189" s="3"/>
    </row>
    <row r="190" spans="1:47" x14ac:dyDescent="0.2">
      <c r="A190" s="115">
        <v>189.00000000000006</v>
      </c>
      <c r="C190" s="8">
        <v>21.189</v>
      </c>
      <c r="D190" s="129" t="s">
        <v>140</v>
      </c>
      <c r="E190" t="s">
        <v>141</v>
      </c>
      <c r="F190" s="3" t="s">
        <v>60</v>
      </c>
      <c r="G190" s="17"/>
      <c r="H190" s="3" t="s">
        <v>60</v>
      </c>
      <c r="I190" s="56">
        <v>44528</v>
      </c>
      <c r="J190" s="16" t="s">
        <v>142</v>
      </c>
      <c r="K190" s="17" t="s">
        <v>143</v>
      </c>
      <c r="L190" s="17"/>
      <c r="M190" s="17"/>
      <c r="N190" s="17">
        <v>176.4</v>
      </c>
      <c r="O190" s="17">
        <v>136.57</v>
      </c>
      <c r="P190" s="17">
        <v>151.27000000000001</v>
      </c>
      <c r="Q190" s="17">
        <v>23.72</v>
      </c>
      <c r="R190" s="17">
        <v>16.04</v>
      </c>
      <c r="S190" s="17"/>
      <c r="T190" s="17"/>
      <c r="U190" s="50">
        <v>54.68</v>
      </c>
      <c r="V190" s="50">
        <v>42.51</v>
      </c>
      <c r="W190" s="50">
        <v>61.47</v>
      </c>
      <c r="X190" s="50">
        <v>71.28</v>
      </c>
      <c r="Y190" s="50">
        <v>33.68</v>
      </c>
      <c r="Z190" s="50">
        <v>78.37</v>
      </c>
      <c r="AA190" s="50">
        <v>60.58</v>
      </c>
      <c r="AB190" s="50">
        <v>66.3</v>
      </c>
      <c r="AC190" s="50">
        <v>6.84</v>
      </c>
      <c r="AD190" s="50">
        <v>53.88</v>
      </c>
      <c r="AE190" s="17">
        <v>29.55</v>
      </c>
      <c r="AF190" s="17">
        <v>34.72</v>
      </c>
      <c r="AG190" s="17">
        <v>36.729999999999997</v>
      </c>
      <c r="AH190" s="17">
        <v>40.409999999999997</v>
      </c>
      <c r="AI190" s="17">
        <v>1.3680000000000001</v>
      </c>
      <c r="AJ190" s="54"/>
      <c r="AK190" s="54"/>
      <c r="AL190" s="17"/>
      <c r="AM190" s="17"/>
      <c r="AN190" s="17"/>
      <c r="AO190" s="17"/>
      <c r="AP190" s="17"/>
      <c r="AQ190" s="17"/>
      <c r="AR190" s="17">
        <v>35.5</v>
      </c>
      <c r="AS190" s="17"/>
      <c r="AT190" s="3" t="s">
        <v>493</v>
      </c>
      <c r="AU190" s="3"/>
    </row>
    <row r="191" spans="1:47" x14ac:dyDescent="0.2">
      <c r="A191" s="115">
        <v>190.00000000000128</v>
      </c>
      <c r="C191" s="10" t="s">
        <v>51</v>
      </c>
      <c r="D191" s="129" t="s">
        <v>140</v>
      </c>
      <c r="E191" t="s">
        <v>141</v>
      </c>
      <c r="F191" s="3" t="s">
        <v>60</v>
      </c>
      <c r="G191" s="17"/>
      <c r="H191" s="3" t="s">
        <v>60</v>
      </c>
      <c r="I191" s="56">
        <v>44528</v>
      </c>
      <c r="J191" s="16" t="s">
        <v>142</v>
      </c>
      <c r="K191" s="17" t="s">
        <v>143</v>
      </c>
      <c r="L191" s="17"/>
      <c r="M191" s="17"/>
      <c r="N191" s="17">
        <v>242.8</v>
      </c>
      <c r="O191" s="17">
        <v>144.75</v>
      </c>
      <c r="P191" s="17">
        <v>156.12</v>
      </c>
      <c r="Q191" s="17">
        <v>22.24</v>
      </c>
      <c r="R191" s="17">
        <v>19.079999999999998</v>
      </c>
      <c r="S191" s="17"/>
      <c r="T191" s="17"/>
      <c r="U191" s="50">
        <v>53.42</v>
      </c>
      <c r="V191" s="50">
        <v>42.69</v>
      </c>
      <c r="W191" s="50">
        <v>63.33</v>
      </c>
      <c r="X191" s="50">
        <v>73.400000000000006</v>
      </c>
      <c r="Y191" s="50">
        <v>36.909999999999997</v>
      </c>
      <c r="Z191" s="50">
        <v>78.63</v>
      </c>
      <c r="AA191" s="50">
        <v>66.900000000000006</v>
      </c>
      <c r="AB191" s="50">
        <v>65.84</v>
      </c>
      <c r="AC191" s="50">
        <v>14.33</v>
      </c>
      <c r="AD191" s="50">
        <v>59.97</v>
      </c>
      <c r="AE191" s="17">
        <v>29.91</v>
      </c>
      <c r="AF191" s="17">
        <v>33</v>
      </c>
      <c r="AG191" s="17">
        <v>28.33</v>
      </c>
      <c r="AH191" s="17">
        <v>36.700000000000003</v>
      </c>
      <c r="AI191" s="17">
        <v>1.1519999999999999</v>
      </c>
      <c r="AJ191" s="17">
        <v>50.5</v>
      </c>
      <c r="AK191" s="17"/>
      <c r="AL191" s="17"/>
      <c r="AM191" s="17"/>
      <c r="AN191" s="17"/>
      <c r="AO191" s="17"/>
      <c r="AP191" s="17"/>
      <c r="AQ191" s="17"/>
      <c r="AR191" s="17">
        <v>37.799999999999997</v>
      </c>
      <c r="AS191" s="17"/>
      <c r="AT191" s="3" t="s">
        <v>493</v>
      </c>
      <c r="AU191" s="3"/>
    </row>
    <row r="192" spans="1:47" x14ac:dyDescent="0.2">
      <c r="A192" s="115">
        <v>190.99999999999895</v>
      </c>
      <c r="C192" s="8">
        <v>21.190999999999999</v>
      </c>
      <c r="D192" s="129" t="s">
        <v>140</v>
      </c>
      <c r="E192" t="s">
        <v>141</v>
      </c>
      <c r="F192" s="3" t="s">
        <v>60</v>
      </c>
      <c r="G192"/>
      <c r="H192" s="3" t="s">
        <v>60</v>
      </c>
      <c r="I192" s="56">
        <v>44528</v>
      </c>
      <c r="J192" s="16" t="s">
        <v>142</v>
      </c>
      <c r="K192" s="17" t="s">
        <v>145</v>
      </c>
      <c r="L192" s="17"/>
      <c r="M192" s="17"/>
      <c r="N192" s="17">
        <v>196.5</v>
      </c>
      <c r="O192" s="17">
        <v>144.66</v>
      </c>
      <c r="P192" s="17">
        <v>151.94</v>
      </c>
      <c r="Q192" s="17">
        <v>25.52</v>
      </c>
      <c r="R192" s="17">
        <v>14.51</v>
      </c>
      <c r="S192" s="17"/>
      <c r="T192" s="17"/>
      <c r="U192" s="50">
        <v>54.86</v>
      </c>
      <c r="V192" s="50">
        <v>40.479999999999997</v>
      </c>
      <c r="W192" s="50">
        <v>60.2</v>
      </c>
      <c r="X192" s="50">
        <v>74.17</v>
      </c>
      <c r="Y192" s="50"/>
      <c r="Z192" s="50">
        <v>80.48</v>
      </c>
      <c r="AA192" s="50">
        <v>65.739999999999995</v>
      </c>
      <c r="AB192" s="50">
        <v>63.61</v>
      </c>
      <c r="AC192" s="50">
        <v>11.07</v>
      </c>
      <c r="AD192" s="50">
        <v>53.84</v>
      </c>
      <c r="AE192" s="17"/>
      <c r="AF192" s="17"/>
      <c r="AG192" s="17"/>
      <c r="AH192" s="17"/>
      <c r="AI192" s="17">
        <v>1.446</v>
      </c>
      <c r="AJ192" s="54"/>
      <c r="AK192" s="54"/>
      <c r="AL192" s="17"/>
      <c r="AM192" s="17"/>
      <c r="AN192" s="17"/>
      <c r="AO192" s="17"/>
      <c r="AP192" s="17"/>
      <c r="AQ192" s="17"/>
      <c r="AR192" s="17">
        <v>40.200000000000003</v>
      </c>
      <c r="AS192" s="17"/>
      <c r="AT192" s="3" t="s">
        <v>493</v>
      </c>
      <c r="AU192" s="3"/>
    </row>
    <row r="193" spans="1:47" x14ac:dyDescent="0.2">
      <c r="A193" s="115">
        <v>192.00000000000017</v>
      </c>
      <c r="C193" s="8">
        <v>21.192</v>
      </c>
      <c r="D193" s="129" t="s">
        <v>140</v>
      </c>
      <c r="E193" t="s">
        <v>141</v>
      </c>
      <c r="F193" s="3" t="s">
        <v>60</v>
      </c>
      <c r="G193"/>
      <c r="H193" s="3" t="s">
        <v>60</v>
      </c>
      <c r="I193" s="56">
        <v>44540</v>
      </c>
      <c r="J193" s="16" t="s">
        <v>142</v>
      </c>
      <c r="K193" s="17" t="s">
        <v>145</v>
      </c>
      <c r="L193" s="17"/>
      <c r="M193" s="17"/>
      <c r="N193" s="17">
        <v>254</v>
      </c>
      <c r="O193" s="17">
        <v>150.57</v>
      </c>
      <c r="P193" s="17">
        <v>160.71</v>
      </c>
      <c r="Q193" s="17">
        <v>25.65</v>
      </c>
      <c r="R193" s="17">
        <v>12.69</v>
      </c>
      <c r="S193" s="17"/>
      <c r="T193" s="17"/>
      <c r="U193" s="50">
        <v>56.75</v>
      </c>
      <c r="V193" s="50">
        <v>40.42</v>
      </c>
      <c r="W193" s="50">
        <v>64.5</v>
      </c>
      <c r="X193" s="50">
        <v>79.19</v>
      </c>
      <c r="Y193" s="50"/>
      <c r="Z193" s="50">
        <v>80.930000000000007</v>
      </c>
      <c r="AA193" s="50">
        <v>69.900000000000006</v>
      </c>
      <c r="AB193" s="50">
        <v>62.01</v>
      </c>
      <c r="AC193" s="50">
        <v>11.14</v>
      </c>
      <c r="AD193" s="50">
        <v>60.01</v>
      </c>
      <c r="AE193" s="17">
        <v>27.91</v>
      </c>
      <c r="AF193" s="17">
        <v>34.79</v>
      </c>
      <c r="AG193" s="17">
        <v>35.69</v>
      </c>
      <c r="AH193" s="17">
        <v>41.06</v>
      </c>
      <c r="AI193" s="17">
        <v>1.3740000000000001</v>
      </c>
      <c r="AJ193" s="17">
        <v>53.9</v>
      </c>
      <c r="AK193" s="17"/>
      <c r="AL193" s="17"/>
      <c r="AM193" s="17"/>
      <c r="AN193" s="17"/>
      <c r="AO193" s="17"/>
      <c r="AP193" s="17"/>
      <c r="AQ193" s="17"/>
      <c r="AR193" s="17">
        <v>43.7</v>
      </c>
      <c r="AS193" s="17"/>
      <c r="AT193" s="3" t="s">
        <v>493</v>
      </c>
      <c r="AU193" s="3"/>
    </row>
    <row r="194" spans="1:47" x14ac:dyDescent="0.2">
      <c r="A194" s="115">
        <v>193.00000000000139</v>
      </c>
      <c r="B194" s="3">
        <v>5</v>
      </c>
      <c r="C194" s="8">
        <v>21.193000000000001</v>
      </c>
      <c r="D194" s="131" t="s">
        <v>151</v>
      </c>
      <c r="E194" t="s">
        <v>162</v>
      </c>
      <c r="F194" s="3" t="s">
        <v>88</v>
      </c>
      <c r="G194" s="3" t="s">
        <v>88</v>
      </c>
      <c r="I194" s="127">
        <v>44277</v>
      </c>
      <c r="J194" s="9" t="s">
        <v>142</v>
      </c>
      <c r="K194" s="9" t="s">
        <v>235</v>
      </c>
      <c r="N194" s="3">
        <v>295.08</v>
      </c>
      <c r="O194" s="3">
        <v>196.27</v>
      </c>
      <c r="P194" s="3">
        <v>181.75</v>
      </c>
      <c r="Q194" s="3">
        <v>38.729999999999997</v>
      </c>
      <c r="R194" s="3">
        <v>22.53</v>
      </c>
      <c r="U194" s="6">
        <v>49.6</v>
      </c>
      <c r="V194" s="6">
        <v>61.35</v>
      </c>
      <c r="W194" s="6">
        <v>69.61</v>
      </c>
      <c r="X194" s="6">
        <v>94.69</v>
      </c>
      <c r="Y194" s="6">
        <v>45.16</v>
      </c>
      <c r="Z194" s="6">
        <v>104.38</v>
      </c>
      <c r="AA194" s="6">
        <v>88.82</v>
      </c>
      <c r="AB194" s="6">
        <v>81.400000000000006</v>
      </c>
      <c r="AC194" s="6">
        <v>17.55</v>
      </c>
      <c r="AD194" s="6">
        <v>54.76</v>
      </c>
      <c r="AE194" s="3">
        <v>41.43</v>
      </c>
      <c r="AF194" s="3">
        <v>39.61</v>
      </c>
      <c r="AG194" s="3">
        <v>33.700000000000003</v>
      </c>
      <c r="AH194" s="3">
        <v>40.98</v>
      </c>
      <c r="AI194" s="3">
        <v>1.556</v>
      </c>
      <c r="AJ194" s="3">
        <v>49.19</v>
      </c>
      <c r="AO194" s="3">
        <v>13.39</v>
      </c>
      <c r="AP194" s="3">
        <v>141.19</v>
      </c>
      <c r="AR194" s="3">
        <v>57.83</v>
      </c>
      <c r="AS194" s="3">
        <v>25.65</v>
      </c>
      <c r="AT194" s="3" t="s">
        <v>146</v>
      </c>
      <c r="AU194" s="3"/>
    </row>
    <row r="195" spans="1:47" x14ac:dyDescent="0.2">
      <c r="A195" s="115">
        <v>193.99999999999906</v>
      </c>
      <c r="B195" s="3">
        <v>10</v>
      </c>
      <c r="C195" s="8">
        <v>21.193999999999999</v>
      </c>
      <c r="D195" s="131" t="s">
        <v>151</v>
      </c>
      <c r="E195" t="s">
        <v>152</v>
      </c>
      <c r="F195" t="s">
        <v>227</v>
      </c>
      <c r="G195" s="3" t="s">
        <v>90</v>
      </c>
      <c r="H195"/>
      <c r="I195" s="127">
        <v>44295</v>
      </c>
      <c r="J195" s="9" t="s">
        <v>142</v>
      </c>
      <c r="K195" s="9" t="s">
        <v>235</v>
      </c>
      <c r="N195" s="3">
        <v>286.19</v>
      </c>
      <c r="O195" s="3">
        <v>182.38</v>
      </c>
      <c r="P195" s="3">
        <v>202.58</v>
      </c>
      <c r="Q195" s="3">
        <v>46.13</v>
      </c>
      <c r="R195" s="3">
        <v>28.9</v>
      </c>
      <c r="U195" s="6">
        <v>53.08</v>
      </c>
      <c r="V195" s="6">
        <v>72.650000000000006</v>
      </c>
      <c r="W195" s="6">
        <v>75.47</v>
      </c>
      <c r="X195" s="6">
        <v>91.2</v>
      </c>
      <c r="Y195" s="6">
        <v>41.17</v>
      </c>
      <c r="Z195" s="6">
        <v>103.5</v>
      </c>
      <c r="AA195" s="6">
        <v>87.31</v>
      </c>
      <c r="AB195" s="6">
        <v>79.39</v>
      </c>
      <c r="AC195" s="6">
        <v>17.39</v>
      </c>
      <c r="AD195" s="6">
        <v>53.72</v>
      </c>
      <c r="AE195" s="3">
        <v>26.84</v>
      </c>
      <c r="AF195" s="3">
        <v>40.229999999999997</v>
      </c>
      <c r="AG195" s="3">
        <v>36.82</v>
      </c>
      <c r="AH195" s="3">
        <v>42.78</v>
      </c>
      <c r="AI195" s="3">
        <v>1.6479999999999999</v>
      </c>
      <c r="AJ195" s="3">
        <v>53.34</v>
      </c>
      <c r="AM195" s="3">
        <v>72</v>
      </c>
      <c r="AN195" s="3">
        <v>45</v>
      </c>
      <c r="AO195" s="3">
        <v>12.05</v>
      </c>
      <c r="AP195" s="3">
        <v>28.89</v>
      </c>
      <c r="AR195" s="3">
        <v>58.31</v>
      </c>
      <c r="AS195" s="3">
        <v>26.05</v>
      </c>
      <c r="AT195" s="3" t="s">
        <v>146</v>
      </c>
      <c r="AU195" s="3"/>
    </row>
    <row r="196" spans="1:47" x14ac:dyDescent="0.2">
      <c r="A196" s="115">
        <v>195.00000000000028</v>
      </c>
      <c r="B196" s="3">
        <v>8</v>
      </c>
      <c r="C196" s="8">
        <v>21.195</v>
      </c>
      <c r="D196" s="131" t="s">
        <v>151</v>
      </c>
      <c r="E196" t="s">
        <v>162</v>
      </c>
      <c r="F196" s="3" t="s">
        <v>88</v>
      </c>
      <c r="G196" s="3" t="s">
        <v>88</v>
      </c>
      <c r="H196"/>
      <c r="I196" s="127">
        <v>44290</v>
      </c>
      <c r="J196" s="9" t="s">
        <v>142</v>
      </c>
      <c r="K196" s="9" t="s">
        <v>235</v>
      </c>
      <c r="N196" s="3">
        <v>299.55</v>
      </c>
      <c r="O196" s="3">
        <v>189.75</v>
      </c>
      <c r="P196" s="3">
        <v>201.22</v>
      </c>
      <c r="Q196" s="3">
        <v>41.98</v>
      </c>
      <c r="R196" s="3">
        <v>26.05</v>
      </c>
      <c r="U196" s="6">
        <v>47.29</v>
      </c>
      <c r="V196" s="6">
        <v>63.94</v>
      </c>
      <c r="W196" s="6">
        <v>70.069999999999993</v>
      </c>
      <c r="X196" s="6">
        <v>96.78</v>
      </c>
      <c r="Y196" s="6">
        <v>44.48</v>
      </c>
      <c r="Z196" s="6">
        <v>106.21</v>
      </c>
      <c r="AA196" s="6">
        <v>90.23</v>
      </c>
      <c r="AB196" s="6">
        <v>80.45</v>
      </c>
      <c r="AC196" s="6">
        <v>22.37</v>
      </c>
      <c r="AD196" s="6">
        <v>54.96</v>
      </c>
      <c r="AE196" s="3">
        <v>33.25</v>
      </c>
      <c r="AF196" s="3">
        <v>39.53</v>
      </c>
      <c r="AG196" s="3">
        <v>38.74</v>
      </c>
      <c r="AH196" s="3">
        <v>43.26</v>
      </c>
      <c r="AI196" s="3">
        <v>1.653</v>
      </c>
      <c r="AJ196" s="3">
        <v>49.57</v>
      </c>
      <c r="AN196" s="3">
        <v>120</v>
      </c>
      <c r="AO196" s="3">
        <v>17.28</v>
      </c>
      <c r="AP196" s="3">
        <v>27.02</v>
      </c>
      <c r="AR196" s="3">
        <v>58.74</v>
      </c>
      <c r="AS196" s="3">
        <v>26.19</v>
      </c>
      <c r="AT196" s="3" t="s">
        <v>146</v>
      </c>
      <c r="AU196" s="3"/>
    </row>
    <row r="197" spans="1:47" x14ac:dyDescent="0.2">
      <c r="A197" s="115">
        <v>196.00000000000151</v>
      </c>
      <c r="B197" s="3">
        <v>63</v>
      </c>
      <c r="C197" s="8">
        <v>21.196000000000002</v>
      </c>
      <c r="D197" s="126" t="s">
        <v>168</v>
      </c>
      <c r="E197" t="s">
        <v>169</v>
      </c>
      <c r="F197" s="3" t="s">
        <v>170</v>
      </c>
      <c r="H197" s="3" t="s">
        <v>29</v>
      </c>
      <c r="I197" s="127">
        <v>44313</v>
      </c>
      <c r="J197" s="16" t="s">
        <v>142</v>
      </c>
      <c r="K197" s="16" t="s">
        <v>235</v>
      </c>
      <c r="L197" s="17"/>
      <c r="M197" s="17"/>
      <c r="N197" s="17">
        <v>292.02</v>
      </c>
      <c r="O197" s="17">
        <v>169.14</v>
      </c>
      <c r="P197" s="17">
        <v>175.7</v>
      </c>
      <c r="Q197" s="17">
        <v>36.44</v>
      </c>
      <c r="R197" s="17">
        <v>20.239999999999998</v>
      </c>
      <c r="S197" s="17"/>
      <c r="T197" s="17"/>
      <c r="U197" s="50">
        <v>49.91</v>
      </c>
      <c r="V197" s="50">
        <v>72.84</v>
      </c>
      <c r="W197" s="133">
        <v>76.86</v>
      </c>
      <c r="X197" s="133">
        <v>90.76</v>
      </c>
      <c r="Y197" s="50">
        <v>48.08</v>
      </c>
      <c r="Z197" s="50">
        <v>99.96</v>
      </c>
      <c r="AA197" s="50">
        <v>86.73</v>
      </c>
      <c r="AB197" s="50">
        <v>73.08</v>
      </c>
      <c r="AC197" s="50">
        <v>21.5</v>
      </c>
      <c r="AD197" s="50">
        <v>52.94</v>
      </c>
      <c r="AE197" s="17">
        <v>30.28</v>
      </c>
      <c r="AF197" s="17">
        <v>40.58</v>
      </c>
      <c r="AG197" s="17">
        <v>28.48</v>
      </c>
      <c r="AH197" s="17">
        <v>39.28</v>
      </c>
      <c r="AI197" s="17">
        <v>1.466</v>
      </c>
      <c r="AJ197" s="17">
        <v>51.67</v>
      </c>
      <c r="AK197" s="17"/>
      <c r="AL197" s="17"/>
      <c r="AM197" s="17"/>
      <c r="AN197" s="17">
        <v>98</v>
      </c>
      <c r="AO197" s="17">
        <v>6.42</v>
      </c>
      <c r="AP197" s="17">
        <v>26.66</v>
      </c>
      <c r="AQ197" s="17"/>
      <c r="AR197" s="17">
        <v>51.2</v>
      </c>
      <c r="AS197" s="17">
        <v>23.59</v>
      </c>
      <c r="AT197" s="3" t="s">
        <v>146</v>
      </c>
      <c r="AU197" s="3"/>
    </row>
    <row r="198" spans="1:47" x14ac:dyDescent="0.2">
      <c r="A198" s="115">
        <v>196.99999999999918</v>
      </c>
      <c r="B198" s="3">
        <v>62</v>
      </c>
      <c r="C198" s="8">
        <v>21.196999999999999</v>
      </c>
      <c r="D198" s="126" t="s">
        <v>168</v>
      </c>
      <c r="E198" t="s">
        <v>169</v>
      </c>
      <c r="F198" s="3" t="s">
        <v>170</v>
      </c>
      <c r="H198" s="3" t="s">
        <v>29</v>
      </c>
      <c r="I198" s="127">
        <v>44313</v>
      </c>
      <c r="J198" s="16" t="s">
        <v>142</v>
      </c>
      <c r="K198" s="16" t="s">
        <v>235</v>
      </c>
      <c r="L198" s="17"/>
      <c r="M198" s="17"/>
      <c r="N198" s="17">
        <v>306.14999999999998</v>
      </c>
      <c r="O198" s="17">
        <v>170.98</v>
      </c>
      <c r="P198" s="17">
        <v>179.72</v>
      </c>
      <c r="Q198" s="17">
        <v>37.42</v>
      </c>
      <c r="R198" s="17">
        <v>16.010000000000002</v>
      </c>
      <c r="S198" s="17"/>
      <c r="T198" s="17"/>
      <c r="U198" s="50">
        <v>47</v>
      </c>
      <c r="V198" s="50">
        <v>61.58</v>
      </c>
      <c r="W198" s="133">
        <v>69.650000000000006</v>
      </c>
      <c r="X198" s="133">
        <v>92.08</v>
      </c>
      <c r="Y198" s="50">
        <v>41.8</v>
      </c>
      <c r="Z198" s="50">
        <v>100.16</v>
      </c>
      <c r="AA198" s="50">
        <v>86.69</v>
      </c>
      <c r="AB198" s="50">
        <v>80.77</v>
      </c>
      <c r="AC198" s="50">
        <v>19.55</v>
      </c>
      <c r="AD198" s="50">
        <v>52.99</v>
      </c>
      <c r="AE198" s="17">
        <v>25.67</v>
      </c>
      <c r="AF198" s="17">
        <v>43.18</v>
      </c>
      <c r="AG198" s="17">
        <v>30.3</v>
      </c>
      <c r="AH198" s="17">
        <v>40.01</v>
      </c>
      <c r="AI198" s="17">
        <v>1.452</v>
      </c>
      <c r="AJ198" s="17">
        <v>51.19</v>
      </c>
      <c r="AK198" s="17"/>
      <c r="AL198" s="17"/>
      <c r="AM198" s="17"/>
      <c r="AN198" s="17"/>
      <c r="AO198" s="17"/>
      <c r="AP198" s="17">
        <v>25.27</v>
      </c>
      <c r="AQ198" s="17"/>
      <c r="AR198" s="17"/>
      <c r="AS198" s="17"/>
      <c r="AT198" s="3" t="s">
        <v>146</v>
      </c>
      <c r="AU198" s="3"/>
    </row>
    <row r="199" spans="1:47" x14ac:dyDescent="0.2">
      <c r="A199" s="115">
        <v>198.0000000000004</v>
      </c>
      <c r="B199" s="3">
        <v>65</v>
      </c>
      <c r="C199" s="8">
        <v>21.198</v>
      </c>
      <c r="D199" s="126" t="s">
        <v>168</v>
      </c>
      <c r="E199" t="s">
        <v>169</v>
      </c>
      <c r="F199" s="3" t="s">
        <v>170</v>
      </c>
      <c r="H199" s="3" t="s">
        <v>29</v>
      </c>
      <c r="I199" s="127">
        <v>44313</v>
      </c>
      <c r="J199" s="16" t="s">
        <v>142</v>
      </c>
      <c r="K199" s="16" t="s">
        <v>235</v>
      </c>
      <c r="L199" s="17"/>
      <c r="M199" s="17"/>
      <c r="N199" s="17">
        <v>312.04000000000002</v>
      </c>
      <c r="O199" s="17">
        <v>169.65</v>
      </c>
      <c r="P199" s="17">
        <v>180.71</v>
      </c>
      <c r="Q199" s="17">
        <v>36.06</v>
      </c>
      <c r="R199" s="17">
        <v>18.39</v>
      </c>
      <c r="S199" s="17"/>
      <c r="T199" s="17"/>
      <c r="U199" s="50">
        <v>50.22</v>
      </c>
      <c r="V199" s="50">
        <v>67.37</v>
      </c>
      <c r="W199" s="50">
        <v>71.94</v>
      </c>
      <c r="X199" s="133">
        <v>88.39</v>
      </c>
      <c r="Y199" s="50">
        <v>42.7</v>
      </c>
      <c r="Z199" s="50">
        <v>101.21</v>
      </c>
      <c r="AA199" s="50">
        <v>85.93</v>
      </c>
      <c r="AB199" s="50">
        <v>81.92</v>
      </c>
      <c r="AC199" s="50">
        <v>27.58</v>
      </c>
      <c r="AD199" s="50">
        <v>55.87</v>
      </c>
      <c r="AE199" s="17">
        <v>29.21</v>
      </c>
      <c r="AF199" s="17">
        <v>41.9</v>
      </c>
      <c r="AG199" s="17">
        <v>35.880000000000003</v>
      </c>
      <c r="AH199" s="17">
        <v>38.32</v>
      </c>
      <c r="AI199" s="17">
        <v>1.581</v>
      </c>
      <c r="AJ199" s="17">
        <v>52.73</v>
      </c>
      <c r="AK199" s="17"/>
      <c r="AL199" s="17"/>
      <c r="AM199" s="17"/>
      <c r="AN199" s="17"/>
      <c r="AO199" s="17"/>
      <c r="AP199" s="17">
        <v>27.72</v>
      </c>
      <c r="AQ199" s="17"/>
      <c r="AR199" s="17"/>
      <c r="AS199" s="17"/>
      <c r="AT199" s="3" t="s">
        <v>146</v>
      </c>
      <c r="AU199" s="3"/>
    </row>
    <row r="200" spans="1:47" x14ac:dyDescent="0.2">
      <c r="A200" s="115">
        <v>199.00000000000162</v>
      </c>
      <c r="B200" s="3">
        <v>75</v>
      </c>
      <c r="C200" s="8">
        <v>21.199000000000002</v>
      </c>
      <c r="D200" s="129" t="s">
        <v>140</v>
      </c>
      <c r="E200" t="s">
        <v>141</v>
      </c>
      <c r="F200" s="3" t="s">
        <v>62</v>
      </c>
      <c r="G200"/>
      <c r="H200" s="3" t="s">
        <v>62</v>
      </c>
      <c r="I200" s="127">
        <v>44321</v>
      </c>
      <c r="J200" s="16" t="s">
        <v>142</v>
      </c>
      <c r="K200" s="16" t="s">
        <v>203</v>
      </c>
      <c r="L200" s="17"/>
      <c r="M200" s="17"/>
      <c r="N200" s="17">
        <v>250.38</v>
      </c>
      <c r="O200" s="17">
        <v>200.46</v>
      </c>
      <c r="P200" s="17">
        <f>206.66+ 23.63</f>
        <v>230.29</v>
      </c>
      <c r="Q200" s="17">
        <v>55.62</v>
      </c>
      <c r="R200" s="17">
        <v>36.520000000000003</v>
      </c>
      <c r="S200" s="17"/>
      <c r="T200" s="17"/>
      <c r="U200" s="50">
        <v>55.5</v>
      </c>
      <c r="V200" s="50">
        <v>68.61</v>
      </c>
      <c r="W200" s="133">
        <v>76.67</v>
      </c>
      <c r="X200" s="133">
        <v>96.44</v>
      </c>
      <c r="Y200" s="50">
        <v>40.78</v>
      </c>
      <c r="Z200" s="50">
        <v>103.93</v>
      </c>
      <c r="AA200" s="50">
        <v>77.37</v>
      </c>
      <c r="AB200" s="50">
        <v>73</v>
      </c>
      <c r="AC200" s="50">
        <v>8.68</v>
      </c>
      <c r="AD200" s="50">
        <v>46.82</v>
      </c>
      <c r="AE200" s="17">
        <v>33.53</v>
      </c>
      <c r="AF200" s="17">
        <v>42.18</v>
      </c>
      <c r="AG200" s="17">
        <v>45.68</v>
      </c>
      <c r="AH200" s="17">
        <v>50.72</v>
      </c>
      <c r="AI200" s="17">
        <v>1.62</v>
      </c>
      <c r="AJ200" s="17"/>
      <c r="AK200" s="17"/>
      <c r="AL200" s="17"/>
      <c r="AM200" s="17"/>
      <c r="AN200" s="17"/>
      <c r="AO200" s="17">
        <v>10.9</v>
      </c>
      <c r="AP200" s="17">
        <v>67.069999999999993</v>
      </c>
      <c r="AQ200" s="17">
        <v>114.85</v>
      </c>
      <c r="AR200" s="17">
        <v>54.15</v>
      </c>
      <c r="AS200" s="17">
        <v>23.05</v>
      </c>
      <c r="AT200" s="3" t="s">
        <v>146</v>
      </c>
      <c r="AU200" s="3"/>
    </row>
    <row r="201" spans="1:47" x14ac:dyDescent="0.2">
      <c r="A201" s="115">
        <v>199.99999999999929</v>
      </c>
      <c r="B201" s="3">
        <v>89</v>
      </c>
      <c r="C201" s="10" t="s">
        <v>530</v>
      </c>
      <c r="D201" s="129" t="s">
        <v>140</v>
      </c>
      <c r="E201" t="s">
        <v>141</v>
      </c>
      <c r="F201" s="3" t="s">
        <v>497</v>
      </c>
      <c r="G201"/>
      <c r="I201" s="127">
        <v>44344</v>
      </c>
      <c r="J201" s="16" t="s">
        <v>142</v>
      </c>
      <c r="K201" s="16" t="s">
        <v>203</v>
      </c>
      <c r="L201" s="17"/>
      <c r="M201" s="17"/>
      <c r="N201" s="17">
        <v>226.65</v>
      </c>
      <c r="O201" s="17">
        <v>204.66</v>
      </c>
      <c r="P201" s="17">
        <f>206.66+ 9.42</f>
        <v>216.07999999999998</v>
      </c>
      <c r="Q201" s="17">
        <v>50.01</v>
      </c>
      <c r="R201" s="17">
        <v>34.24</v>
      </c>
      <c r="S201" s="17"/>
      <c r="T201" s="17"/>
      <c r="U201" s="50">
        <v>52.04</v>
      </c>
      <c r="V201" s="50">
        <v>69.099999999999994</v>
      </c>
      <c r="W201" s="50">
        <v>72.989999999999995</v>
      </c>
      <c r="X201" s="50">
        <v>92.08</v>
      </c>
      <c r="Y201" s="50">
        <v>42.26</v>
      </c>
      <c r="Z201" s="50">
        <v>45.29</v>
      </c>
      <c r="AA201" s="50">
        <v>73.34</v>
      </c>
      <c r="AB201" s="50">
        <v>74.069999999999993</v>
      </c>
      <c r="AC201" s="50">
        <v>9.65</v>
      </c>
      <c r="AD201" s="50">
        <v>45.68</v>
      </c>
      <c r="AE201" s="17">
        <v>31.59</v>
      </c>
      <c r="AF201" s="17">
        <v>43.27</v>
      </c>
      <c r="AG201" s="17">
        <v>41.81</v>
      </c>
      <c r="AH201" s="17">
        <v>47.93</v>
      </c>
      <c r="AI201" s="17">
        <v>1.585</v>
      </c>
      <c r="AJ201" s="17"/>
      <c r="AK201" s="17"/>
      <c r="AL201" s="17"/>
      <c r="AM201" s="17">
        <v>20</v>
      </c>
      <c r="AN201" s="17"/>
      <c r="AO201" s="17">
        <v>12.76</v>
      </c>
      <c r="AP201" s="17">
        <v>66.400000000000006</v>
      </c>
      <c r="AQ201" s="17">
        <v>74.77</v>
      </c>
      <c r="AR201" s="17">
        <v>44.87</v>
      </c>
      <c r="AS201" s="17">
        <v>19.100000000000001</v>
      </c>
      <c r="AT201" s="3" t="s">
        <v>146</v>
      </c>
      <c r="AU201" s="3"/>
    </row>
    <row r="202" spans="1:47" x14ac:dyDescent="0.2">
      <c r="A202" s="115">
        <v>201.00000000000051</v>
      </c>
      <c r="B202" s="3">
        <v>70</v>
      </c>
      <c r="C202" s="8">
        <v>21.201000000000001</v>
      </c>
      <c r="D202" s="129" t="s">
        <v>140</v>
      </c>
      <c r="E202" t="s">
        <v>141</v>
      </c>
      <c r="F202" s="3" t="s">
        <v>62</v>
      </c>
      <c r="G202"/>
      <c r="H202" s="3" t="s">
        <v>62</v>
      </c>
      <c r="I202" s="127">
        <v>44307</v>
      </c>
      <c r="J202" s="16" t="s">
        <v>142</v>
      </c>
      <c r="K202" s="16" t="s">
        <v>203</v>
      </c>
      <c r="L202" s="17"/>
      <c r="M202" s="17"/>
      <c r="N202" s="17">
        <v>230.41</v>
      </c>
      <c r="O202" s="17">
        <v>202.26</v>
      </c>
      <c r="P202" s="17">
        <f>206.66+ 2832</f>
        <v>3038.66</v>
      </c>
      <c r="Q202" s="17">
        <v>56.72</v>
      </c>
      <c r="R202" s="17">
        <v>42.88</v>
      </c>
      <c r="S202" s="17"/>
      <c r="T202" s="17"/>
      <c r="U202" s="50">
        <v>53.57</v>
      </c>
      <c r="V202" s="50">
        <v>62.64</v>
      </c>
      <c r="W202" s="50">
        <v>76.510000000000005</v>
      </c>
      <c r="X202" s="50">
        <v>92.79</v>
      </c>
      <c r="Y202" s="50">
        <v>41.93</v>
      </c>
      <c r="Z202" s="50">
        <v>102.81</v>
      </c>
      <c r="AA202" s="50">
        <v>74.400000000000006</v>
      </c>
      <c r="AB202" s="50">
        <v>78.33</v>
      </c>
      <c r="AC202" s="50">
        <v>9.25</v>
      </c>
      <c r="AD202" s="50">
        <v>44.17</v>
      </c>
      <c r="AE202" s="17">
        <v>39.200000000000003</v>
      </c>
      <c r="AF202" s="17">
        <v>44.44</v>
      </c>
      <c r="AG202" s="17">
        <v>47.08</v>
      </c>
      <c r="AH202" s="17">
        <v>50.82</v>
      </c>
      <c r="AI202" s="17">
        <v>1.571</v>
      </c>
      <c r="AJ202" s="17"/>
      <c r="AK202" s="17"/>
      <c r="AL202" s="17"/>
      <c r="AM202" s="17"/>
      <c r="AN202" s="17"/>
      <c r="AO202" s="17">
        <v>15</v>
      </c>
      <c r="AP202" s="17">
        <v>40.22</v>
      </c>
      <c r="AQ202" s="17">
        <v>122.06</v>
      </c>
      <c r="AR202" s="17">
        <v>47.05</v>
      </c>
      <c r="AS202" s="17">
        <v>19.71</v>
      </c>
      <c r="AT202" s="3" t="s">
        <v>146</v>
      </c>
      <c r="AU202" s="3"/>
    </row>
    <row r="203" spans="1:47" x14ac:dyDescent="0.2">
      <c r="A203" s="115">
        <v>202.00000000000173</v>
      </c>
      <c r="B203" s="3">
        <v>65</v>
      </c>
      <c r="C203" s="8">
        <v>21.202000000000002</v>
      </c>
      <c r="D203" s="129" t="s">
        <v>140</v>
      </c>
      <c r="E203" t="s">
        <v>141</v>
      </c>
      <c r="F203" s="3" t="s">
        <v>61</v>
      </c>
      <c r="G203"/>
      <c r="H203" s="3" t="s">
        <v>61</v>
      </c>
      <c r="I203" s="127">
        <v>44307</v>
      </c>
      <c r="J203" s="16" t="s">
        <v>142</v>
      </c>
      <c r="K203" s="16" t="s">
        <v>203</v>
      </c>
      <c r="L203" s="17"/>
      <c r="M203" s="17"/>
      <c r="N203" s="17">
        <v>208.44</v>
      </c>
      <c r="O203" s="17">
        <v>179.93</v>
      </c>
      <c r="P203" s="17">
        <v>190.5</v>
      </c>
      <c r="Q203" s="17">
        <v>52.75</v>
      </c>
      <c r="R203" s="17">
        <v>22.22</v>
      </c>
      <c r="S203" s="17"/>
      <c r="T203" s="17"/>
      <c r="U203" s="50">
        <v>42.11</v>
      </c>
      <c r="V203" s="50">
        <v>72.41</v>
      </c>
      <c r="W203" s="50">
        <v>65.34</v>
      </c>
      <c r="X203" s="50">
        <v>82.54</v>
      </c>
      <c r="Y203" s="50">
        <v>29.75</v>
      </c>
      <c r="Z203" s="50">
        <v>90.45</v>
      </c>
      <c r="AA203" s="50">
        <v>69.69</v>
      </c>
      <c r="AB203" s="50">
        <v>56.84</v>
      </c>
      <c r="AC203" s="50">
        <v>10.14</v>
      </c>
      <c r="AD203" s="50">
        <v>48.28</v>
      </c>
      <c r="AE203" s="17">
        <v>33.33</v>
      </c>
      <c r="AF203" s="17">
        <v>42.97</v>
      </c>
      <c r="AG203" s="17">
        <v>36.67</v>
      </c>
      <c r="AH203" s="17">
        <v>42.32</v>
      </c>
      <c r="AI203" s="17">
        <v>1.859</v>
      </c>
      <c r="AJ203" s="17"/>
      <c r="AK203" s="17"/>
      <c r="AL203" s="17"/>
      <c r="AM203" s="17"/>
      <c r="AN203" s="17"/>
      <c r="AO203" s="17">
        <v>12.26</v>
      </c>
      <c r="AP203" s="17">
        <v>59.34</v>
      </c>
      <c r="AQ203" s="17">
        <v>73.510000000000005</v>
      </c>
      <c r="AR203" s="17">
        <v>45.46</v>
      </c>
      <c r="AS203" s="17">
        <v>20.85</v>
      </c>
      <c r="AT203" s="3" t="s">
        <v>146</v>
      </c>
      <c r="AU203" s="3"/>
    </row>
    <row r="204" spans="1:47" x14ac:dyDescent="0.2">
      <c r="A204" s="115">
        <v>202.9999999999994</v>
      </c>
      <c r="B204" s="3">
        <v>12</v>
      </c>
      <c r="C204" s="8">
        <v>21.202999999999999</v>
      </c>
      <c r="D204" s="131" t="s">
        <v>151</v>
      </c>
      <c r="E204" s="3" t="s">
        <v>162</v>
      </c>
      <c r="F204" s="3" t="s">
        <v>88</v>
      </c>
      <c r="G204"/>
      <c r="H204"/>
      <c r="I204" s="127">
        <v>44305</v>
      </c>
      <c r="J204" s="9" t="s">
        <v>142</v>
      </c>
      <c r="K204" s="3" t="s">
        <v>235</v>
      </c>
      <c r="N204" s="3">
        <v>288.54000000000002</v>
      </c>
      <c r="O204" s="3">
        <v>188.89</v>
      </c>
      <c r="P204" s="3">
        <v>2.36</v>
      </c>
      <c r="Q204" s="3">
        <v>46.1</v>
      </c>
      <c r="R204" s="3">
        <v>25.35</v>
      </c>
      <c r="U204" s="6">
        <v>52.71</v>
      </c>
      <c r="V204" s="6">
        <v>62.42</v>
      </c>
      <c r="W204" s="6">
        <v>71.83</v>
      </c>
      <c r="X204" s="6">
        <v>93.96</v>
      </c>
      <c r="Y204" s="6">
        <v>42.49</v>
      </c>
      <c r="Z204" s="6">
        <v>103.21</v>
      </c>
      <c r="AA204" s="6">
        <v>83.38</v>
      </c>
      <c r="AB204" s="6">
        <v>64.75</v>
      </c>
      <c r="AC204" s="6">
        <v>9.9600000000000009</v>
      </c>
      <c r="AD204" s="6">
        <v>53.48</v>
      </c>
      <c r="AE204" s="3">
        <v>32.89</v>
      </c>
      <c r="AF204" s="3">
        <v>44.26</v>
      </c>
      <c r="AG204" s="3">
        <v>38.29</v>
      </c>
      <c r="AH204" s="3">
        <v>42.67</v>
      </c>
      <c r="AJ204" s="3">
        <v>51.23</v>
      </c>
      <c r="AM204" s="3">
        <v>115</v>
      </c>
      <c r="AP204" s="3">
        <v>28.4</v>
      </c>
      <c r="AT204" s="3" t="s">
        <v>146</v>
      </c>
      <c r="AU204" s="3"/>
    </row>
    <row r="205" spans="1:47" x14ac:dyDescent="0.2">
      <c r="A205" s="115">
        <v>204.00000000000063</v>
      </c>
      <c r="B205" s="3">
        <v>9</v>
      </c>
      <c r="C205" s="8">
        <v>21.204000000000001</v>
      </c>
      <c r="D205" s="131" t="s">
        <v>151</v>
      </c>
      <c r="E205" t="s">
        <v>152</v>
      </c>
      <c r="F205" t="s">
        <v>227</v>
      </c>
      <c r="G205"/>
      <c r="H205" s="3" t="s">
        <v>90</v>
      </c>
      <c r="I205" s="127">
        <v>44294</v>
      </c>
      <c r="J205" s="9" t="s">
        <v>142</v>
      </c>
      <c r="K205" s="3" t="s">
        <v>235</v>
      </c>
      <c r="N205" s="3">
        <v>286.77</v>
      </c>
      <c r="O205" s="3">
        <v>189.29</v>
      </c>
      <c r="P205" s="3">
        <v>197.5</v>
      </c>
      <c r="Q205" s="3">
        <v>45.22</v>
      </c>
      <c r="R205" s="3">
        <v>27.5</v>
      </c>
      <c r="U205" s="6">
        <v>53.7</v>
      </c>
      <c r="V205" s="6">
        <v>69.41</v>
      </c>
      <c r="W205" s="6">
        <v>80.64</v>
      </c>
      <c r="X205" s="6">
        <v>98.79</v>
      </c>
      <c r="Y205" s="6">
        <v>39.17</v>
      </c>
      <c r="Z205" s="6">
        <v>105.63</v>
      </c>
      <c r="AA205" s="6">
        <v>87.31</v>
      </c>
      <c r="AB205" s="6">
        <v>77.19</v>
      </c>
      <c r="AC205" s="6">
        <v>10.199999999999999</v>
      </c>
      <c r="AD205" s="6">
        <v>45.55</v>
      </c>
      <c r="AE205" s="3">
        <v>29.32</v>
      </c>
      <c r="AF205" s="3">
        <v>4.16</v>
      </c>
      <c r="AG205" s="3">
        <v>35.53</v>
      </c>
      <c r="AH205" s="3">
        <v>42.82</v>
      </c>
      <c r="AI205" s="3">
        <v>1.6120000000000001</v>
      </c>
      <c r="AJ205" s="3">
        <v>52.41</v>
      </c>
      <c r="AM205" s="3">
        <v>55</v>
      </c>
      <c r="AN205" s="3">
        <v>57</v>
      </c>
      <c r="AP205" s="3">
        <v>32.46</v>
      </c>
      <c r="AT205" s="3" t="s">
        <v>146</v>
      </c>
      <c r="AU205" s="3"/>
    </row>
    <row r="206" spans="1:47" x14ac:dyDescent="0.2">
      <c r="A206" s="115">
        <v>204.99999999999829</v>
      </c>
      <c r="B206" s="3">
        <v>11</v>
      </c>
      <c r="C206" s="8">
        <v>21.204999999999998</v>
      </c>
      <c r="D206" s="131" t="s">
        <v>151</v>
      </c>
      <c r="E206" s="3" t="s">
        <v>162</v>
      </c>
      <c r="F206" s="3" t="s">
        <v>88</v>
      </c>
      <c r="G206"/>
      <c r="H206"/>
      <c r="I206" s="127">
        <v>44305</v>
      </c>
      <c r="J206" s="9" t="s">
        <v>142</v>
      </c>
      <c r="K206" s="9" t="s">
        <v>235</v>
      </c>
      <c r="N206" s="3">
        <v>296.44</v>
      </c>
      <c r="O206" s="3">
        <v>186.71</v>
      </c>
      <c r="P206" s="3">
        <v>188.83</v>
      </c>
      <c r="Q206" s="3">
        <v>45.83</v>
      </c>
      <c r="R206" s="3">
        <v>17.32</v>
      </c>
      <c r="U206" s="6">
        <v>50.55</v>
      </c>
      <c r="V206" s="6">
        <v>63.79</v>
      </c>
      <c r="W206" s="6">
        <v>71.489999999999995</v>
      </c>
      <c r="X206" s="6">
        <v>90.94</v>
      </c>
      <c r="Y206" s="6">
        <v>45.05</v>
      </c>
      <c r="Z206" s="6">
        <v>104.21</v>
      </c>
      <c r="AA206" s="6">
        <v>83.57</v>
      </c>
      <c r="AB206" s="6">
        <v>81.37</v>
      </c>
      <c r="AC206" s="6">
        <v>16.38</v>
      </c>
      <c r="AD206" s="6">
        <v>52.45</v>
      </c>
      <c r="AE206" s="3">
        <v>28.83</v>
      </c>
      <c r="AF206" s="3">
        <v>40.99</v>
      </c>
      <c r="AG206" s="3">
        <v>34.83</v>
      </c>
      <c r="AH206" s="3">
        <v>40.6</v>
      </c>
      <c r="AI206" s="3">
        <v>1.7270000000000001</v>
      </c>
      <c r="AJ206" s="3">
        <v>50.9</v>
      </c>
      <c r="AN206" s="3">
        <v>140</v>
      </c>
      <c r="AP206" s="3">
        <v>25.85</v>
      </c>
      <c r="AT206" s="3" t="s">
        <v>146</v>
      </c>
      <c r="AU206" s="3"/>
    </row>
    <row r="207" spans="1:47" x14ac:dyDescent="0.2">
      <c r="A207" s="115">
        <v>205.99999999999952</v>
      </c>
      <c r="B207" s="3">
        <v>4</v>
      </c>
      <c r="C207" s="8">
        <v>21.206</v>
      </c>
      <c r="D207" s="131" t="s">
        <v>151</v>
      </c>
      <c r="E207" s="3" t="s">
        <v>162</v>
      </c>
      <c r="F207" s="3" t="s">
        <v>88</v>
      </c>
      <c r="G207"/>
      <c r="H207"/>
      <c r="I207" s="127">
        <v>44277</v>
      </c>
      <c r="J207" s="9" t="s">
        <v>142</v>
      </c>
      <c r="K207" s="9" t="s">
        <v>235</v>
      </c>
      <c r="N207" s="3">
        <v>297.37</v>
      </c>
      <c r="O207" s="3">
        <v>186.63</v>
      </c>
      <c r="P207" s="3">
        <v>193.3</v>
      </c>
      <c r="Q207" s="3">
        <v>45.3</v>
      </c>
      <c r="R207" s="3">
        <v>21.11</v>
      </c>
      <c r="U207" s="6">
        <v>48.41</v>
      </c>
      <c r="V207" s="6">
        <v>64.44</v>
      </c>
      <c r="W207" s="6">
        <v>71.73</v>
      </c>
      <c r="X207" s="6">
        <v>95.67</v>
      </c>
      <c r="Y207" s="6">
        <v>39.479999999999997</v>
      </c>
      <c r="Z207" s="6">
        <v>102.6</v>
      </c>
      <c r="AA207" s="6">
        <v>84.65</v>
      </c>
      <c r="AB207" s="6">
        <v>78.69</v>
      </c>
      <c r="AC207" s="6">
        <v>16.79</v>
      </c>
      <c r="AD207" s="6">
        <v>52.63</v>
      </c>
      <c r="AE207" s="3">
        <v>37.19</v>
      </c>
      <c r="AF207" s="3">
        <v>45.87</v>
      </c>
      <c r="AG207" s="3">
        <v>38.630000000000003</v>
      </c>
      <c r="AH207" s="3">
        <v>40.89</v>
      </c>
      <c r="AI207" s="3">
        <v>1.52</v>
      </c>
      <c r="AJ207" s="3">
        <v>51.57</v>
      </c>
      <c r="AP207" s="3">
        <v>88.6</v>
      </c>
      <c r="AQ207" s="3">
        <v>69.900000000000006</v>
      </c>
      <c r="AT207" s="3" t="s">
        <v>146</v>
      </c>
      <c r="AU207" s="3"/>
    </row>
    <row r="208" spans="1:47" x14ac:dyDescent="0.2">
      <c r="A208" s="115">
        <v>207.00000000000074</v>
      </c>
      <c r="B208" s="3">
        <v>13</v>
      </c>
      <c r="C208" s="8">
        <v>21.207000000000001</v>
      </c>
      <c r="D208" s="131" t="s">
        <v>151</v>
      </c>
      <c r="E208" s="3" t="s">
        <v>152</v>
      </c>
      <c r="F208" t="s">
        <v>227</v>
      </c>
      <c r="G208"/>
      <c r="H208" s="3" t="s">
        <v>90</v>
      </c>
      <c r="I208" s="127">
        <v>44308</v>
      </c>
      <c r="J208" s="9" t="s">
        <v>142</v>
      </c>
      <c r="K208" s="9" t="s">
        <v>235</v>
      </c>
      <c r="N208" s="3">
        <v>293.89</v>
      </c>
      <c r="O208" s="3">
        <v>185.73</v>
      </c>
      <c r="P208" s="3">
        <v>199.98</v>
      </c>
      <c r="Q208" s="3">
        <v>44.23</v>
      </c>
      <c r="R208" s="3">
        <v>25.95</v>
      </c>
      <c r="U208" s="6">
        <v>55.32</v>
      </c>
      <c r="V208" s="6">
        <v>68.599999999999994</v>
      </c>
      <c r="W208" s="6">
        <v>72.540000000000006</v>
      </c>
      <c r="X208" s="6">
        <v>95.35</v>
      </c>
      <c r="Y208" s="6">
        <v>41.25</v>
      </c>
      <c r="Z208" s="6">
        <v>104.61</v>
      </c>
      <c r="AA208" s="6">
        <v>88.6</v>
      </c>
      <c r="AB208" s="6">
        <v>74.66</v>
      </c>
      <c r="AC208" s="6">
        <v>21.99</v>
      </c>
      <c r="AD208" s="6">
        <v>53.05</v>
      </c>
      <c r="AE208" s="3">
        <v>27.53</v>
      </c>
      <c r="AF208" s="3">
        <v>44.86</v>
      </c>
      <c r="AG208" s="3">
        <v>36.93</v>
      </c>
      <c r="AH208" s="3">
        <v>42.89</v>
      </c>
      <c r="AI208" s="3">
        <v>1.573</v>
      </c>
      <c r="AJ208" s="3">
        <v>55.75</v>
      </c>
      <c r="AM208" s="3">
        <v>65</v>
      </c>
      <c r="AN208" s="3">
        <v>49</v>
      </c>
      <c r="AP208" s="3">
        <v>23.67</v>
      </c>
      <c r="AT208" s="3" t="s">
        <v>146</v>
      </c>
      <c r="AU208" s="3"/>
    </row>
    <row r="209" spans="1:47" x14ac:dyDescent="0.2">
      <c r="A209" s="115">
        <v>207.99999999999841</v>
      </c>
      <c r="B209" s="3">
        <v>15</v>
      </c>
      <c r="C209" s="8">
        <v>21.207999999999998</v>
      </c>
      <c r="D209" s="131" t="s">
        <v>151</v>
      </c>
      <c r="E209" s="3" t="s">
        <v>152</v>
      </c>
      <c r="F209" t="s">
        <v>227</v>
      </c>
      <c r="G209"/>
      <c r="H209" s="3" t="s">
        <v>90</v>
      </c>
      <c r="I209" s="127">
        <v>44308</v>
      </c>
      <c r="J209" s="9" t="s">
        <v>142</v>
      </c>
      <c r="K209" s="9" t="s">
        <v>235</v>
      </c>
      <c r="N209" s="3">
        <v>289.63</v>
      </c>
      <c r="O209" s="3">
        <v>188.84</v>
      </c>
      <c r="P209" s="3">
        <v>204.33</v>
      </c>
      <c r="Q209" s="3">
        <v>46.3</v>
      </c>
      <c r="R209" s="3">
        <v>31.59</v>
      </c>
      <c r="U209" s="6">
        <v>53.41</v>
      </c>
      <c r="V209" s="6">
        <v>67.73</v>
      </c>
      <c r="W209" s="6">
        <v>73.680000000000007</v>
      </c>
      <c r="X209" s="6">
        <v>95.54</v>
      </c>
      <c r="Y209" s="6">
        <v>41.7</v>
      </c>
      <c r="Z209" s="6">
        <v>107.19</v>
      </c>
      <c r="AA209" s="6">
        <v>88.36</v>
      </c>
      <c r="AB209" s="6">
        <v>84.84</v>
      </c>
      <c r="AC209" s="6">
        <v>16.12</v>
      </c>
      <c r="AD209" s="6">
        <v>51.74</v>
      </c>
      <c r="AE209" s="3">
        <v>29.5</v>
      </c>
      <c r="AF209" s="3">
        <v>40.85</v>
      </c>
      <c r="AG209" s="3">
        <v>34.79</v>
      </c>
      <c r="AH209" s="3">
        <v>44.04</v>
      </c>
      <c r="AI209" s="3">
        <v>1.5820000000000001</v>
      </c>
      <c r="AJ209" s="3">
        <v>53.22</v>
      </c>
      <c r="AM209" s="3">
        <v>51</v>
      </c>
      <c r="AN209" s="3">
        <v>75.5</v>
      </c>
      <c r="AP209" s="3">
        <v>26.35</v>
      </c>
      <c r="AT209" s="3" t="s">
        <v>146</v>
      </c>
      <c r="AU209" s="3"/>
    </row>
    <row r="210" spans="1:47" x14ac:dyDescent="0.2">
      <c r="A210" s="115">
        <v>208.99999999999963</v>
      </c>
      <c r="B210" s="3">
        <v>14</v>
      </c>
      <c r="C210" s="8">
        <v>21.209</v>
      </c>
      <c r="D210" s="131" t="s">
        <v>151</v>
      </c>
      <c r="E210" s="3" t="s">
        <v>152</v>
      </c>
      <c r="F210" t="s">
        <v>227</v>
      </c>
      <c r="G210"/>
      <c r="H210" s="3" t="s">
        <v>90</v>
      </c>
      <c r="I210" s="127">
        <v>44308</v>
      </c>
      <c r="J210" s="9" t="s">
        <v>142</v>
      </c>
      <c r="K210" s="9" t="s">
        <v>235</v>
      </c>
      <c r="N210" s="3">
        <v>278.64</v>
      </c>
      <c r="O210" s="3">
        <v>179.11</v>
      </c>
      <c r="P210" s="3">
        <v>194.02</v>
      </c>
      <c r="Q210" s="3">
        <v>43.55</v>
      </c>
      <c r="R210" s="3">
        <v>27.41</v>
      </c>
      <c r="U210" s="6">
        <v>53.31</v>
      </c>
      <c r="V210" s="6">
        <v>69.05</v>
      </c>
      <c r="W210" s="6">
        <v>72.97</v>
      </c>
      <c r="X210" s="6">
        <v>91.52</v>
      </c>
      <c r="Y210" s="6">
        <v>46.3</v>
      </c>
      <c r="Z210" s="6">
        <v>103.16</v>
      </c>
      <c r="AA210" s="6">
        <v>85.69</v>
      </c>
      <c r="AB210" s="6">
        <v>77.58</v>
      </c>
      <c r="AC210" s="6">
        <v>21.85</v>
      </c>
      <c r="AD210" s="6">
        <v>51.77</v>
      </c>
      <c r="AE210" s="3">
        <v>29.25</v>
      </c>
      <c r="AF210" s="3">
        <v>40.26</v>
      </c>
      <c r="AG210" s="3">
        <v>33.92</v>
      </c>
      <c r="AH210" s="3">
        <v>40.31</v>
      </c>
      <c r="AI210" s="3">
        <v>1.696</v>
      </c>
      <c r="AJ210" s="3">
        <v>55.81</v>
      </c>
      <c r="AM210" s="3">
        <v>23</v>
      </c>
      <c r="AN210" s="3">
        <v>90</v>
      </c>
      <c r="AP210" s="3">
        <v>23.39</v>
      </c>
      <c r="AT210" s="3" t="s">
        <v>146</v>
      </c>
      <c r="AU210" s="3"/>
    </row>
    <row r="211" spans="1:47" x14ac:dyDescent="0.2">
      <c r="A211" s="115">
        <v>210.00000000000085</v>
      </c>
      <c r="B211" s="3">
        <v>67</v>
      </c>
      <c r="C211" s="10" t="s">
        <v>57</v>
      </c>
      <c r="D211" s="129" t="s">
        <v>140</v>
      </c>
      <c r="E211" t="s">
        <v>141</v>
      </c>
      <c r="F211" s="3" t="s">
        <v>62</v>
      </c>
      <c r="G211"/>
      <c r="H211" s="3" t="s">
        <v>62</v>
      </c>
      <c r="I211" s="127">
        <v>44307</v>
      </c>
      <c r="J211" s="16" t="s">
        <v>142</v>
      </c>
      <c r="K211" s="16" t="s">
        <v>235</v>
      </c>
      <c r="L211" s="17"/>
      <c r="M211" s="17"/>
      <c r="N211" s="17">
        <v>286.64999999999998</v>
      </c>
      <c r="O211" s="17">
        <v>203.48</v>
      </c>
      <c r="P211" s="17">
        <v>206.68</v>
      </c>
      <c r="Q211" s="17">
        <v>50.98</v>
      </c>
      <c r="R211" s="17">
        <v>29.3</v>
      </c>
      <c r="S211" s="17"/>
      <c r="T211" s="17"/>
      <c r="U211" s="50">
        <v>53.71</v>
      </c>
      <c r="V211" s="50">
        <v>67.2</v>
      </c>
      <c r="W211" s="50">
        <v>74.92</v>
      </c>
      <c r="X211" s="50">
        <v>92.17</v>
      </c>
      <c r="Y211" s="50">
        <v>50.82</v>
      </c>
      <c r="Z211" s="50">
        <v>91.2</v>
      </c>
      <c r="AA211" s="50">
        <v>82.78</v>
      </c>
      <c r="AB211" s="50">
        <v>75.180000000000007</v>
      </c>
      <c r="AC211" s="50">
        <v>18.34</v>
      </c>
      <c r="AD211" s="50">
        <v>51.95</v>
      </c>
      <c r="AE211" s="17">
        <v>32.79</v>
      </c>
      <c r="AF211" s="17">
        <v>45.73</v>
      </c>
      <c r="AG211" s="17">
        <v>29.58</v>
      </c>
      <c r="AH211" s="17">
        <v>41.83</v>
      </c>
      <c r="AI211" s="17">
        <v>1.31</v>
      </c>
      <c r="AJ211" s="17">
        <v>63.07</v>
      </c>
      <c r="AK211" s="17"/>
      <c r="AL211" s="17"/>
      <c r="AM211" s="17"/>
      <c r="AN211" s="17">
        <v>140</v>
      </c>
      <c r="AO211" s="17"/>
      <c r="AP211" s="17">
        <v>30.36</v>
      </c>
      <c r="AQ211" s="17"/>
      <c r="AR211" s="17"/>
      <c r="AS211" s="17"/>
      <c r="AT211" s="3" t="s">
        <v>146</v>
      </c>
      <c r="AU211" s="3"/>
    </row>
    <row r="212" spans="1:47" x14ac:dyDescent="0.2">
      <c r="A212" s="115">
        <v>210.99999999999852</v>
      </c>
      <c r="B212" s="3">
        <v>83</v>
      </c>
      <c r="C212" s="8">
        <v>21.210999999999999</v>
      </c>
      <c r="D212" s="129" t="s">
        <v>140</v>
      </c>
      <c r="E212" t="s">
        <v>141</v>
      </c>
      <c r="F212" t="s">
        <v>164</v>
      </c>
      <c r="G212"/>
      <c r="H212" s="3" t="s">
        <v>165</v>
      </c>
      <c r="I212" s="127">
        <v>44330</v>
      </c>
      <c r="J212" s="16" t="s">
        <v>142</v>
      </c>
      <c r="K212" s="16" t="s">
        <v>235</v>
      </c>
      <c r="L212" s="17"/>
      <c r="M212" s="17"/>
      <c r="N212" s="17">
        <v>291.97000000000003</v>
      </c>
      <c r="O212" s="17">
        <v>194.04</v>
      </c>
      <c r="P212" s="17">
        <f>206.68+ 16.26</f>
        <v>222.94</v>
      </c>
      <c r="Q212" s="17">
        <v>58.52</v>
      </c>
      <c r="R212" s="17">
        <v>31.76</v>
      </c>
      <c r="S212" s="17"/>
      <c r="T212" s="17"/>
      <c r="U212" s="50">
        <v>51.62</v>
      </c>
      <c r="V212" s="50">
        <v>69.67</v>
      </c>
      <c r="W212" s="50">
        <v>65.319999999999993</v>
      </c>
      <c r="X212" s="50">
        <v>91.13</v>
      </c>
      <c r="Y212" s="50">
        <v>46.32</v>
      </c>
      <c r="Z212" s="50">
        <v>105.7</v>
      </c>
      <c r="AA212" s="50">
        <v>84.68</v>
      </c>
      <c r="AB212" s="50">
        <v>80.73</v>
      </c>
      <c r="AC212" s="50">
        <v>13.68</v>
      </c>
      <c r="AD212" s="50">
        <v>49.76</v>
      </c>
      <c r="AE212" s="17">
        <v>26.85</v>
      </c>
      <c r="AF212" s="17">
        <v>42.64</v>
      </c>
      <c r="AG212" s="17">
        <v>37.53</v>
      </c>
      <c r="AH212" s="17">
        <v>43.84</v>
      </c>
      <c r="AI212" s="17">
        <v>1.2430000000000001</v>
      </c>
      <c r="AJ212" s="17">
        <v>55.22</v>
      </c>
      <c r="AK212" s="17"/>
      <c r="AL212" s="17"/>
      <c r="AM212" s="17"/>
      <c r="AN212" s="17">
        <v>143</v>
      </c>
      <c r="AO212" s="17"/>
      <c r="AP212" s="17">
        <v>30.21</v>
      </c>
      <c r="AQ212" s="17"/>
      <c r="AR212" s="17"/>
      <c r="AS212" s="17"/>
      <c r="AT212" s="3" t="s">
        <v>146</v>
      </c>
      <c r="AU212" s="3"/>
    </row>
    <row r="213" spans="1:47" x14ac:dyDescent="0.2">
      <c r="A213" s="115">
        <v>211.99999999999974</v>
      </c>
      <c r="B213" s="3">
        <v>71</v>
      </c>
      <c r="C213" s="8">
        <v>21.212</v>
      </c>
      <c r="D213" s="129" t="s">
        <v>140</v>
      </c>
      <c r="E213" t="s">
        <v>141</v>
      </c>
      <c r="F213" t="s">
        <v>61</v>
      </c>
      <c r="G213"/>
      <c r="H213" t="s">
        <v>61</v>
      </c>
      <c r="I213" s="127">
        <v>44312</v>
      </c>
      <c r="J213" s="16" t="s">
        <v>142</v>
      </c>
      <c r="K213" s="16" t="s">
        <v>235</v>
      </c>
      <c r="L213" s="17"/>
      <c r="M213" s="17"/>
      <c r="N213" s="17">
        <v>233.17</v>
      </c>
      <c r="O213" s="17">
        <v>173.39</v>
      </c>
      <c r="P213" s="17">
        <v>185</v>
      </c>
      <c r="Q213" s="17">
        <v>48.24</v>
      </c>
      <c r="R213" s="17">
        <v>28.07</v>
      </c>
      <c r="S213" s="17"/>
      <c r="T213" s="17"/>
      <c r="U213" s="50">
        <v>42.67</v>
      </c>
      <c r="V213" s="50">
        <v>57.53</v>
      </c>
      <c r="W213" s="50">
        <v>66.739999999999995</v>
      </c>
      <c r="X213" s="50">
        <v>81.150000000000006</v>
      </c>
      <c r="Y213" s="50">
        <v>34.5</v>
      </c>
      <c r="Z213" s="50">
        <v>90.48</v>
      </c>
      <c r="AA213" s="50">
        <v>75.569999999999993</v>
      </c>
      <c r="AB213" s="50">
        <v>61.41</v>
      </c>
      <c r="AC213" s="50">
        <v>9.2200000000000006</v>
      </c>
      <c r="AD213" s="50">
        <v>54.42</v>
      </c>
      <c r="AE213" s="17">
        <v>25.39</v>
      </c>
      <c r="AF213" s="17">
        <v>35.97</v>
      </c>
      <c r="AG213" s="17">
        <v>36.340000000000003</v>
      </c>
      <c r="AH213" s="17">
        <v>40.69</v>
      </c>
      <c r="AI213" s="17">
        <v>1.236</v>
      </c>
      <c r="AJ213" s="17">
        <v>45.77</v>
      </c>
      <c r="AK213" s="17"/>
      <c r="AL213" s="17"/>
      <c r="AM213" s="17">
        <v>69</v>
      </c>
      <c r="AN213" s="17">
        <v>37</v>
      </c>
      <c r="AO213" s="17"/>
      <c r="AP213" s="17">
        <v>28.16</v>
      </c>
      <c r="AQ213" s="17"/>
      <c r="AR213" s="17"/>
      <c r="AS213" s="17"/>
      <c r="AT213" s="3" t="s">
        <v>146</v>
      </c>
      <c r="AU213" s="3"/>
    </row>
    <row r="214" spans="1:47" x14ac:dyDescent="0.2">
      <c r="A214" s="115">
        <v>213.00000000000097</v>
      </c>
      <c r="B214" s="3">
        <v>63</v>
      </c>
      <c r="C214" s="8">
        <v>21.213000000000001</v>
      </c>
      <c r="D214" s="129" t="s">
        <v>140</v>
      </c>
      <c r="E214" t="s">
        <v>141</v>
      </c>
      <c r="F214" s="3" t="s">
        <v>60</v>
      </c>
      <c r="G214" s="35"/>
      <c r="H214" s="3" t="s">
        <v>60</v>
      </c>
      <c r="I214" s="127">
        <v>44307</v>
      </c>
      <c r="J214" s="16" t="s">
        <v>142</v>
      </c>
      <c r="K214" s="16" t="s">
        <v>235</v>
      </c>
      <c r="L214" s="17"/>
      <c r="M214" s="17"/>
      <c r="N214" s="17">
        <v>254.47</v>
      </c>
      <c r="O214" s="17">
        <v>178.5</v>
      </c>
      <c r="P214" s="17">
        <v>181.59</v>
      </c>
      <c r="Q214" s="17">
        <v>52.38</v>
      </c>
      <c r="R214" s="17">
        <v>28.38</v>
      </c>
      <c r="S214" s="17"/>
      <c r="T214" s="17"/>
      <c r="U214" s="50">
        <v>44.05</v>
      </c>
      <c r="V214" s="50">
        <v>62.35</v>
      </c>
      <c r="W214" s="50">
        <v>67.05</v>
      </c>
      <c r="X214" s="50">
        <v>81.8</v>
      </c>
      <c r="Y214" s="50">
        <v>29.31</v>
      </c>
      <c r="Z214" s="50">
        <v>91.8</v>
      </c>
      <c r="AA214" s="50">
        <v>78.849999999999994</v>
      </c>
      <c r="AB214" s="50">
        <v>60.74</v>
      </c>
      <c r="AC214" s="50">
        <v>10.220000000000001</v>
      </c>
      <c r="AD214" s="50">
        <v>55.93</v>
      </c>
      <c r="AE214" s="17">
        <v>33.85</v>
      </c>
      <c r="AF214" s="17">
        <v>37.97</v>
      </c>
      <c r="AG214" s="17">
        <v>37.57</v>
      </c>
      <c r="AH214" s="17">
        <v>40.229999999999997</v>
      </c>
      <c r="AI214" s="17">
        <v>1.234</v>
      </c>
      <c r="AJ214" s="17">
        <v>46.02</v>
      </c>
      <c r="AK214" s="17"/>
      <c r="AL214" s="17"/>
      <c r="AM214" s="17"/>
      <c r="AN214" s="17">
        <v>118</v>
      </c>
      <c r="AO214" s="17"/>
      <c r="AP214" s="17">
        <v>24.13</v>
      </c>
      <c r="AQ214" s="17"/>
      <c r="AR214" s="17"/>
      <c r="AS214" s="17"/>
      <c r="AT214" s="3" t="s">
        <v>146</v>
      </c>
      <c r="AU214" s="3"/>
    </row>
    <row r="215" spans="1:47" x14ac:dyDescent="0.2">
      <c r="A215" s="115">
        <v>213.99999999999864</v>
      </c>
      <c r="B215" s="9" t="s">
        <v>531</v>
      </c>
      <c r="C215" s="8">
        <v>21.213999999999999</v>
      </c>
      <c r="D215" s="64" t="s">
        <v>223</v>
      </c>
      <c r="E215" s="11" t="s">
        <v>223</v>
      </c>
      <c r="F215" s="3" t="s">
        <v>73</v>
      </c>
      <c r="G215" s="3" t="s">
        <v>73</v>
      </c>
      <c r="H215" s="35"/>
      <c r="I215" s="134">
        <v>44310</v>
      </c>
      <c r="J215" s="16" t="s">
        <v>142</v>
      </c>
      <c r="K215" s="16" t="s">
        <v>235</v>
      </c>
      <c r="L215" s="16"/>
      <c r="M215" s="16"/>
      <c r="N215" s="16">
        <v>272.56</v>
      </c>
      <c r="O215" s="17">
        <v>165.07</v>
      </c>
      <c r="P215" s="17">
        <v>162.35</v>
      </c>
      <c r="Q215" s="17">
        <v>38.5</v>
      </c>
      <c r="R215" s="17">
        <v>14.7</v>
      </c>
      <c r="S215" s="17"/>
      <c r="T215" s="17"/>
      <c r="U215" s="50">
        <v>54.53</v>
      </c>
      <c r="V215" s="50">
        <v>75.989999999999995</v>
      </c>
      <c r="W215" s="50">
        <v>81.42</v>
      </c>
      <c r="X215" s="50">
        <v>96.02</v>
      </c>
      <c r="Y215" s="50">
        <v>44.88</v>
      </c>
      <c r="Z215" s="50">
        <v>101.43</v>
      </c>
      <c r="AA215" s="50">
        <v>75.87</v>
      </c>
      <c r="AB215" s="50">
        <v>82.94</v>
      </c>
      <c r="AC215" s="50">
        <v>27.47</v>
      </c>
      <c r="AD215" s="50">
        <v>56.92</v>
      </c>
      <c r="AE215" s="17">
        <v>27.7</v>
      </c>
      <c r="AF215" s="17">
        <v>33.770000000000003</v>
      </c>
      <c r="AG215" s="17">
        <v>33.75</v>
      </c>
      <c r="AH215" s="17">
        <v>33.75</v>
      </c>
      <c r="AI215" s="17">
        <v>1.5629999999999999</v>
      </c>
      <c r="AJ215" s="17">
        <v>46.02</v>
      </c>
      <c r="AK215" s="17"/>
      <c r="AL215" s="17">
        <v>15</v>
      </c>
      <c r="AM215" s="17">
        <v>96</v>
      </c>
      <c r="AN215" s="17"/>
      <c r="AO215" s="17"/>
      <c r="AP215" s="17">
        <v>35.86</v>
      </c>
      <c r="AQ215" s="17"/>
      <c r="AR215" s="17"/>
      <c r="AS215" s="17"/>
      <c r="AT215" s="3" t="s">
        <v>146</v>
      </c>
      <c r="AU215" s="3"/>
    </row>
    <row r="216" spans="1:47" x14ac:dyDescent="0.2">
      <c r="A216" s="115">
        <v>214.99999999999986</v>
      </c>
      <c r="B216" s="9" t="s">
        <v>532</v>
      </c>
      <c r="C216" s="8">
        <v>21.215</v>
      </c>
      <c r="D216" s="64" t="s">
        <v>223</v>
      </c>
      <c r="E216" s="11" t="s">
        <v>223</v>
      </c>
      <c r="F216" s="3" t="s">
        <v>73</v>
      </c>
      <c r="G216" s="3" t="s">
        <v>73</v>
      </c>
      <c r="H216" s="35"/>
      <c r="I216" s="134">
        <v>44310</v>
      </c>
      <c r="J216" s="16" t="s">
        <v>142</v>
      </c>
      <c r="K216" s="16" t="s">
        <v>235</v>
      </c>
      <c r="L216" s="16"/>
      <c r="M216" s="16"/>
      <c r="N216" s="16">
        <v>276.86</v>
      </c>
      <c r="O216" s="17">
        <v>160.35</v>
      </c>
      <c r="P216" s="17">
        <v>167.9</v>
      </c>
      <c r="Q216" s="17">
        <v>34.94</v>
      </c>
      <c r="R216" s="17">
        <v>19.43</v>
      </c>
      <c r="S216" s="17"/>
      <c r="T216" s="17"/>
      <c r="U216" s="50">
        <v>52.94</v>
      </c>
      <c r="V216" s="50">
        <v>75.239999999999995</v>
      </c>
      <c r="W216" s="50">
        <v>94.86</v>
      </c>
      <c r="X216" s="135">
        <v>104.48</v>
      </c>
      <c r="Y216" s="50">
        <v>41.73</v>
      </c>
      <c r="Z216" s="50">
        <v>83.04</v>
      </c>
      <c r="AA216" s="50">
        <v>72.8</v>
      </c>
      <c r="AB216" s="50">
        <v>77.61</v>
      </c>
      <c r="AC216" s="50">
        <v>23.8</v>
      </c>
      <c r="AD216" s="50">
        <v>55.17</v>
      </c>
      <c r="AE216" s="17">
        <v>33.74</v>
      </c>
      <c r="AF216" s="17">
        <v>35.42</v>
      </c>
      <c r="AG216" s="17">
        <v>36.01</v>
      </c>
      <c r="AH216" s="17">
        <v>34.54</v>
      </c>
      <c r="AI216" s="17">
        <v>1.4910000000000001</v>
      </c>
      <c r="AJ216" s="17">
        <v>42.1</v>
      </c>
      <c r="AK216" s="17"/>
      <c r="AL216" s="17"/>
      <c r="AM216" s="17"/>
      <c r="AN216" s="17">
        <v>131</v>
      </c>
      <c r="AO216" s="17"/>
      <c r="AP216" s="17">
        <v>32.299999999999997</v>
      </c>
      <c r="AQ216" s="17"/>
      <c r="AR216" s="17"/>
      <c r="AS216" s="17"/>
      <c r="AT216" s="3" t="s">
        <v>146</v>
      </c>
      <c r="AU216" s="3"/>
    </row>
    <row r="217" spans="1:47" x14ac:dyDescent="0.2">
      <c r="A217" s="115">
        <v>216.00000000000108</v>
      </c>
      <c r="B217" s="136" t="s">
        <v>533</v>
      </c>
      <c r="C217" s="8">
        <v>21.216000000000001</v>
      </c>
      <c r="D217" s="64" t="s">
        <v>223</v>
      </c>
      <c r="E217" s="11" t="s">
        <v>223</v>
      </c>
      <c r="F217" s="3" t="s">
        <v>73</v>
      </c>
      <c r="G217" s="3" t="s">
        <v>73</v>
      </c>
      <c r="H217" s="35"/>
      <c r="I217" s="134">
        <v>44299</v>
      </c>
      <c r="J217" s="16" t="s">
        <v>142</v>
      </c>
      <c r="K217" s="16" t="s">
        <v>235</v>
      </c>
      <c r="L217" s="16"/>
      <c r="M217" s="16"/>
      <c r="N217" s="16">
        <v>273.86</v>
      </c>
      <c r="O217" s="17">
        <v>166.45</v>
      </c>
      <c r="P217" s="17">
        <v>161.38999999999999</v>
      </c>
      <c r="Q217" s="17">
        <v>29.43</v>
      </c>
      <c r="R217" s="17">
        <v>17.64</v>
      </c>
      <c r="S217" s="17"/>
      <c r="T217" s="17"/>
      <c r="U217" s="50">
        <v>58.09</v>
      </c>
      <c r="V217" s="50">
        <v>72.55</v>
      </c>
      <c r="W217" s="50">
        <v>81.25</v>
      </c>
      <c r="X217" s="50">
        <v>95.94</v>
      </c>
      <c r="Y217" s="50">
        <v>43.65</v>
      </c>
      <c r="Z217" s="50">
        <v>104.85</v>
      </c>
      <c r="AA217" s="50">
        <v>82.9</v>
      </c>
      <c r="AB217" s="50">
        <v>81.900000000000006</v>
      </c>
      <c r="AC217" s="50">
        <v>41.86</v>
      </c>
      <c r="AD217" s="50">
        <v>55.01</v>
      </c>
      <c r="AE217" s="17">
        <v>32.49</v>
      </c>
      <c r="AF217" s="17">
        <v>35.909999999999997</v>
      </c>
      <c r="AG217" s="17">
        <v>33.29</v>
      </c>
      <c r="AH217" s="17">
        <v>31.08</v>
      </c>
      <c r="AI217" s="17">
        <v>1.514</v>
      </c>
      <c r="AJ217" s="17">
        <v>40.24</v>
      </c>
      <c r="AK217" s="17"/>
      <c r="AL217" s="17"/>
      <c r="AM217" s="17"/>
      <c r="AN217" s="17">
        <v>114</v>
      </c>
      <c r="AO217" s="17"/>
      <c r="AP217" s="17">
        <v>31.34</v>
      </c>
      <c r="AQ217" s="17"/>
      <c r="AR217" s="17"/>
      <c r="AS217" s="17"/>
      <c r="AT217" s="3" t="s">
        <v>146</v>
      </c>
      <c r="AU217" s="3"/>
    </row>
    <row r="218" spans="1:47" x14ac:dyDescent="0.2">
      <c r="A218" s="115">
        <v>216.99999999999875</v>
      </c>
      <c r="B218" s="136" t="s">
        <v>534</v>
      </c>
      <c r="C218" s="8">
        <v>21.216999999999999</v>
      </c>
      <c r="D218" s="64" t="s">
        <v>223</v>
      </c>
      <c r="E218" s="11" t="s">
        <v>223</v>
      </c>
      <c r="F218" s="3" t="s">
        <v>73</v>
      </c>
      <c r="G218" s="3" t="s">
        <v>73</v>
      </c>
      <c r="H218" s="35"/>
      <c r="I218" s="134">
        <v>44310</v>
      </c>
      <c r="J218" s="16" t="s">
        <v>142</v>
      </c>
      <c r="K218" s="16" t="s">
        <v>235</v>
      </c>
      <c r="L218" s="16"/>
      <c r="M218" s="16"/>
      <c r="N218" s="16">
        <v>259.41000000000003</v>
      </c>
      <c r="O218" s="17">
        <v>161.57</v>
      </c>
      <c r="P218" s="17">
        <v>162.27000000000001</v>
      </c>
      <c r="Q218" s="17">
        <v>34.24</v>
      </c>
      <c r="R218" s="17">
        <v>17.940000000000001</v>
      </c>
      <c r="S218" s="17"/>
      <c r="T218" s="17"/>
      <c r="U218" s="50">
        <v>54.79</v>
      </c>
      <c r="V218" s="50">
        <v>73.86</v>
      </c>
      <c r="W218" s="50">
        <v>80.59</v>
      </c>
      <c r="X218" s="50">
        <v>94.59</v>
      </c>
      <c r="Y218" s="50">
        <v>40.98</v>
      </c>
      <c r="Z218" s="50">
        <v>103.85</v>
      </c>
      <c r="AA218" s="50">
        <v>74.819999999999993</v>
      </c>
      <c r="AB218" s="50">
        <v>81.58</v>
      </c>
      <c r="AC218" s="50">
        <v>27.09</v>
      </c>
      <c r="AD218" s="50">
        <v>54.32</v>
      </c>
      <c r="AE218" s="17">
        <v>25.5</v>
      </c>
      <c r="AF218" s="17">
        <v>25.42</v>
      </c>
      <c r="AG218" s="17">
        <v>35.28</v>
      </c>
      <c r="AH218" s="17">
        <v>40.450000000000003</v>
      </c>
      <c r="AI218" s="17">
        <v>1.456</v>
      </c>
      <c r="AJ218" s="17">
        <v>42.88</v>
      </c>
      <c r="AK218" s="17"/>
      <c r="AL218" s="17"/>
      <c r="AM218" s="17">
        <v>98</v>
      </c>
      <c r="AN218" s="17"/>
      <c r="AO218" s="17"/>
      <c r="AP218" s="17">
        <v>28.71</v>
      </c>
      <c r="AQ218" s="17"/>
      <c r="AR218" s="17"/>
      <c r="AS218" s="17"/>
      <c r="AT218" s="3" t="s">
        <v>146</v>
      </c>
      <c r="AU218" s="3"/>
    </row>
    <row r="219" spans="1:47" x14ac:dyDescent="0.2">
      <c r="A219" s="115">
        <v>217.99999999999997</v>
      </c>
      <c r="B219" s="9" t="s">
        <v>535</v>
      </c>
      <c r="C219" s="8">
        <v>21.218</v>
      </c>
      <c r="D219" s="64" t="s">
        <v>223</v>
      </c>
      <c r="E219" s="11" t="s">
        <v>223</v>
      </c>
      <c r="F219" s="3" t="s">
        <v>73</v>
      </c>
      <c r="G219" s="3" t="s">
        <v>73</v>
      </c>
      <c r="H219"/>
      <c r="I219" s="134">
        <v>44327</v>
      </c>
      <c r="J219" s="16" t="s">
        <v>142</v>
      </c>
      <c r="K219" s="16" t="s">
        <v>235</v>
      </c>
      <c r="L219" s="16"/>
      <c r="M219" s="16"/>
      <c r="N219" s="16">
        <v>268.8</v>
      </c>
      <c r="O219" s="17">
        <v>166.63</v>
      </c>
      <c r="P219" s="17">
        <v>164.11</v>
      </c>
      <c r="Q219" s="17">
        <v>47.04</v>
      </c>
      <c r="R219" s="17">
        <v>16.2</v>
      </c>
      <c r="S219" s="17"/>
      <c r="T219" s="17"/>
      <c r="U219" s="50">
        <v>50.4</v>
      </c>
      <c r="V219" s="50">
        <v>73.040000000000006</v>
      </c>
      <c r="W219" s="50">
        <v>80.680000000000007</v>
      </c>
      <c r="X219" s="50">
        <v>95.33</v>
      </c>
      <c r="Y219" s="50">
        <v>48.93</v>
      </c>
      <c r="Z219" s="50">
        <v>102.11</v>
      </c>
      <c r="AA219" s="50">
        <v>76.510000000000005</v>
      </c>
      <c r="AB219" s="50">
        <v>77.81</v>
      </c>
      <c r="AC219" s="50">
        <v>38.42</v>
      </c>
      <c r="AD219" s="50">
        <v>55.34</v>
      </c>
      <c r="AE219" s="17">
        <v>31.09</v>
      </c>
      <c r="AF219" s="17">
        <v>33.5</v>
      </c>
      <c r="AG219" s="17">
        <v>31.49</v>
      </c>
      <c r="AH219" s="17">
        <v>31.49</v>
      </c>
      <c r="AI219" s="17">
        <v>1.4630000000000001</v>
      </c>
      <c r="AJ219" s="17">
        <v>43.09</v>
      </c>
      <c r="AK219" s="17"/>
      <c r="AL219" s="17"/>
      <c r="AM219" s="17"/>
      <c r="AN219" s="17">
        <v>121</v>
      </c>
      <c r="AO219" s="17"/>
      <c r="AP219" s="17">
        <v>35.35</v>
      </c>
      <c r="AQ219" s="17"/>
      <c r="AR219" s="17"/>
      <c r="AS219" s="17"/>
      <c r="AT219" s="3" t="s">
        <v>146</v>
      </c>
      <c r="AU219" s="3"/>
    </row>
    <row r="220" spans="1:47" x14ac:dyDescent="0.2">
      <c r="A220" s="115">
        <v>219.00000000000119</v>
      </c>
      <c r="B220" s="136" t="s">
        <v>536</v>
      </c>
      <c r="C220" s="8">
        <v>21.219000000000001</v>
      </c>
      <c r="D220" s="64" t="s">
        <v>223</v>
      </c>
      <c r="E220" s="11" t="s">
        <v>223</v>
      </c>
      <c r="F220" s="3" t="s">
        <v>73</v>
      </c>
      <c r="G220" s="3" t="s">
        <v>73</v>
      </c>
      <c r="H220"/>
      <c r="I220" s="134">
        <v>44310</v>
      </c>
      <c r="J220" s="16" t="s">
        <v>142</v>
      </c>
      <c r="K220" s="16" t="s">
        <v>235</v>
      </c>
      <c r="L220" s="16"/>
      <c r="M220" s="16"/>
      <c r="N220" s="16">
        <v>265.69</v>
      </c>
      <c r="O220" s="17">
        <v>164.96</v>
      </c>
      <c r="P220" s="17">
        <v>164.32</v>
      </c>
      <c r="Q220" s="17">
        <v>34.4</v>
      </c>
      <c r="R220" s="17">
        <v>14.41</v>
      </c>
      <c r="S220" s="17"/>
      <c r="T220" s="17"/>
      <c r="U220" s="50">
        <v>50.12</v>
      </c>
      <c r="V220" s="50">
        <v>71.8</v>
      </c>
      <c r="W220" s="50">
        <v>76.3</v>
      </c>
      <c r="X220" s="50">
        <v>92.03</v>
      </c>
      <c r="Y220" s="50">
        <v>36.26</v>
      </c>
      <c r="Z220" s="50">
        <v>100.54</v>
      </c>
      <c r="AA220" s="50">
        <v>80.34</v>
      </c>
      <c r="AB220" s="50">
        <v>79.81</v>
      </c>
      <c r="AC220" s="50">
        <v>31.93</v>
      </c>
      <c r="AD220" s="50">
        <v>53.24</v>
      </c>
      <c r="AE220" s="17">
        <v>30.56</v>
      </c>
      <c r="AF220" s="17">
        <v>34.869999999999997</v>
      </c>
      <c r="AG220" s="17">
        <v>30.46</v>
      </c>
      <c r="AH220" s="17">
        <v>33.28</v>
      </c>
      <c r="AI220" s="17">
        <v>1.498</v>
      </c>
      <c r="AJ220" s="17">
        <v>56.59</v>
      </c>
      <c r="AK220" s="17"/>
      <c r="AL220" s="17">
        <v>12.5</v>
      </c>
      <c r="AM220" s="17">
        <v>124</v>
      </c>
      <c r="AN220" s="17"/>
      <c r="AO220" s="17"/>
      <c r="AP220" s="17">
        <v>27.96</v>
      </c>
      <c r="AQ220" s="17"/>
      <c r="AR220" s="17"/>
      <c r="AS220" s="17"/>
      <c r="AT220" s="3" t="s">
        <v>146</v>
      </c>
      <c r="AU220" s="3"/>
    </row>
    <row r="221" spans="1:47" x14ac:dyDescent="0.2">
      <c r="A221" s="115">
        <v>219.99999999999886</v>
      </c>
      <c r="B221" s="9" t="s">
        <v>537</v>
      </c>
      <c r="C221" s="10" t="s">
        <v>63</v>
      </c>
      <c r="D221" s="64" t="s">
        <v>223</v>
      </c>
      <c r="E221" s="11" t="s">
        <v>223</v>
      </c>
      <c r="F221" s="3" t="s">
        <v>73</v>
      </c>
      <c r="G221" s="3" t="s">
        <v>73</v>
      </c>
      <c r="H221" s="17"/>
      <c r="I221" s="134">
        <v>44331</v>
      </c>
      <c r="J221" s="16" t="s">
        <v>142</v>
      </c>
      <c r="K221" s="16" t="s">
        <v>235</v>
      </c>
      <c r="L221" s="16"/>
      <c r="M221" s="16"/>
      <c r="N221" s="16">
        <v>274.77</v>
      </c>
      <c r="O221" s="16">
        <v>157.28</v>
      </c>
      <c r="P221" s="16">
        <v>154.78</v>
      </c>
      <c r="Q221" s="16">
        <v>28.28</v>
      </c>
      <c r="R221" s="16">
        <v>12.05</v>
      </c>
      <c r="S221" s="16"/>
      <c r="T221" s="16"/>
      <c r="U221" s="133">
        <v>51.38</v>
      </c>
      <c r="V221" s="133">
        <v>68.56</v>
      </c>
      <c r="W221" s="133">
        <v>76.739999999999995</v>
      </c>
      <c r="X221" s="133">
        <v>91.85</v>
      </c>
      <c r="Y221" s="133">
        <v>39.659999999999997</v>
      </c>
      <c r="Z221" s="50">
        <v>103.86</v>
      </c>
      <c r="AA221" s="50">
        <v>81.459999999999994</v>
      </c>
      <c r="AB221" s="50">
        <v>83.04</v>
      </c>
      <c r="AC221" s="50">
        <v>29.4</v>
      </c>
      <c r="AD221" s="50">
        <v>55.86</v>
      </c>
      <c r="AE221" s="17">
        <v>30.7</v>
      </c>
      <c r="AF221" s="17">
        <v>33.479999999999997</v>
      </c>
      <c r="AG221" s="17">
        <v>32.119999999999997</v>
      </c>
      <c r="AH221" s="17">
        <v>30.95</v>
      </c>
      <c r="AI221" s="17">
        <v>1.43</v>
      </c>
      <c r="AJ221" s="17">
        <v>46.27</v>
      </c>
      <c r="AK221" s="17"/>
      <c r="AL221" s="17"/>
      <c r="AM221" s="17"/>
      <c r="AN221" s="17">
        <v>132</v>
      </c>
      <c r="AO221" s="17"/>
      <c r="AP221" s="17">
        <v>33.18</v>
      </c>
      <c r="AQ221" s="17"/>
      <c r="AR221" s="17"/>
      <c r="AS221" s="17"/>
      <c r="AT221" s="3" t="s">
        <v>146</v>
      </c>
      <c r="AU221" s="3"/>
    </row>
    <row r="222" spans="1:47" x14ac:dyDescent="0.2">
      <c r="A222" s="115">
        <v>221.00000000000009</v>
      </c>
      <c r="B222" s="9" t="s">
        <v>538</v>
      </c>
      <c r="C222" s="8">
        <v>21.221</v>
      </c>
      <c r="D222" s="64" t="s">
        <v>223</v>
      </c>
      <c r="E222" s="11" t="s">
        <v>223</v>
      </c>
      <c r="F222" s="3" t="s">
        <v>73</v>
      </c>
      <c r="G222" s="3" t="s">
        <v>73</v>
      </c>
      <c r="H222" s="17"/>
      <c r="I222" s="134">
        <v>44331</v>
      </c>
      <c r="J222" s="16" t="s">
        <v>142</v>
      </c>
      <c r="K222" s="16" t="s">
        <v>235</v>
      </c>
      <c r="L222" s="16"/>
      <c r="M222" s="16"/>
      <c r="N222" s="16">
        <v>319.83999999999997</v>
      </c>
      <c r="O222" s="17">
        <v>176.45</v>
      </c>
      <c r="P222" s="17">
        <v>172.74</v>
      </c>
      <c r="Q222" s="17">
        <v>38.619999999999997</v>
      </c>
      <c r="R222" s="17">
        <v>18.829999999999998</v>
      </c>
      <c r="S222" s="17"/>
      <c r="T222" s="17"/>
      <c r="U222" s="50">
        <v>52.64</v>
      </c>
      <c r="V222" s="50">
        <v>74.680000000000007</v>
      </c>
      <c r="W222" s="133">
        <v>77.900000000000006</v>
      </c>
      <c r="X222" s="133">
        <v>50.99</v>
      </c>
      <c r="Y222" s="50">
        <v>36.44</v>
      </c>
      <c r="Z222" s="50">
        <v>111.12</v>
      </c>
      <c r="AA222" s="50">
        <v>78.239999999999995</v>
      </c>
      <c r="AB222" s="50">
        <v>78.16</v>
      </c>
      <c r="AC222" s="50">
        <v>31.42</v>
      </c>
      <c r="AD222" s="50">
        <v>61.01</v>
      </c>
      <c r="AE222" s="17">
        <v>31.89</v>
      </c>
      <c r="AF222" s="17">
        <v>42.32</v>
      </c>
      <c r="AG222" s="17">
        <v>30.97</v>
      </c>
      <c r="AH222" s="17">
        <v>40.28</v>
      </c>
      <c r="AI222" s="17">
        <v>1.2649999999999999</v>
      </c>
      <c r="AJ222" s="17">
        <v>95.91</v>
      </c>
      <c r="AK222" s="17"/>
      <c r="AL222" s="17"/>
      <c r="AM222" s="17"/>
      <c r="AN222" s="17">
        <v>134</v>
      </c>
      <c r="AO222" s="17"/>
      <c r="AP222" s="17">
        <v>25.19</v>
      </c>
      <c r="AQ222" s="17"/>
      <c r="AR222" s="17"/>
      <c r="AS222" s="17"/>
      <c r="AT222" s="3" t="s">
        <v>146</v>
      </c>
      <c r="AU222" s="3"/>
    </row>
    <row r="223" spans="1:47" x14ac:dyDescent="0.2">
      <c r="A223" s="115">
        <v>222.00000000000131</v>
      </c>
      <c r="B223" s="9" t="s">
        <v>539</v>
      </c>
      <c r="C223" s="8">
        <v>21.222000000000001</v>
      </c>
      <c r="D223" s="64" t="s">
        <v>223</v>
      </c>
      <c r="E223" s="11" t="s">
        <v>223</v>
      </c>
      <c r="F223" s="3" t="s">
        <v>73</v>
      </c>
      <c r="G223" s="3" t="s">
        <v>73</v>
      </c>
      <c r="H223" s="17"/>
      <c r="I223" s="134">
        <v>44331</v>
      </c>
      <c r="J223" s="16" t="s">
        <v>142</v>
      </c>
      <c r="K223" s="16" t="s">
        <v>235</v>
      </c>
      <c r="L223" s="16"/>
      <c r="M223" s="16"/>
      <c r="N223" s="16">
        <v>273.16000000000003</v>
      </c>
      <c r="O223" s="17">
        <v>158.85</v>
      </c>
      <c r="P223" s="17">
        <v>166.74</v>
      </c>
      <c r="Q223" s="17">
        <v>36.299999999999997</v>
      </c>
      <c r="R223" s="17">
        <v>16.95</v>
      </c>
      <c r="S223" s="17"/>
      <c r="T223" s="17"/>
      <c r="U223" s="50">
        <v>50.09</v>
      </c>
      <c r="V223" s="50">
        <v>69.38</v>
      </c>
      <c r="W223" s="133">
        <v>79.459999999999994</v>
      </c>
      <c r="X223" s="133">
        <v>76.22</v>
      </c>
      <c r="Y223" s="50">
        <v>41.1</v>
      </c>
      <c r="Z223" s="50">
        <v>106.83</v>
      </c>
      <c r="AA223" s="50">
        <v>84.76</v>
      </c>
      <c r="AB223" s="50">
        <v>77.05</v>
      </c>
      <c r="AC223" s="50">
        <v>27.08</v>
      </c>
      <c r="AD223" s="50">
        <v>53.48</v>
      </c>
      <c r="AE223" s="17">
        <v>31.64</v>
      </c>
      <c r="AF223" s="17">
        <v>45.8</v>
      </c>
      <c r="AG223" s="17">
        <v>34.6</v>
      </c>
      <c r="AH223" s="17">
        <v>31.4</v>
      </c>
      <c r="AI223" s="17">
        <v>1.4730000000000001</v>
      </c>
      <c r="AJ223" s="17">
        <v>43.16</v>
      </c>
      <c r="AK223" s="17"/>
      <c r="AL223" s="17"/>
      <c r="AM223" s="17"/>
      <c r="AN223" s="17">
        <v>136</v>
      </c>
      <c r="AO223" s="17"/>
      <c r="AP223" s="17">
        <v>28.9</v>
      </c>
      <c r="AQ223" s="17"/>
      <c r="AR223" s="17"/>
      <c r="AS223" s="17"/>
      <c r="AT223" s="3" t="s">
        <v>146</v>
      </c>
      <c r="AU223" s="3"/>
    </row>
    <row r="224" spans="1:47" x14ac:dyDescent="0.2">
      <c r="A224" s="115">
        <v>222.99999999999898</v>
      </c>
      <c r="B224" s="9" t="s">
        <v>540</v>
      </c>
      <c r="C224" s="8">
        <v>21.222999999999999</v>
      </c>
      <c r="D224" s="64" t="s">
        <v>223</v>
      </c>
      <c r="E224" s="11" t="s">
        <v>223</v>
      </c>
      <c r="F224" s="3" t="s">
        <v>73</v>
      </c>
      <c r="G224" s="3" t="s">
        <v>73</v>
      </c>
      <c r="H224" s="17"/>
      <c r="I224" s="134">
        <v>44299</v>
      </c>
      <c r="J224" s="16" t="s">
        <v>142</v>
      </c>
      <c r="K224" s="16" t="s">
        <v>235</v>
      </c>
      <c r="L224" s="16"/>
      <c r="M224" s="16"/>
      <c r="N224" s="16">
        <v>295.7</v>
      </c>
      <c r="O224" s="17">
        <v>174.54</v>
      </c>
      <c r="P224" s="17">
        <v>174.41</v>
      </c>
      <c r="Q224" s="17">
        <v>37.17</v>
      </c>
      <c r="R224" s="17">
        <v>24.18</v>
      </c>
      <c r="S224" s="17"/>
      <c r="T224" s="17"/>
      <c r="U224" s="50">
        <v>52.49</v>
      </c>
      <c r="V224" s="50">
        <v>71.63</v>
      </c>
      <c r="W224" s="133">
        <v>81.900000000000006</v>
      </c>
      <c r="X224" s="133">
        <v>94.53</v>
      </c>
      <c r="Y224" s="50">
        <v>38.11</v>
      </c>
      <c r="Z224" s="50">
        <v>106.19</v>
      </c>
      <c r="AA224" s="50">
        <v>81.760000000000005</v>
      </c>
      <c r="AB224" s="50">
        <v>86.56</v>
      </c>
      <c r="AC224" s="50">
        <v>29.05</v>
      </c>
      <c r="AD224" s="50">
        <v>56.53</v>
      </c>
      <c r="AE224" s="17">
        <v>38.729999999999997</v>
      </c>
      <c r="AF224" s="17">
        <v>50.94</v>
      </c>
      <c r="AG224" s="17">
        <v>38.200000000000003</v>
      </c>
      <c r="AH224" s="17">
        <v>38.04</v>
      </c>
      <c r="AI224" s="17">
        <v>1.587</v>
      </c>
      <c r="AJ224" s="17">
        <v>46.08</v>
      </c>
      <c r="AK224" s="17"/>
      <c r="AL224" s="17"/>
      <c r="AM224" s="17"/>
      <c r="AN224" s="17">
        <v>141</v>
      </c>
      <c r="AO224" s="17"/>
      <c r="AP224" s="17">
        <v>24.5</v>
      </c>
      <c r="AQ224" s="17"/>
      <c r="AR224" s="17"/>
      <c r="AS224" s="17"/>
      <c r="AT224" s="3" t="s">
        <v>146</v>
      </c>
      <c r="AU224" s="3"/>
    </row>
    <row r="225" spans="1:47" x14ac:dyDescent="0.2">
      <c r="A225" s="115">
        <v>224.0000000000002</v>
      </c>
      <c r="B225" s="9" t="s">
        <v>541</v>
      </c>
      <c r="C225" s="8">
        <v>21.224</v>
      </c>
      <c r="D225" s="64" t="s">
        <v>223</v>
      </c>
      <c r="E225" s="11" t="s">
        <v>223</v>
      </c>
      <c r="F225" s="3" t="s">
        <v>73</v>
      </c>
      <c r="G225" s="3" t="s">
        <v>73</v>
      </c>
      <c r="H225" s="17"/>
      <c r="I225" s="134">
        <v>44299</v>
      </c>
      <c r="J225" s="16" t="s">
        <v>142</v>
      </c>
      <c r="K225" s="16" t="s">
        <v>235</v>
      </c>
      <c r="L225" s="16"/>
      <c r="M225" s="16"/>
      <c r="N225" s="16">
        <v>265.70999999999998</v>
      </c>
      <c r="O225" s="17">
        <v>162.57</v>
      </c>
      <c r="P225" s="17">
        <v>157.78</v>
      </c>
      <c r="Q225" s="17">
        <v>33.72</v>
      </c>
      <c r="R225" s="17">
        <v>12.97</v>
      </c>
      <c r="S225" s="17"/>
      <c r="T225" s="17"/>
      <c r="U225" s="50">
        <v>61.24</v>
      </c>
      <c r="V225" s="50">
        <v>74.33</v>
      </c>
      <c r="W225" s="133">
        <v>80</v>
      </c>
      <c r="X225" s="133">
        <v>93.5</v>
      </c>
      <c r="Y225" s="50">
        <v>43.8</v>
      </c>
      <c r="Z225" s="50">
        <v>102.97</v>
      </c>
      <c r="AA225" s="50">
        <v>84.94</v>
      </c>
      <c r="AB225" s="50">
        <v>78.59</v>
      </c>
      <c r="AC225" s="50">
        <v>41.43</v>
      </c>
      <c r="AD225" s="50">
        <v>56.11</v>
      </c>
      <c r="AE225" s="17">
        <v>29.22</v>
      </c>
      <c r="AF225" s="17">
        <v>29.22</v>
      </c>
      <c r="AG225" s="17">
        <v>36.96</v>
      </c>
      <c r="AH225" s="17">
        <v>36.97</v>
      </c>
      <c r="AI225" s="17">
        <v>1.3959999999999999</v>
      </c>
      <c r="AJ225" s="17">
        <v>46.42</v>
      </c>
      <c r="AK225" s="17"/>
      <c r="AL225" s="17"/>
      <c r="AM225" s="17"/>
      <c r="AN225" s="17">
        <v>117</v>
      </c>
      <c r="AO225" s="17"/>
      <c r="AP225" s="17">
        <v>28.93</v>
      </c>
      <c r="AQ225" s="17"/>
      <c r="AR225" s="17"/>
      <c r="AS225" s="17"/>
      <c r="AT225" s="3" t="s">
        <v>146</v>
      </c>
      <c r="AU225" s="3"/>
    </row>
    <row r="226" spans="1:47" x14ac:dyDescent="0.2">
      <c r="A226" s="115">
        <v>225.00000000000142</v>
      </c>
      <c r="B226" s="9" t="s">
        <v>542</v>
      </c>
      <c r="C226" s="8">
        <v>21.225000000000001</v>
      </c>
      <c r="D226" s="64" t="s">
        <v>223</v>
      </c>
      <c r="E226" s="11" t="s">
        <v>223</v>
      </c>
      <c r="F226" s="3" t="s">
        <v>73</v>
      </c>
      <c r="G226" s="3" t="s">
        <v>73</v>
      </c>
      <c r="H226" s="17"/>
      <c r="I226" s="134">
        <v>44310</v>
      </c>
      <c r="J226" s="16" t="s">
        <v>142</v>
      </c>
      <c r="K226" s="16" t="s">
        <v>235</v>
      </c>
      <c r="L226" s="16"/>
      <c r="M226" s="16"/>
      <c r="N226" s="16">
        <v>244.51</v>
      </c>
      <c r="O226" s="17">
        <v>158.22999999999999</v>
      </c>
      <c r="P226" s="17">
        <v>160.19999999999999</v>
      </c>
      <c r="Q226" s="17">
        <v>34.340000000000003</v>
      </c>
      <c r="R226" s="17">
        <v>16.02</v>
      </c>
      <c r="S226" s="17"/>
      <c r="T226" s="17"/>
      <c r="U226" s="50">
        <v>54.61</v>
      </c>
      <c r="V226" s="50">
        <v>75.2</v>
      </c>
      <c r="W226" s="133">
        <v>79.25</v>
      </c>
      <c r="X226" s="133">
        <v>91.78</v>
      </c>
      <c r="Y226" s="50">
        <v>41.34</v>
      </c>
      <c r="Z226" s="50">
        <v>10.67</v>
      </c>
      <c r="AA226" s="50">
        <v>77.36</v>
      </c>
      <c r="AB226" s="50">
        <v>83.35</v>
      </c>
      <c r="AC226" s="50">
        <v>37.380000000000003</v>
      </c>
      <c r="AD226" s="50">
        <v>54.53</v>
      </c>
      <c r="AE226" s="17">
        <v>43.92</v>
      </c>
      <c r="AF226" s="17">
        <v>30</v>
      </c>
      <c r="AG226" s="17">
        <v>37.869999999999997</v>
      </c>
      <c r="AH226" s="17">
        <v>25.2</v>
      </c>
      <c r="AI226" s="17">
        <v>1.3320000000000001</v>
      </c>
      <c r="AJ226" s="17">
        <v>46.93</v>
      </c>
      <c r="AK226" s="17"/>
      <c r="AL226" s="17"/>
      <c r="AM226" s="17"/>
      <c r="AN226" s="17">
        <v>112</v>
      </c>
      <c r="AO226" s="17"/>
      <c r="AP226" s="17">
        <v>25.21</v>
      </c>
      <c r="AQ226" s="17"/>
      <c r="AR226" s="17"/>
      <c r="AS226" s="17"/>
      <c r="AT226" s="3" t="s">
        <v>146</v>
      </c>
      <c r="AU226" s="3"/>
    </row>
    <row r="227" spans="1:47" x14ac:dyDescent="0.2">
      <c r="A227" s="115">
        <v>225.99999999999909</v>
      </c>
      <c r="B227" s="9" t="s">
        <v>543</v>
      </c>
      <c r="C227" s="9">
        <v>21.225999999999999</v>
      </c>
      <c r="D227" s="64" t="s">
        <v>223</v>
      </c>
      <c r="E227" s="11" t="s">
        <v>223</v>
      </c>
      <c r="F227" s="3" t="s">
        <v>73</v>
      </c>
      <c r="G227" s="3" t="s">
        <v>73</v>
      </c>
      <c r="H227" s="17"/>
      <c r="I227" s="134">
        <v>44331</v>
      </c>
      <c r="J227" s="16" t="s">
        <v>142</v>
      </c>
      <c r="K227" s="16" t="s">
        <v>235</v>
      </c>
      <c r="L227" s="17"/>
      <c r="M227" s="17"/>
      <c r="N227" s="16">
        <v>269.47000000000003</v>
      </c>
      <c r="O227" s="17">
        <v>163.71</v>
      </c>
      <c r="P227" s="17">
        <v>165.35</v>
      </c>
      <c r="Q227" s="17">
        <v>31.27</v>
      </c>
      <c r="R227" s="17">
        <v>20.28</v>
      </c>
      <c r="S227" s="17"/>
      <c r="T227" s="17"/>
      <c r="U227" s="50">
        <v>42.1</v>
      </c>
      <c r="V227" s="50">
        <v>74.92</v>
      </c>
      <c r="W227" s="50">
        <v>82.82</v>
      </c>
      <c r="X227" s="50">
        <v>74.510000000000005</v>
      </c>
      <c r="Y227" s="50">
        <v>41.95</v>
      </c>
      <c r="Z227" s="50">
        <v>103.32</v>
      </c>
      <c r="AA227" s="50">
        <v>81.66</v>
      </c>
      <c r="AB227" s="50">
        <v>79.3</v>
      </c>
      <c r="AC227" s="50">
        <v>27.22</v>
      </c>
      <c r="AD227" s="50">
        <v>53.57</v>
      </c>
      <c r="AE227" s="17">
        <v>32.479999999999997</v>
      </c>
      <c r="AF227" s="17">
        <v>37.32</v>
      </c>
      <c r="AG227" s="17">
        <v>43.35</v>
      </c>
      <c r="AH227" s="17">
        <v>33.479999999999997</v>
      </c>
      <c r="AI227" s="17">
        <v>1.4530000000000001</v>
      </c>
      <c r="AJ227" s="17">
        <v>50.31</v>
      </c>
      <c r="AK227" s="17"/>
      <c r="AL227" s="17"/>
      <c r="AM227" s="17"/>
      <c r="AN227" s="17">
        <v>129</v>
      </c>
      <c r="AO227" s="17"/>
      <c r="AP227" s="17">
        <v>25.16</v>
      </c>
      <c r="AQ227" s="17"/>
      <c r="AR227" s="17"/>
      <c r="AS227" s="17"/>
      <c r="AT227" s="3" t="s">
        <v>146</v>
      </c>
      <c r="AU227" s="3"/>
    </row>
    <row r="228" spans="1:47" x14ac:dyDescent="0.2">
      <c r="A228" s="115">
        <v>227.00000000000031</v>
      </c>
      <c r="B228" s="9" t="s">
        <v>541</v>
      </c>
      <c r="C228" s="9">
        <v>21.227</v>
      </c>
      <c r="D228" s="64" t="s">
        <v>223</v>
      </c>
      <c r="E228" s="11" t="s">
        <v>223</v>
      </c>
      <c r="F228" s="3" t="s">
        <v>73</v>
      </c>
      <c r="G228" s="3" t="s">
        <v>73</v>
      </c>
      <c r="H228"/>
      <c r="I228" s="134">
        <v>44331</v>
      </c>
      <c r="J228" s="16" t="s">
        <v>142</v>
      </c>
      <c r="K228" s="16" t="s">
        <v>235</v>
      </c>
      <c r="L228" s="17"/>
      <c r="M228" s="17"/>
      <c r="N228" s="16">
        <v>267.60000000000002</v>
      </c>
      <c r="O228" s="17">
        <v>164.14</v>
      </c>
      <c r="P228" s="17">
        <v>156.56</v>
      </c>
      <c r="Q228" s="17">
        <v>35.17</v>
      </c>
      <c r="R228" s="17">
        <v>14.37</v>
      </c>
      <c r="S228" s="17"/>
      <c r="T228" s="17"/>
      <c r="U228" s="50">
        <v>58.32</v>
      </c>
      <c r="V228" s="50">
        <v>77.28</v>
      </c>
      <c r="W228" s="50">
        <v>79.739999999999995</v>
      </c>
      <c r="X228" s="50">
        <v>93.06</v>
      </c>
      <c r="Y228" s="50">
        <v>41.79</v>
      </c>
      <c r="Z228" s="50">
        <v>106.93</v>
      </c>
      <c r="AA228" s="50">
        <v>84.09</v>
      </c>
      <c r="AB228" s="50">
        <v>84.31</v>
      </c>
      <c r="AC228" s="50">
        <v>36.840000000000003</v>
      </c>
      <c r="AD228" s="50">
        <v>56.21</v>
      </c>
      <c r="AE228" s="17">
        <v>34.71</v>
      </c>
      <c r="AF228" s="17">
        <v>32.71</v>
      </c>
      <c r="AG228" s="17">
        <v>25.13</v>
      </c>
      <c r="AH228" s="17">
        <v>30.14</v>
      </c>
      <c r="AI228" s="17">
        <v>1.4159999999999999</v>
      </c>
      <c r="AJ228" s="17">
        <v>49.67</v>
      </c>
      <c r="AK228" s="17"/>
      <c r="AL228" s="17"/>
      <c r="AM228" s="17"/>
      <c r="AN228" s="17">
        <v>126</v>
      </c>
      <c r="AO228" s="17"/>
      <c r="AP228" s="17">
        <v>25.73</v>
      </c>
      <c r="AQ228" s="17"/>
      <c r="AR228" s="17"/>
      <c r="AS228" s="17"/>
      <c r="AT228" s="3" t="s">
        <v>146</v>
      </c>
      <c r="AU228" s="3"/>
    </row>
    <row r="229" spans="1:47" x14ac:dyDescent="0.2">
      <c r="A229" s="115">
        <v>228.00000000000153</v>
      </c>
      <c r="B229" s="9" t="s">
        <v>544</v>
      </c>
      <c r="C229" s="8">
        <v>21.228000000000002</v>
      </c>
      <c r="D229" s="64" t="s">
        <v>223</v>
      </c>
      <c r="E229" s="11" t="s">
        <v>223</v>
      </c>
      <c r="F229" s="3" t="s">
        <v>73</v>
      </c>
      <c r="G229" s="3" t="s">
        <v>73</v>
      </c>
      <c r="H229"/>
      <c r="I229" s="134">
        <v>44299</v>
      </c>
      <c r="J229" s="16" t="s">
        <v>142</v>
      </c>
      <c r="K229" s="16" t="s">
        <v>235</v>
      </c>
      <c r="L229" s="16"/>
      <c r="M229" s="16"/>
      <c r="N229" s="16">
        <v>249.09</v>
      </c>
      <c r="O229" s="16">
        <v>162.21</v>
      </c>
      <c r="P229" s="16">
        <v>161.47999999999999</v>
      </c>
      <c r="Q229" s="16">
        <v>35.21</v>
      </c>
      <c r="R229" s="16">
        <v>19.66</v>
      </c>
      <c r="S229" s="16"/>
      <c r="T229" s="16"/>
      <c r="U229" s="133">
        <v>50.7</v>
      </c>
      <c r="V229" s="133">
        <v>72.510000000000005</v>
      </c>
      <c r="W229" s="133">
        <v>80.33</v>
      </c>
      <c r="X229" s="133">
        <v>90.14</v>
      </c>
      <c r="Y229" s="133">
        <v>42.3</v>
      </c>
      <c r="Z229" s="133">
        <v>102.31</v>
      </c>
      <c r="AA229" s="133">
        <v>79.28</v>
      </c>
      <c r="AB229" s="133">
        <v>78.67</v>
      </c>
      <c r="AC229" s="133">
        <v>36.549999999999997</v>
      </c>
      <c r="AD229" s="133">
        <v>49.37</v>
      </c>
      <c r="AE229" s="16">
        <v>29.61</v>
      </c>
      <c r="AF229" s="16">
        <v>32.909999999999997</v>
      </c>
      <c r="AG229" s="16">
        <v>32.9</v>
      </c>
      <c r="AH229" s="16">
        <v>32.43</v>
      </c>
      <c r="AI229" s="16">
        <v>1.333</v>
      </c>
      <c r="AJ229" s="16">
        <v>48.12</v>
      </c>
      <c r="AK229" s="16"/>
      <c r="AL229" s="16"/>
      <c r="AM229" s="16"/>
      <c r="AN229" s="16">
        <v>110</v>
      </c>
      <c r="AO229" s="16"/>
      <c r="AP229" s="16">
        <v>26.51</v>
      </c>
      <c r="AQ229" s="16"/>
      <c r="AR229" s="16"/>
      <c r="AS229" s="16"/>
      <c r="AT229" s="3" t="s">
        <v>146</v>
      </c>
      <c r="AU229" s="3"/>
    </row>
    <row r="230" spans="1:47" x14ac:dyDescent="0.2">
      <c r="A230" s="115">
        <v>228.9999999999992</v>
      </c>
      <c r="B230" s="9" t="s">
        <v>543</v>
      </c>
      <c r="C230" s="8">
        <v>21.228999999999999</v>
      </c>
      <c r="D230" s="64" t="s">
        <v>223</v>
      </c>
      <c r="E230" s="11" t="s">
        <v>223</v>
      </c>
      <c r="F230" s="3" t="s">
        <v>73</v>
      </c>
      <c r="G230" s="3" t="s">
        <v>73</v>
      </c>
      <c r="H230"/>
      <c r="I230" s="134">
        <v>44299</v>
      </c>
      <c r="J230" s="16" t="s">
        <v>142</v>
      </c>
      <c r="K230" s="16" t="s">
        <v>235</v>
      </c>
      <c r="L230" s="16"/>
      <c r="M230" s="16"/>
      <c r="N230" s="16">
        <v>301.08999999999997</v>
      </c>
      <c r="O230" s="16">
        <v>185.41</v>
      </c>
      <c r="P230" s="16">
        <v>177.25</v>
      </c>
      <c r="Q230" s="16">
        <v>33.28</v>
      </c>
      <c r="R230" s="16">
        <v>21.82</v>
      </c>
      <c r="S230" s="16"/>
      <c r="T230" s="16"/>
      <c r="U230" s="133">
        <v>53.24</v>
      </c>
      <c r="V230" s="133">
        <v>73.08</v>
      </c>
      <c r="W230" s="133">
        <v>81.3</v>
      </c>
      <c r="X230" s="133">
        <v>94.68</v>
      </c>
      <c r="Y230" s="133">
        <v>44.73</v>
      </c>
      <c r="Z230" s="133">
        <v>104.81</v>
      </c>
      <c r="AA230" s="133">
        <v>85.43</v>
      </c>
      <c r="AB230" s="133">
        <v>80.900000000000006</v>
      </c>
      <c r="AC230" s="133">
        <v>30.04</v>
      </c>
      <c r="AD230" s="133">
        <v>56.87</v>
      </c>
      <c r="AE230" s="16">
        <v>33.89</v>
      </c>
      <c r="AF230" s="16">
        <v>38.81</v>
      </c>
      <c r="AG230" s="16">
        <v>39.119999999999997</v>
      </c>
      <c r="AH230" s="16">
        <v>34.01</v>
      </c>
      <c r="AI230" s="16">
        <v>1.641</v>
      </c>
      <c r="AJ230" s="16">
        <v>42.35</v>
      </c>
      <c r="AK230" s="16"/>
      <c r="AL230" s="16"/>
      <c r="AM230" s="16"/>
      <c r="AN230" s="16">
        <v>142</v>
      </c>
      <c r="AO230" s="16"/>
      <c r="AP230" s="16">
        <v>30.15</v>
      </c>
      <c r="AQ230" s="16"/>
      <c r="AR230" s="16"/>
      <c r="AS230" s="16"/>
      <c r="AT230" s="3" t="s">
        <v>146</v>
      </c>
      <c r="AU230" s="3"/>
    </row>
    <row r="231" spans="1:47" x14ac:dyDescent="0.2">
      <c r="A231" s="115">
        <v>230.00000000000043</v>
      </c>
      <c r="B231" s="9" t="s">
        <v>545</v>
      </c>
      <c r="C231" s="10" t="s">
        <v>92</v>
      </c>
      <c r="D231" t="s">
        <v>290</v>
      </c>
      <c r="E231" t="s">
        <v>291</v>
      </c>
      <c r="F231" s="3" t="s">
        <v>292</v>
      </c>
      <c r="H231"/>
      <c r="I231" s="134">
        <v>44378</v>
      </c>
      <c r="J231" s="16" t="s">
        <v>142</v>
      </c>
      <c r="K231" s="16" t="s">
        <v>235</v>
      </c>
      <c r="L231" s="17"/>
      <c r="M231" s="17"/>
      <c r="N231" s="17">
        <v>304.91000000000003</v>
      </c>
      <c r="O231" s="17">
        <v>180.86</v>
      </c>
      <c r="P231" s="17">
        <v>179.93</v>
      </c>
      <c r="Q231" s="17">
        <v>45.71</v>
      </c>
      <c r="R231" s="17">
        <v>19.61</v>
      </c>
      <c r="S231" s="17"/>
      <c r="T231" s="17"/>
      <c r="U231" s="50">
        <v>48.28</v>
      </c>
      <c r="V231" s="50">
        <v>66.2</v>
      </c>
      <c r="W231" s="50">
        <v>71.08</v>
      </c>
      <c r="X231" s="50">
        <v>90.35</v>
      </c>
      <c r="Y231" s="50">
        <v>44.05</v>
      </c>
      <c r="Z231" s="50">
        <v>102.78</v>
      </c>
      <c r="AA231" s="50">
        <v>86.71</v>
      </c>
      <c r="AB231" s="50">
        <v>75.900000000000006</v>
      </c>
      <c r="AC231" s="50">
        <v>21.81</v>
      </c>
      <c r="AD231" s="50">
        <v>58.67</v>
      </c>
      <c r="AE231" s="17">
        <v>46.56</v>
      </c>
      <c r="AF231" s="17">
        <v>43.37</v>
      </c>
      <c r="AG231" s="17">
        <v>31.66</v>
      </c>
      <c r="AH231" s="17">
        <v>45.73</v>
      </c>
      <c r="AI231" s="17">
        <v>1.2050000000000001</v>
      </c>
      <c r="AJ231" s="17">
        <v>43.51</v>
      </c>
      <c r="AK231" s="17"/>
      <c r="AL231" s="17"/>
      <c r="AM231" s="17"/>
      <c r="AN231" s="17">
        <v>146</v>
      </c>
      <c r="AO231" s="17"/>
      <c r="AP231" s="17">
        <v>43.76</v>
      </c>
      <c r="AQ231" s="17"/>
      <c r="AR231" s="17"/>
      <c r="AS231" s="17"/>
      <c r="AT231" s="3" t="s">
        <v>146</v>
      </c>
      <c r="AU231" s="3"/>
    </row>
    <row r="232" spans="1:47" x14ac:dyDescent="0.2">
      <c r="A232" s="115">
        <v>231.00000000000165</v>
      </c>
      <c r="B232" s="136" t="s">
        <v>546</v>
      </c>
      <c r="C232" s="9">
        <v>21.231000000000002</v>
      </c>
      <c r="D232" s="96" t="s">
        <v>290</v>
      </c>
      <c r="E232" t="s">
        <v>291</v>
      </c>
      <c r="F232" s="3" t="s">
        <v>292</v>
      </c>
      <c r="G232"/>
      <c r="H232"/>
      <c r="I232" s="134">
        <v>44378</v>
      </c>
      <c r="J232" s="16" t="s">
        <v>142</v>
      </c>
      <c r="K232" s="16" t="s">
        <v>235</v>
      </c>
      <c r="L232" s="17"/>
      <c r="M232" s="17"/>
      <c r="N232" s="17">
        <v>303.81</v>
      </c>
      <c r="O232" s="17">
        <v>181.76</v>
      </c>
      <c r="P232" s="17">
        <v>87.83</v>
      </c>
      <c r="Q232" s="17">
        <v>43.61</v>
      </c>
      <c r="R232" s="17">
        <v>23.63</v>
      </c>
      <c r="S232" s="17"/>
      <c r="T232" s="17"/>
      <c r="U232" s="50">
        <v>49.1</v>
      </c>
      <c r="V232" s="50">
        <v>64.819999999999993</v>
      </c>
      <c r="W232" s="50">
        <v>72.98</v>
      </c>
      <c r="X232" s="50">
        <v>91.12</v>
      </c>
      <c r="Y232" s="50">
        <v>35.64</v>
      </c>
      <c r="Z232" s="50">
        <v>102.83</v>
      </c>
      <c r="AA232" s="50">
        <v>89.01</v>
      </c>
      <c r="AB232" s="50">
        <v>82.81</v>
      </c>
      <c r="AC232" s="50">
        <v>17.46</v>
      </c>
      <c r="AD232" s="50">
        <v>59.94</v>
      </c>
      <c r="AE232" s="17">
        <v>33.03</v>
      </c>
      <c r="AF232" s="17">
        <v>48.62</v>
      </c>
      <c r="AG232" s="17">
        <v>42.04</v>
      </c>
      <c r="AH232" s="17">
        <v>49.58</v>
      </c>
      <c r="AI232" s="17">
        <v>1.405</v>
      </c>
      <c r="AJ232" s="17">
        <v>46.94</v>
      </c>
      <c r="AK232" s="17"/>
      <c r="AL232" s="17"/>
      <c r="AM232" s="17"/>
      <c r="AN232" s="17">
        <v>155</v>
      </c>
      <c r="AO232" s="17"/>
      <c r="AP232" s="17">
        <v>40.950000000000003</v>
      </c>
      <c r="AQ232" s="17"/>
      <c r="AR232" s="17"/>
      <c r="AS232" s="17"/>
      <c r="AT232" s="3" t="s">
        <v>146</v>
      </c>
      <c r="AU232" s="3"/>
    </row>
    <row r="233" spans="1:47" x14ac:dyDescent="0.2">
      <c r="A233" s="115">
        <v>231.99999999999932</v>
      </c>
      <c r="B233" s="136" t="s">
        <v>547</v>
      </c>
      <c r="C233" s="9">
        <v>21.231999999999999</v>
      </c>
      <c r="D233" s="96" t="s">
        <v>290</v>
      </c>
      <c r="E233" t="s">
        <v>291</v>
      </c>
      <c r="F233" s="3" t="s">
        <v>292</v>
      </c>
      <c r="G233" s="53">
        <v>183</v>
      </c>
      <c r="H233" s="53"/>
      <c r="I233" s="134">
        <v>44378</v>
      </c>
      <c r="J233" s="16" t="s">
        <v>142</v>
      </c>
      <c r="K233" s="16" t="s">
        <v>235</v>
      </c>
      <c r="L233" s="17"/>
      <c r="M233" s="17"/>
      <c r="N233" s="17">
        <v>293.04000000000002</v>
      </c>
      <c r="O233" s="17">
        <v>176.19</v>
      </c>
      <c r="P233" s="17">
        <v>84.12</v>
      </c>
      <c r="Q233" s="17">
        <v>43.28</v>
      </c>
      <c r="R233" s="17">
        <v>15.5</v>
      </c>
      <c r="S233" s="17"/>
      <c r="T233" s="17"/>
      <c r="U233" s="50">
        <v>47.83</v>
      </c>
      <c r="V233" s="50">
        <v>66.47</v>
      </c>
      <c r="W233" s="50">
        <v>70.8</v>
      </c>
      <c r="X233" s="50">
        <v>91.14</v>
      </c>
      <c r="Y233" s="50">
        <v>38.47</v>
      </c>
      <c r="Z233" s="50">
        <v>102.74</v>
      </c>
      <c r="AA233" s="50">
        <v>86.05</v>
      </c>
      <c r="AB233" s="50">
        <v>78.33</v>
      </c>
      <c r="AC233" s="50">
        <v>24.05</v>
      </c>
      <c r="AD233" s="50">
        <v>53.62</v>
      </c>
      <c r="AE233" s="17">
        <v>32.630000000000003</v>
      </c>
      <c r="AF233" s="17">
        <v>43.98</v>
      </c>
      <c r="AG233" s="17">
        <v>37.4</v>
      </c>
      <c r="AH233" s="17">
        <v>42.78</v>
      </c>
      <c r="AI233" s="17">
        <v>1.3759999999999999</v>
      </c>
      <c r="AJ233" s="17">
        <v>49.78</v>
      </c>
      <c r="AK233" s="17"/>
      <c r="AL233" s="17"/>
      <c r="AM233" s="17"/>
      <c r="AN233" s="17">
        <v>109</v>
      </c>
      <c r="AO233" s="17"/>
      <c r="AP233" s="17">
        <v>62.33</v>
      </c>
      <c r="AQ233" s="17"/>
      <c r="AR233" s="17"/>
      <c r="AS233" s="17"/>
      <c r="AT233" s="3" t="s">
        <v>146</v>
      </c>
      <c r="AU233" s="3"/>
    </row>
    <row r="234" spans="1:47" x14ac:dyDescent="0.2">
      <c r="A234" s="115">
        <v>233.00000000000054</v>
      </c>
      <c r="B234" s="136" t="s">
        <v>548</v>
      </c>
      <c r="C234" s="9">
        <v>21.233000000000001</v>
      </c>
      <c r="D234" s="96" t="s">
        <v>290</v>
      </c>
      <c r="E234" t="s">
        <v>291</v>
      </c>
      <c r="F234" s="3" t="s">
        <v>292</v>
      </c>
      <c r="G234"/>
      <c r="H234"/>
      <c r="I234" s="134">
        <v>44382</v>
      </c>
      <c r="J234" s="16" t="s">
        <v>142</v>
      </c>
      <c r="K234" s="16" t="s">
        <v>235</v>
      </c>
      <c r="L234" s="17"/>
      <c r="M234" s="17"/>
      <c r="N234" s="17">
        <v>297.64</v>
      </c>
      <c r="O234" s="17">
        <v>81.52</v>
      </c>
      <c r="P234" s="17">
        <v>188.66</v>
      </c>
      <c r="Q234" s="17">
        <v>40.229999999999997</v>
      </c>
      <c r="R234" s="17">
        <v>22.58</v>
      </c>
      <c r="S234" s="17"/>
      <c r="T234" s="17"/>
      <c r="U234" s="50">
        <v>49.27</v>
      </c>
      <c r="V234" s="50">
        <v>65.58</v>
      </c>
      <c r="W234" s="50">
        <v>68.05</v>
      </c>
      <c r="X234" s="50">
        <v>86.56</v>
      </c>
      <c r="Y234" s="50">
        <v>39.159999999999997</v>
      </c>
      <c r="Z234" s="50">
        <v>102.32</v>
      </c>
      <c r="AA234" s="50">
        <v>85.22</v>
      </c>
      <c r="AB234" s="50">
        <v>79.53</v>
      </c>
      <c r="AC234" s="50">
        <v>18.100000000000001</v>
      </c>
      <c r="AD234" s="50">
        <v>56.94</v>
      </c>
      <c r="AE234" s="17">
        <v>28.7</v>
      </c>
      <c r="AF234" s="17">
        <v>43.8</v>
      </c>
      <c r="AG234" s="17">
        <v>42.19</v>
      </c>
      <c r="AH234" s="17">
        <v>45.36</v>
      </c>
      <c r="AI234" s="17">
        <v>1.3939999999999999</v>
      </c>
      <c r="AJ234" s="17">
        <v>55.06</v>
      </c>
      <c r="AK234" s="17"/>
      <c r="AL234" s="17"/>
      <c r="AM234" s="17"/>
      <c r="AN234" s="17">
        <v>127</v>
      </c>
      <c r="AO234" s="17"/>
      <c r="AP234" s="17">
        <v>49.71</v>
      </c>
      <c r="AQ234" s="17"/>
      <c r="AR234" s="17"/>
      <c r="AS234" s="17"/>
      <c r="AT234" s="3" t="s">
        <v>146</v>
      </c>
      <c r="AU234" s="3"/>
    </row>
    <row r="235" spans="1:47" x14ac:dyDescent="0.2">
      <c r="A235" s="115">
        <v>234.00000000000176</v>
      </c>
      <c r="B235" s="9" t="s">
        <v>549</v>
      </c>
      <c r="C235" s="9">
        <v>21.234000000000002</v>
      </c>
      <c r="D235" s="96" t="s">
        <v>290</v>
      </c>
      <c r="E235" t="s">
        <v>291</v>
      </c>
      <c r="F235" s="3" t="s">
        <v>292</v>
      </c>
      <c r="G235">
        <v>183</v>
      </c>
      <c r="H235"/>
      <c r="I235" s="134">
        <v>44382</v>
      </c>
      <c r="J235" s="16" t="s">
        <v>142</v>
      </c>
      <c r="K235" s="16" t="s">
        <v>235</v>
      </c>
      <c r="L235" s="17"/>
      <c r="M235" s="17"/>
      <c r="N235" s="17">
        <v>288.31</v>
      </c>
      <c r="O235" s="17">
        <v>184.3</v>
      </c>
      <c r="P235" s="17">
        <v>177.89</v>
      </c>
      <c r="Q235" s="17">
        <v>39.590000000000003</v>
      </c>
      <c r="R235" s="17">
        <v>17.8</v>
      </c>
      <c r="S235" s="17"/>
      <c r="T235" s="17"/>
      <c r="U235" s="50">
        <v>47.63</v>
      </c>
      <c r="V235" s="50">
        <v>66.180000000000007</v>
      </c>
      <c r="W235" s="50">
        <v>68.53</v>
      </c>
      <c r="X235" s="50">
        <v>91.72</v>
      </c>
      <c r="Y235" s="50">
        <v>43.17</v>
      </c>
      <c r="Z235" s="50">
        <v>98.13</v>
      </c>
      <c r="AA235" s="50">
        <v>87.28</v>
      </c>
      <c r="AB235" s="50">
        <v>7.56</v>
      </c>
      <c r="AC235" s="50">
        <v>17.12</v>
      </c>
      <c r="AD235" s="50">
        <v>56.8</v>
      </c>
      <c r="AE235" s="17">
        <v>44.04</v>
      </c>
      <c r="AF235" s="17">
        <v>47.98</v>
      </c>
      <c r="AG235" s="17">
        <v>34.18</v>
      </c>
      <c r="AH235" s="17">
        <v>47.31</v>
      </c>
      <c r="AI235" s="17">
        <v>1.425</v>
      </c>
      <c r="AJ235" s="17">
        <v>57</v>
      </c>
      <c r="AK235" s="17"/>
      <c r="AL235" s="17"/>
      <c r="AM235" s="17"/>
      <c r="AN235" s="17">
        <v>75</v>
      </c>
      <c r="AO235" s="17"/>
      <c r="AP235" s="17">
        <v>82.8</v>
      </c>
      <c r="AQ235" s="17"/>
      <c r="AR235" s="17"/>
      <c r="AS235" s="17"/>
      <c r="AT235" s="3" t="s">
        <v>146</v>
      </c>
      <c r="AU235" s="3"/>
    </row>
    <row r="236" spans="1:47" x14ac:dyDescent="0.2">
      <c r="A236" s="115">
        <v>234.99999999999943</v>
      </c>
      <c r="B236" s="9" t="s">
        <v>550</v>
      </c>
      <c r="C236" s="9">
        <v>21.234999999999999</v>
      </c>
      <c r="D236" s="96" t="s">
        <v>290</v>
      </c>
      <c r="E236" t="s">
        <v>291</v>
      </c>
      <c r="F236" s="3" t="s">
        <v>292</v>
      </c>
      <c r="G236"/>
      <c r="H236"/>
      <c r="I236" s="134">
        <v>44382</v>
      </c>
      <c r="J236" s="16" t="s">
        <v>142</v>
      </c>
      <c r="K236" s="16" t="s">
        <v>235</v>
      </c>
      <c r="L236" s="17"/>
      <c r="M236" s="17"/>
      <c r="N236" s="17">
        <v>268.06</v>
      </c>
      <c r="O236" s="17">
        <v>184.38</v>
      </c>
      <c r="P236" s="17">
        <v>191.85</v>
      </c>
      <c r="Q236" s="17">
        <v>48.18</v>
      </c>
      <c r="R236" s="17">
        <v>17</v>
      </c>
      <c r="S236" s="17"/>
      <c r="T236" s="17"/>
      <c r="U236" s="50">
        <v>48.98</v>
      </c>
      <c r="V236" s="50">
        <v>64.28</v>
      </c>
      <c r="W236" s="50">
        <v>70.92</v>
      </c>
      <c r="X236" s="50">
        <v>85.58</v>
      </c>
      <c r="Y236" s="50">
        <v>40.35</v>
      </c>
      <c r="Z236" s="50">
        <v>91.08</v>
      </c>
      <c r="AA236" s="50">
        <v>77.959999999999994</v>
      </c>
      <c r="AB236" s="50">
        <v>68.819999999999993</v>
      </c>
      <c r="AC236" s="50">
        <v>23.8</v>
      </c>
      <c r="AD236" s="50">
        <v>51.05</v>
      </c>
      <c r="AE236" s="17">
        <v>29.1</v>
      </c>
      <c r="AF236" s="17">
        <v>37.909999999999997</v>
      </c>
      <c r="AG236" s="17">
        <v>36.85</v>
      </c>
      <c r="AH236" s="17">
        <v>42.84</v>
      </c>
      <c r="AI236" s="17">
        <v>1.321</v>
      </c>
      <c r="AJ236" s="17">
        <v>36.049999999999997</v>
      </c>
      <c r="AK236" s="17"/>
      <c r="AL236" s="17"/>
      <c r="AM236" s="17"/>
      <c r="AN236" s="17">
        <v>110</v>
      </c>
      <c r="AO236" s="17"/>
      <c r="AP236" s="17">
        <v>43.94</v>
      </c>
      <c r="AQ236" s="17"/>
      <c r="AR236" s="17"/>
      <c r="AS236" s="17"/>
      <c r="AT236" s="3" t="s">
        <v>146</v>
      </c>
      <c r="AU236" s="3"/>
    </row>
    <row r="237" spans="1:47" x14ac:dyDescent="0.2">
      <c r="A237" s="115">
        <v>236.00000000000065</v>
      </c>
      <c r="B237" s="9" t="s">
        <v>551</v>
      </c>
      <c r="C237" s="9">
        <v>21.236000000000001</v>
      </c>
      <c r="D237" s="96" t="s">
        <v>290</v>
      </c>
      <c r="E237" t="s">
        <v>291</v>
      </c>
      <c r="F237" s="3" t="s">
        <v>292</v>
      </c>
      <c r="G237"/>
      <c r="H237"/>
      <c r="I237" s="134">
        <v>44382</v>
      </c>
      <c r="J237" s="16" t="s">
        <v>142</v>
      </c>
      <c r="K237" s="16" t="s">
        <v>235</v>
      </c>
      <c r="L237" s="17"/>
      <c r="M237" s="17"/>
      <c r="N237" s="17">
        <v>290.33</v>
      </c>
      <c r="O237" s="17">
        <v>174.93</v>
      </c>
      <c r="P237" s="17">
        <v>181.14</v>
      </c>
      <c r="Q237" s="17">
        <v>44.38</v>
      </c>
      <c r="R237" s="17">
        <v>19.87</v>
      </c>
      <c r="S237" s="17"/>
      <c r="T237" s="17"/>
      <c r="U237" s="50">
        <v>45.43</v>
      </c>
      <c r="V237" s="50">
        <v>63.2</v>
      </c>
      <c r="W237" s="50">
        <v>73.34</v>
      </c>
      <c r="X237" s="50">
        <v>91.34</v>
      </c>
      <c r="Y237" s="50">
        <v>98.43</v>
      </c>
      <c r="Z237" s="50">
        <v>103.52</v>
      </c>
      <c r="AA237" s="50">
        <v>86.31</v>
      </c>
      <c r="AB237" s="50">
        <v>84.08</v>
      </c>
      <c r="AC237" s="50">
        <v>19.25</v>
      </c>
      <c r="AD237" s="50">
        <v>57.64</v>
      </c>
      <c r="AE237" s="17">
        <v>25.42</v>
      </c>
      <c r="AF237" s="17">
        <v>42.62</v>
      </c>
      <c r="AG237" s="17">
        <v>35.869999999999997</v>
      </c>
      <c r="AH237" s="17">
        <v>37.200000000000003</v>
      </c>
      <c r="AI237" s="17">
        <v>1.3240000000000001</v>
      </c>
      <c r="AJ237" s="17">
        <v>52.26</v>
      </c>
      <c r="AK237" s="17"/>
      <c r="AL237" s="17"/>
      <c r="AM237" s="17"/>
      <c r="AN237" s="17">
        <v>129</v>
      </c>
      <c r="AO237" s="17"/>
      <c r="AP237" s="17">
        <v>35.6</v>
      </c>
      <c r="AQ237" s="17"/>
      <c r="AR237" s="17"/>
      <c r="AS237" s="17"/>
      <c r="AT237" s="3" t="s">
        <v>146</v>
      </c>
      <c r="AU237" s="3"/>
    </row>
    <row r="238" spans="1:47" x14ac:dyDescent="0.2">
      <c r="A238" s="115">
        <v>236.99999999999832</v>
      </c>
      <c r="B238" s="9"/>
      <c r="C238" s="9">
        <v>21.236999999999998</v>
      </c>
      <c r="D238" s="131" t="s">
        <v>151</v>
      </c>
      <c r="E238" s="9" t="s">
        <v>162</v>
      </c>
      <c r="F238" s="9" t="s">
        <v>88</v>
      </c>
      <c r="G238" s="9" t="s">
        <v>88</v>
      </c>
      <c r="H238"/>
      <c r="I238" s="134">
        <v>44258</v>
      </c>
      <c r="J238" s="9" t="s">
        <v>492</v>
      </c>
      <c r="K238" s="9" t="s">
        <v>203</v>
      </c>
      <c r="N238" s="3">
        <v>215.6</v>
      </c>
      <c r="O238" s="3">
        <v>167.74</v>
      </c>
      <c r="P238" s="3">
        <v>176.59</v>
      </c>
      <c r="Q238" s="3">
        <v>38.24</v>
      </c>
      <c r="R238" s="3">
        <v>15.55</v>
      </c>
      <c r="U238" s="6">
        <v>65.010000000000005</v>
      </c>
      <c r="V238" s="6">
        <v>55.27</v>
      </c>
      <c r="W238" s="6">
        <v>69.680000000000007</v>
      </c>
      <c r="X238" s="6">
        <v>86.11</v>
      </c>
      <c r="Y238" s="6">
        <v>38.53</v>
      </c>
      <c r="Z238" s="6">
        <v>89.53</v>
      </c>
      <c r="AA238" s="6">
        <v>71.209999999999994</v>
      </c>
      <c r="AB238" s="6">
        <v>70.64</v>
      </c>
      <c r="AC238" s="6">
        <v>15.73</v>
      </c>
      <c r="AD238" s="6">
        <v>52.8</v>
      </c>
      <c r="AE238" s="3">
        <v>33.68</v>
      </c>
      <c r="AF238" s="3">
        <v>38.96</v>
      </c>
      <c r="AG238" s="3">
        <v>38.840000000000003</v>
      </c>
      <c r="AH238" s="3">
        <v>43.25</v>
      </c>
      <c r="AI238" s="3">
        <v>1.681</v>
      </c>
      <c r="AR238" s="3">
        <v>57.6</v>
      </c>
      <c r="AT238" s="3" t="s">
        <v>493</v>
      </c>
      <c r="AU238" s="3"/>
    </row>
    <row r="239" spans="1:47" x14ac:dyDescent="0.2">
      <c r="A239" s="115">
        <v>237.99999999999955</v>
      </c>
      <c r="B239" s="9"/>
      <c r="C239" s="9">
        <v>21.238</v>
      </c>
      <c r="D239" s="131" t="s">
        <v>151</v>
      </c>
      <c r="E239" s="9" t="s">
        <v>162</v>
      </c>
      <c r="F239" s="9" t="s">
        <v>88</v>
      </c>
      <c r="G239" s="9" t="s">
        <v>88</v>
      </c>
      <c r="H239"/>
      <c r="I239" s="134">
        <v>44258</v>
      </c>
      <c r="J239" s="9" t="s">
        <v>492</v>
      </c>
      <c r="K239" s="9" t="s">
        <v>203</v>
      </c>
      <c r="N239" s="3">
        <v>204.2</v>
      </c>
      <c r="O239" s="3">
        <v>159.55000000000001</v>
      </c>
      <c r="P239" s="3">
        <v>168.95</v>
      </c>
      <c r="Q239" s="3">
        <v>35.340000000000003</v>
      </c>
      <c r="R239" s="3">
        <v>19.399999999999999</v>
      </c>
      <c r="U239" s="6">
        <v>58.08</v>
      </c>
      <c r="V239" s="6">
        <v>46.42</v>
      </c>
      <c r="W239" s="6">
        <v>63.85</v>
      </c>
      <c r="X239" s="6">
        <v>80.27</v>
      </c>
      <c r="Y239" s="6">
        <v>37.630000000000003</v>
      </c>
      <c r="Z239" s="6">
        <v>86.69</v>
      </c>
      <c r="AA239" s="6">
        <v>69.739999999999995</v>
      </c>
      <c r="AB239" s="6">
        <v>73.45</v>
      </c>
      <c r="AC239" s="6">
        <v>13.1</v>
      </c>
      <c r="AD239" s="6">
        <v>54.33</v>
      </c>
      <c r="AE239" s="3">
        <v>37.880000000000003</v>
      </c>
      <c r="AF239" s="3">
        <v>39.94</v>
      </c>
      <c r="AG239" s="3">
        <v>41.28</v>
      </c>
      <c r="AH239" s="3">
        <v>43.56</v>
      </c>
      <c r="AI239" s="3">
        <v>1.7969999999999999</v>
      </c>
      <c r="AR239" s="3">
        <v>54.7</v>
      </c>
      <c r="AT239" s="3" t="s">
        <v>493</v>
      </c>
      <c r="AU239" s="3"/>
    </row>
    <row r="240" spans="1:47" x14ac:dyDescent="0.2">
      <c r="A240" s="115">
        <v>239.00000000000077</v>
      </c>
      <c r="B240" s="9"/>
      <c r="C240" s="9">
        <v>21.239000000000001</v>
      </c>
      <c r="D240" s="131" t="s">
        <v>151</v>
      </c>
      <c r="E240" s="9" t="s">
        <v>162</v>
      </c>
      <c r="F240" s="9" t="s">
        <v>88</v>
      </c>
      <c r="G240" s="9" t="s">
        <v>88</v>
      </c>
      <c r="H240"/>
      <c r="I240" s="134">
        <v>44258</v>
      </c>
      <c r="J240" s="9" t="s">
        <v>492</v>
      </c>
      <c r="K240" s="9" t="s">
        <v>203</v>
      </c>
      <c r="N240" s="3">
        <v>209.4</v>
      </c>
      <c r="O240" s="3">
        <v>164.09</v>
      </c>
      <c r="P240" s="3">
        <v>173.3</v>
      </c>
      <c r="Q240" s="3">
        <v>39.630000000000003</v>
      </c>
      <c r="R240" s="3">
        <v>14.29</v>
      </c>
      <c r="U240" s="6">
        <v>63.25</v>
      </c>
      <c r="V240" s="6">
        <v>50.63</v>
      </c>
      <c r="W240" s="6">
        <v>66.97</v>
      </c>
      <c r="X240" s="6">
        <v>85.79</v>
      </c>
      <c r="Y240" s="6">
        <v>40.72</v>
      </c>
      <c r="Z240" s="6">
        <v>91.22</v>
      </c>
      <c r="AA240" s="6">
        <v>70.489999999999995</v>
      </c>
      <c r="AB240" s="6">
        <v>71.040000000000006</v>
      </c>
      <c r="AC240" s="6">
        <v>10.94</v>
      </c>
      <c r="AD240" s="6">
        <v>52.06</v>
      </c>
      <c r="AE240" s="3">
        <v>32.6</v>
      </c>
      <c r="AF240" s="3">
        <v>42.91</v>
      </c>
      <c r="AG240" s="3">
        <v>37.9</v>
      </c>
      <c r="AH240" s="3">
        <v>44.56</v>
      </c>
      <c r="AI240" s="3">
        <v>1.6719999999999999</v>
      </c>
      <c r="AR240" s="3">
        <v>59.1</v>
      </c>
      <c r="AT240" s="3" t="s">
        <v>493</v>
      </c>
      <c r="AU240" s="3"/>
    </row>
    <row r="241" spans="1:47" x14ac:dyDescent="0.2">
      <c r="A241" s="115">
        <v>239.99999999999844</v>
      </c>
      <c r="B241" s="9"/>
      <c r="C241" s="10" t="s">
        <v>552</v>
      </c>
      <c r="D241" s="131" t="s">
        <v>151</v>
      </c>
      <c r="E241" s="9" t="s">
        <v>162</v>
      </c>
      <c r="F241" s="9" t="s">
        <v>88</v>
      </c>
      <c r="G241" s="9" t="s">
        <v>88</v>
      </c>
      <c r="H241"/>
      <c r="I241" s="134">
        <v>44258</v>
      </c>
      <c r="J241" s="9" t="s">
        <v>492</v>
      </c>
      <c r="K241" s="9" t="s">
        <v>203</v>
      </c>
      <c r="N241" s="3">
        <v>192.5</v>
      </c>
      <c r="O241" s="3">
        <v>162.62</v>
      </c>
      <c r="P241" s="3">
        <v>169.22</v>
      </c>
      <c r="Q241" s="3">
        <v>35.299999999999997</v>
      </c>
      <c r="R241" s="3">
        <v>17.34</v>
      </c>
      <c r="U241" s="6">
        <v>59.23</v>
      </c>
      <c r="V241" s="6">
        <v>47.37</v>
      </c>
      <c r="W241" s="6">
        <v>65.39</v>
      </c>
      <c r="X241" s="6">
        <v>84.4</v>
      </c>
      <c r="Y241" s="6">
        <v>38.880000000000003</v>
      </c>
      <c r="Z241" s="6">
        <v>88.64</v>
      </c>
      <c r="AA241" s="6">
        <v>67.760000000000005</v>
      </c>
      <c r="AB241" s="6">
        <v>71.81</v>
      </c>
      <c r="AC241" s="6">
        <v>13.29</v>
      </c>
      <c r="AD241" s="6">
        <v>49.33</v>
      </c>
      <c r="AE241" s="3">
        <v>38.119999999999997</v>
      </c>
      <c r="AF241" s="3">
        <v>36.67</v>
      </c>
      <c r="AG241" s="3">
        <v>45.14</v>
      </c>
      <c r="AI241" s="3">
        <v>2.4260000000000002</v>
      </c>
      <c r="AR241" s="3">
        <v>54.1</v>
      </c>
      <c r="AT241" s="3" t="s">
        <v>493</v>
      </c>
      <c r="AU241" s="3"/>
    </row>
    <row r="242" spans="1:47" x14ac:dyDescent="0.2">
      <c r="A242" s="115">
        <v>240.99999999999966</v>
      </c>
      <c r="B242" s="9"/>
      <c r="C242" s="9">
        <v>21.241</v>
      </c>
      <c r="D242" s="131" t="s">
        <v>151</v>
      </c>
      <c r="F242" s="9" t="s">
        <v>227</v>
      </c>
      <c r="G242"/>
      <c r="H242" s="9" t="s">
        <v>90</v>
      </c>
      <c r="I242" s="134">
        <v>44294</v>
      </c>
      <c r="J242" s="9" t="s">
        <v>492</v>
      </c>
      <c r="K242" s="9" t="s">
        <v>203</v>
      </c>
      <c r="N242" s="3">
        <v>180.4</v>
      </c>
      <c r="O242" s="3">
        <v>163.19</v>
      </c>
      <c r="P242" s="3">
        <v>170.71</v>
      </c>
      <c r="Q242" s="3">
        <v>34.92</v>
      </c>
      <c r="R242" s="3">
        <v>24.43</v>
      </c>
      <c r="U242" s="6">
        <v>62.11</v>
      </c>
      <c r="V242" s="6">
        <v>53.73</v>
      </c>
      <c r="W242" s="6">
        <v>71.86</v>
      </c>
      <c r="X242" s="6">
        <v>84.88</v>
      </c>
      <c r="Y242" s="6">
        <v>39.61</v>
      </c>
      <c r="Z242" s="6">
        <v>95.33</v>
      </c>
      <c r="AA242" s="6">
        <v>79.27</v>
      </c>
      <c r="AB242" s="6">
        <v>76.98</v>
      </c>
      <c r="AC242" s="6">
        <v>22.78</v>
      </c>
      <c r="AD242" s="6"/>
      <c r="AE242" s="3">
        <v>32.51</v>
      </c>
      <c r="AF242" s="3">
        <v>37.979999999999997</v>
      </c>
      <c r="AG242" s="3">
        <v>34.909999999999997</v>
      </c>
      <c r="AH242" s="3">
        <v>40.26</v>
      </c>
      <c r="AI242" s="3">
        <v>1.5469999999999999</v>
      </c>
      <c r="AR242" s="3">
        <v>48.8</v>
      </c>
      <c r="AT242" s="3" t="s">
        <v>493</v>
      </c>
      <c r="AU242" s="3"/>
    </row>
    <row r="243" spans="1:47" x14ac:dyDescent="0.2">
      <c r="A243" s="115">
        <v>242.00000000000088</v>
      </c>
      <c r="B243" s="9"/>
      <c r="C243" s="9">
        <v>21.242000000000001</v>
      </c>
      <c r="D243" s="131" t="s">
        <v>151</v>
      </c>
      <c r="F243" s="9" t="s">
        <v>227</v>
      </c>
      <c r="G243"/>
      <c r="H243" s="9" t="s">
        <v>90</v>
      </c>
      <c r="I243" s="134">
        <v>44294</v>
      </c>
      <c r="J243" s="9" t="s">
        <v>492</v>
      </c>
      <c r="K243" s="9" t="s">
        <v>203</v>
      </c>
      <c r="N243" s="3">
        <v>278.2</v>
      </c>
      <c r="O243" s="3">
        <v>165.32</v>
      </c>
      <c r="P243" s="3">
        <v>172.26</v>
      </c>
      <c r="Q243" s="3">
        <v>31.62</v>
      </c>
      <c r="R243" s="3">
        <v>21.71</v>
      </c>
      <c r="U243" s="6">
        <v>66.39</v>
      </c>
      <c r="V243" s="6">
        <v>56.49</v>
      </c>
      <c r="W243" s="6">
        <v>70.319999999999993</v>
      </c>
      <c r="X243" s="6">
        <v>85.3</v>
      </c>
      <c r="Y243" s="6">
        <v>39.869999999999997</v>
      </c>
      <c r="Z243" s="6">
        <v>97.3</v>
      </c>
      <c r="AA243" s="6">
        <v>84.43</v>
      </c>
      <c r="AB243" s="6">
        <v>76.959999999999994</v>
      </c>
      <c r="AC243" s="6">
        <v>17.09</v>
      </c>
      <c r="AD243" s="6">
        <v>57.99</v>
      </c>
      <c r="AE243" s="3">
        <v>35.15</v>
      </c>
      <c r="AF243" s="3">
        <v>38.29</v>
      </c>
      <c r="AG243" s="3">
        <v>38.04</v>
      </c>
      <c r="AH243" s="3">
        <v>40.76</v>
      </c>
      <c r="AI243" s="3">
        <v>1.091</v>
      </c>
      <c r="AR243" s="3">
        <v>55.6</v>
      </c>
      <c r="AT243" s="3" t="s">
        <v>493</v>
      </c>
      <c r="AU243" s="3"/>
    </row>
    <row r="244" spans="1:47" x14ac:dyDescent="0.2">
      <c r="A244" s="115">
        <v>242.99999999999855</v>
      </c>
      <c r="B244" s="9"/>
      <c r="C244" s="9">
        <v>21.242999999999999</v>
      </c>
      <c r="D244" s="131" t="s">
        <v>151</v>
      </c>
      <c r="F244" s="9" t="s">
        <v>227</v>
      </c>
      <c r="G244"/>
      <c r="H244" s="9" t="s">
        <v>90</v>
      </c>
      <c r="I244" s="134">
        <v>44294</v>
      </c>
      <c r="J244" s="9" t="s">
        <v>492</v>
      </c>
      <c r="K244" s="9" t="s">
        <v>203</v>
      </c>
      <c r="N244" s="3">
        <v>221.2</v>
      </c>
      <c r="O244" s="3">
        <v>159.68</v>
      </c>
      <c r="P244" s="3">
        <v>169.37</v>
      </c>
      <c r="Q244" s="3">
        <v>35.46</v>
      </c>
      <c r="R244" s="3">
        <v>22.71</v>
      </c>
      <c r="U244" s="6">
        <v>67.06</v>
      </c>
      <c r="V244" s="6">
        <v>54.53</v>
      </c>
      <c r="W244" s="6">
        <v>70.28</v>
      </c>
      <c r="X244" s="6">
        <v>83.81</v>
      </c>
      <c r="Y244" s="6">
        <v>39.39</v>
      </c>
      <c r="Z244" s="6">
        <v>90.03</v>
      </c>
      <c r="AA244" s="6">
        <v>75.260000000000005</v>
      </c>
      <c r="AB244" s="6">
        <v>76.150000000000006</v>
      </c>
      <c r="AC244" s="6">
        <v>21.79</v>
      </c>
      <c r="AD244" s="6">
        <v>50.41</v>
      </c>
      <c r="AE244" s="3">
        <v>31.82</v>
      </c>
      <c r="AF244" s="3">
        <v>37.340000000000003</v>
      </c>
      <c r="AG244" s="3">
        <v>38.31</v>
      </c>
      <c r="AH244" s="3">
        <v>41.97</v>
      </c>
      <c r="AI244" s="3">
        <v>1.59</v>
      </c>
      <c r="AR244" s="3">
        <v>54.7</v>
      </c>
      <c r="AT244" s="3" t="s">
        <v>493</v>
      </c>
      <c r="AU244" s="3"/>
    </row>
    <row r="245" spans="1:47" x14ac:dyDescent="0.2">
      <c r="A245" s="115">
        <v>243.99999999999977</v>
      </c>
      <c r="B245" s="9"/>
      <c r="C245" s="9">
        <v>21.244</v>
      </c>
      <c r="D245" s="131" t="s">
        <v>151</v>
      </c>
      <c r="F245" s="9" t="s">
        <v>227</v>
      </c>
      <c r="G245"/>
      <c r="H245" s="9" t="s">
        <v>90</v>
      </c>
      <c r="I245" s="134">
        <v>44294</v>
      </c>
      <c r="J245" s="9" t="s">
        <v>492</v>
      </c>
      <c r="K245" s="9" t="s">
        <v>203</v>
      </c>
      <c r="O245" s="3">
        <v>157.25</v>
      </c>
      <c r="P245" s="3">
        <v>171.09</v>
      </c>
      <c r="Q245" s="3">
        <v>36.4</v>
      </c>
      <c r="R245" s="3">
        <v>21.54</v>
      </c>
      <c r="U245" s="6">
        <v>66.3</v>
      </c>
      <c r="V245" s="6">
        <v>52.61</v>
      </c>
      <c r="W245" s="6">
        <v>69.569999999999993</v>
      </c>
      <c r="X245" s="6">
        <v>83.26</v>
      </c>
      <c r="Y245" s="6">
        <v>35.78</v>
      </c>
      <c r="Z245" s="6">
        <v>91.07</v>
      </c>
      <c r="AA245" s="6">
        <v>75.33</v>
      </c>
      <c r="AB245" s="6">
        <v>74.73</v>
      </c>
      <c r="AC245" s="6">
        <v>28.61</v>
      </c>
      <c r="AD245" s="6">
        <v>53.75</v>
      </c>
      <c r="AI245" s="3">
        <v>1.679</v>
      </c>
      <c r="AR245" s="3">
        <v>56.5</v>
      </c>
      <c r="AT245" s="3" t="s">
        <v>493</v>
      </c>
      <c r="AU245" s="3"/>
    </row>
    <row r="246" spans="1:47" x14ac:dyDescent="0.2">
      <c r="A246" s="115">
        <v>245.00000000000099</v>
      </c>
      <c r="B246" s="3">
        <v>68</v>
      </c>
      <c r="C246" s="8">
        <v>21.245000000000001</v>
      </c>
      <c r="D246" s="126" t="s">
        <v>168</v>
      </c>
      <c r="E246" t="s">
        <v>169</v>
      </c>
      <c r="F246" s="9" t="s">
        <v>170</v>
      </c>
      <c r="H246" s="3" t="s">
        <v>29</v>
      </c>
      <c r="I246" s="127">
        <v>44328</v>
      </c>
      <c r="J246" s="16" t="s">
        <v>142</v>
      </c>
      <c r="K246" s="16" t="s">
        <v>235</v>
      </c>
      <c r="L246" s="17"/>
      <c r="M246" s="17"/>
      <c r="N246" s="17">
        <v>281.89</v>
      </c>
      <c r="O246" s="17">
        <v>170.08</v>
      </c>
      <c r="P246" s="17">
        <v>184.67</v>
      </c>
      <c r="Q246" s="17">
        <v>36.1</v>
      </c>
      <c r="R246" s="17">
        <v>19.66</v>
      </c>
      <c r="S246" s="17">
        <v>124.29</v>
      </c>
      <c r="T246" s="17">
        <v>94.29</v>
      </c>
      <c r="U246" s="50">
        <v>70.16</v>
      </c>
      <c r="V246" s="50">
        <v>52.6</v>
      </c>
      <c r="W246" s="133">
        <v>71.03</v>
      </c>
      <c r="X246" s="133">
        <v>84.32</v>
      </c>
      <c r="Y246" s="50">
        <v>39.21</v>
      </c>
      <c r="Z246" s="50">
        <v>97.15</v>
      </c>
      <c r="AA246" s="50">
        <v>82.84</v>
      </c>
      <c r="AB246" s="50">
        <v>77.83</v>
      </c>
      <c r="AC246" s="50">
        <v>3.75</v>
      </c>
      <c r="AD246" s="50">
        <v>55.5</v>
      </c>
      <c r="AE246" s="17">
        <v>31.12</v>
      </c>
      <c r="AF246" s="17">
        <v>36.21</v>
      </c>
      <c r="AG246" s="17">
        <v>36.43</v>
      </c>
      <c r="AH246" s="17">
        <v>42.13</v>
      </c>
      <c r="AI246" s="17">
        <v>1.4350000000000001</v>
      </c>
      <c r="AJ246" s="17">
        <v>53.99</v>
      </c>
      <c r="AK246" s="17"/>
      <c r="AL246" s="17"/>
      <c r="AM246" s="17"/>
      <c r="AN246" s="17">
        <v>81</v>
      </c>
      <c r="AO246" s="17"/>
      <c r="AP246" s="17"/>
      <c r="AQ246" s="17"/>
      <c r="AR246" s="17"/>
      <c r="AS246" s="17"/>
      <c r="AT246" t="s">
        <v>146</v>
      </c>
    </row>
    <row r="247" spans="1:47" x14ac:dyDescent="0.2">
      <c r="A247" s="115">
        <v>245.99999999999866</v>
      </c>
      <c r="B247" s="9">
        <v>133</v>
      </c>
      <c r="C247" s="9">
        <v>21.245999999999999</v>
      </c>
      <c r="D247" s="126" t="s">
        <v>168</v>
      </c>
      <c r="E247" t="s">
        <v>169</v>
      </c>
      <c r="F247" s="9" t="s">
        <v>170</v>
      </c>
      <c r="G247"/>
      <c r="H247" s="3" t="s">
        <v>234</v>
      </c>
      <c r="I247" s="127">
        <v>44348</v>
      </c>
      <c r="J247" s="16" t="s">
        <v>142</v>
      </c>
      <c r="K247" s="16" t="s">
        <v>203</v>
      </c>
      <c r="L247" s="17"/>
      <c r="M247" s="17"/>
      <c r="N247" s="17">
        <v>236.61</v>
      </c>
      <c r="O247" s="17">
        <v>161.31</v>
      </c>
      <c r="P247" s="17">
        <v>174.66</v>
      </c>
      <c r="Q247" s="17">
        <v>42.14</v>
      </c>
      <c r="R247" s="17">
        <v>15.7</v>
      </c>
      <c r="S247" s="17">
        <v>117.09</v>
      </c>
      <c r="T247" s="17">
        <v>91.65</v>
      </c>
      <c r="U247" s="50">
        <v>66.650000000000006</v>
      </c>
      <c r="V247" s="50">
        <v>49.55</v>
      </c>
      <c r="W247" s="50">
        <v>68.53</v>
      </c>
      <c r="X247" s="50">
        <v>85.58</v>
      </c>
      <c r="Y247" s="50">
        <v>42.04</v>
      </c>
      <c r="Z247" s="50">
        <v>93.98</v>
      </c>
      <c r="AA247" s="50">
        <v>78.709999999999994</v>
      </c>
      <c r="AB247" s="50">
        <v>77.19</v>
      </c>
      <c r="AC247" s="50">
        <v>4.63</v>
      </c>
      <c r="AD247" s="50">
        <v>49.88</v>
      </c>
      <c r="AE247" s="17">
        <v>29.51</v>
      </c>
      <c r="AF247" s="17">
        <v>38.119999999999997</v>
      </c>
      <c r="AG247" s="17">
        <v>32.1</v>
      </c>
      <c r="AH247" s="17">
        <v>41.01</v>
      </c>
      <c r="AI247" s="17">
        <v>2.0649999999999999</v>
      </c>
      <c r="AJ247" s="17"/>
      <c r="AK247" s="17"/>
      <c r="AL247" s="17">
        <v>21.6</v>
      </c>
      <c r="AM247" s="17"/>
      <c r="AN247" s="17"/>
      <c r="AO247" s="17">
        <v>14.47</v>
      </c>
      <c r="AP247" s="17">
        <v>82.19</v>
      </c>
      <c r="AQ247" s="17">
        <v>60.17</v>
      </c>
      <c r="AR247" s="17">
        <v>54.14</v>
      </c>
      <c r="AS247" s="17">
        <v>20.727</v>
      </c>
      <c r="AT247" t="s">
        <v>146</v>
      </c>
    </row>
    <row r="248" spans="1:47" x14ac:dyDescent="0.2">
      <c r="A248" s="115">
        <v>246.99999999999989</v>
      </c>
      <c r="B248" s="9">
        <v>130</v>
      </c>
      <c r="C248" s="9">
        <v>21.247</v>
      </c>
      <c r="D248" s="126" t="s">
        <v>168</v>
      </c>
      <c r="E248" t="s">
        <v>169</v>
      </c>
      <c r="F248" s="9" t="s">
        <v>170</v>
      </c>
      <c r="G248"/>
      <c r="H248" s="3" t="s">
        <v>234</v>
      </c>
      <c r="I248" s="127">
        <v>44339</v>
      </c>
      <c r="J248" s="16" t="s">
        <v>142</v>
      </c>
      <c r="K248" s="16" t="s">
        <v>235</v>
      </c>
      <c r="L248" s="17"/>
      <c r="M248" s="17"/>
      <c r="N248" s="17">
        <v>293.14</v>
      </c>
      <c r="O248" s="17">
        <v>182.08</v>
      </c>
      <c r="P248" s="17">
        <v>181.5</v>
      </c>
      <c r="Q248" s="17">
        <v>38.729999999999997</v>
      </c>
      <c r="R248" s="17">
        <v>20.73</v>
      </c>
      <c r="S248" s="17">
        <v>126.79</v>
      </c>
      <c r="T248" s="17">
        <v>99.13</v>
      </c>
      <c r="U248" s="50">
        <v>69.47</v>
      </c>
      <c r="V248" s="50">
        <v>53.5</v>
      </c>
      <c r="W248" s="50">
        <v>70.36</v>
      </c>
      <c r="X248" s="50">
        <v>88.68</v>
      </c>
      <c r="Y248" s="50">
        <v>41.67</v>
      </c>
      <c r="Z248" s="50">
        <v>98.24</v>
      </c>
      <c r="AA248" s="50">
        <v>85.09</v>
      </c>
      <c r="AB248" s="50">
        <v>79.05</v>
      </c>
      <c r="AC248" s="50">
        <v>1.94</v>
      </c>
      <c r="AD248" s="50">
        <v>55.32</v>
      </c>
      <c r="AE248" s="17">
        <v>29.73</v>
      </c>
      <c r="AF248" s="17">
        <v>43.2</v>
      </c>
      <c r="AG248" s="17">
        <v>31.45</v>
      </c>
      <c r="AH248" s="17">
        <v>39.03</v>
      </c>
      <c r="AI248" s="17">
        <v>1.6950000000000001</v>
      </c>
      <c r="AJ248" s="17">
        <v>51.33</v>
      </c>
      <c r="AK248" s="17"/>
      <c r="AL248" s="17"/>
      <c r="AM248" s="17"/>
      <c r="AN248" s="17">
        <v>110</v>
      </c>
      <c r="AO248" s="17"/>
      <c r="AP248" s="17"/>
      <c r="AQ248" s="17"/>
      <c r="AR248" s="17"/>
      <c r="AS248" s="17"/>
      <c r="AT248" t="s">
        <v>146</v>
      </c>
    </row>
    <row r="249" spans="1:47" x14ac:dyDescent="0.2">
      <c r="A249" s="115">
        <v>248.00000000000111</v>
      </c>
      <c r="B249" s="9">
        <v>132</v>
      </c>
      <c r="C249" s="9">
        <v>21.248000000000001</v>
      </c>
      <c r="D249" s="126" t="s">
        <v>168</v>
      </c>
      <c r="E249" t="s">
        <v>169</v>
      </c>
      <c r="F249" s="9" t="s">
        <v>170</v>
      </c>
      <c r="G249"/>
      <c r="H249" s="3" t="s">
        <v>234</v>
      </c>
      <c r="I249" s="127">
        <v>44348</v>
      </c>
      <c r="J249" s="16" t="s">
        <v>142</v>
      </c>
      <c r="K249" s="16" t="s">
        <v>235</v>
      </c>
      <c r="L249" s="17"/>
      <c r="M249" s="17"/>
      <c r="N249" s="17">
        <v>280.14999999999998</v>
      </c>
      <c r="O249" s="17">
        <v>175.11</v>
      </c>
      <c r="P249" s="17">
        <v>183.8</v>
      </c>
      <c r="Q249" s="17">
        <v>36.68</v>
      </c>
      <c r="R249" s="17">
        <v>18.18</v>
      </c>
      <c r="S249" s="17">
        <v>124.96</v>
      </c>
      <c r="T249" s="17">
        <v>97.01</v>
      </c>
      <c r="U249" s="50">
        <v>68.400000000000006</v>
      </c>
      <c r="V249" s="50">
        <v>52.1</v>
      </c>
      <c r="W249" s="50">
        <v>69.540000000000006</v>
      </c>
      <c r="X249" s="50">
        <v>88.49</v>
      </c>
      <c r="Y249" s="50">
        <v>40.43</v>
      </c>
      <c r="Z249" s="50">
        <v>95.82</v>
      </c>
      <c r="AA249" s="50">
        <v>83.23</v>
      </c>
      <c r="AB249" s="50">
        <v>76.59</v>
      </c>
      <c r="AC249" s="50">
        <v>1.74</v>
      </c>
      <c r="AD249" s="50">
        <v>55.32</v>
      </c>
      <c r="AE249" s="17">
        <v>28.04</v>
      </c>
      <c r="AF249" s="17">
        <v>38.479999999999997</v>
      </c>
      <c r="AG249" s="17">
        <v>32.78</v>
      </c>
      <c r="AH249" s="17">
        <v>39.65</v>
      </c>
      <c r="AI249" s="17">
        <v>1.427</v>
      </c>
      <c r="AJ249" s="17">
        <v>46.6</v>
      </c>
      <c r="AK249" s="17"/>
      <c r="AL249" s="17"/>
      <c r="AM249" s="17"/>
      <c r="AN249" s="17">
        <v>138</v>
      </c>
      <c r="AO249" s="17"/>
      <c r="AP249" s="17"/>
      <c r="AQ249" s="17"/>
      <c r="AR249" s="17"/>
      <c r="AS249" s="17"/>
      <c r="AT249" t="s">
        <v>146</v>
      </c>
    </row>
    <row r="250" spans="1:47" x14ac:dyDescent="0.2">
      <c r="A250" s="115">
        <v>248.99999999999878</v>
      </c>
      <c r="B250" s="3">
        <v>67</v>
      </c>
      <c r="C250" s="9">
        <v>21.248999999999999</v>
      </c>
      <c r="D250" s="126" t="s">
        <v>168</v>
      </c>
      <c r="E250" t="s">
        <v>169</v>
      </c>
      <c r="F250" s="9" t="s">
        <v>170</v>
      </c>
      <c r="G250" s="3" t="s">
        <v>29</v>
      </c>
      <c r="H250"/>
      <c r="I250" s="127">
        <v>44328</v>
      </c>
      <c r="J250" s="16" t="s">
        <v>142</v>
      </c>
      <c r="K250" s="16" t="s">
        <v>235</v>
      </c>
      <c r="L250" s="17"/>
      <c r="M250" s="17"/>
      <c r="N250" s="17">
        <v>293.3</v>
      </c>
      <c r="O250" s="17">
        <v>177.11</v>
      </c>
      <c r="P250" s="17">
        <v>187.25</v>
      </c>
      <c r="Q250" s="17">
        <v>40.21</v>
      </c>
      <c r="R250" s="17">
        <v>18.010000000000002</v>
      </c>
      <c r="S250" s="17">
        <v>127.29</v>
      </c>
      <c r="T250" s="17">
        <v>99.03</v>
      </c>
      <c r="U250" s="50">
        <v>68.2</v>
      </c>
      <c r="V250" s="50">
        <v>51</v>
      </c>
      <c r="W250" s="133">
        <v>71.42</v>
      </c>
      <c r="X250" s="133">
        <v>89.59</v>
      </c>
      <c r="Y250" s="50">
        <v>41.52</v>
      </c>
      <c r="Z250" s="50">
        <v>97.41</v>
      </c>
      <c r="AA250" s="50">
        <v>84.69</v>
      </c>
      <c r="AB250" s="50">
        <v>79.23</v>
      </c>
      <c r="AC250" s="50">
        <v>1.93</v>
      </c>
      <c r="AD250" s="50">
        <v>54.83</v>
      </c>
      <c r="AE250" s="17">
        <v>32.26</v>
      </c>
      <c r="AF250" s="17">
        <v>40.22</v>
      </c>
      <c r="AG250" s="17">
        <v>33.42</v>
      </c>
      <c r="AH250" s="17">
        <v>43.31</v>
      </c>
      <c r="AI250" s="17">
        <v>1.591</v>
      </c>
      <c r="AJ250" s="17">
        <v>48.77</v>
      </c>
      <c r="AK250" s="17"/>
      <c r="AL250" s="17"/>
      <c r="AM250" s="17"/>
      <c r="AN250" s="17">
        <v>105</v>
      </c>
      <c r="AO250" s="17">
        <v>14.33</v>
      </c>
      <c r="AP250" s="17">
        <v>41.47</v>
      </c>
      <c r="AQ250" s="17"/>
      <c r="AR250" s="17">
        <v>53.26</v>
      </c>
      <c r="AS250" s="17">
        <v>20.681000000000001</v>
      </c>
      <c r="AT250" t="s">
        <v>146</v>
      </c>
    </row>
    <row r="251" spans="1:47" x14ac:dyDescent="0.2">
      <c r="A251" s="115">
        <v>250</v>
      </c>
      <c r="B251" s="9">
        <v>66</v>
      </c>
      <c r="C251" s="10" t="s">
        <v>553</v>
      </c>
      <c r="D251" s="129" t="s">
        <v>140</v>
      </c>
      <c r="E251" t="s">
        <v>141</v>
      </c>
      <c r="F251" s="9" t="s">
        <v>61</v>
      </c>
      <c r="G251"/>
      <c r="H251" s="9" t="s">
        <v>61</v>
      </c>
      <c r="I251" s="134">
        <v>44307</v>
      </c>
      <c r="J251" s="16" t="s">
        <v>142</v>
      </c>
      <c r="K251" s="16" t="s">
        <v>203</v>
      </c>
      <c r="L251" s="17"/>
      <c r="M251" s="17"/>
      <c r="N251" s="17">
        <v>206.55</v>
      </c>
      <c r="O251" s="17">
        <v>201.95</v>
      </c>
      <c r="P251" s="17">
        <v>19.28</v>
      </c>
      <c r="Q251" s="17">
        <v>55.03</v>
      </c>
      <c r="R251" s="17">
        <v>36.479999999999997</v>
      </c>
      <c r="S251" s="17">
        <v>119.2</v>
      </c>
      <c r="T251" s="17">
        <v>95.38</v>
      </c>
      <c r="U251" s="50">
        <v>58.08</v>
      </c>
      <c r="V251" s="50">
        <v>41.05</v>
      </c>
      <c r="W251" s="50">
        <v>66.760000000000005</v>
      </c>
      <c r="X251" s="50">
        <v>82.67</v>
      </c>
      <c r="Y251" s="50">
        <v>37.32</v>
      </c>
      <c r="Z251" s="50">
        <v>88.34</v>
      </c>
      <c r="AA251" s="50">
        <v>72.28</v>
      </c>
      <c r="AB251" s="50">
        <v>63.98</v>
      </c>
      <c r="AC251" s="50">
        <v>8.8699999999999992</v>
      </c>
      <c r="AD251" s="50">
        <v>48.35</v>
      </c>
      <c r="AE251" s="17">
        <v>37.78</v>
      </c>
      <c r="AF251" s="17">
        <v>36.450000000000003</v>
      </c>
      <c r="AG251" s="17">
        <v>38.33</v>
      </c>
      <c r="AH251" s="17">
        <v>37.82</v>
      </c>
      <c r="AI251" s="17">
        <v>1.93</v>
      </c>
      <c r="AJ251" s="54"/>
      <c r="AK251" s="54"/>
      <c r="AL251" s="17"/>
      <c r="AM251" s="17"/>
      <c r="AN251" s="17"/>
      <c r="AO251" s="17">
        <v>7.06</v>
      </c>
      <c r="AP251" s="17">
        <v>67.02</v>
      </c>
      <c r="AQ251" s="17">
        <v>81.92</v>
      </c>
      <c r="AR251" s="17">
        <v>44.63</v>
      </c>
      <c r="AS251" s="17">
        <v>16.356000000000002</v>
      </c>
      <c r="AT251" t="s">
        <v>146</v>
      </c>
    </row>
    <row r="252" spans="1:47" x14ac:dyDescent="0.2">
      <c r="A252" s="115">
        <v>251.00000000000122</v>
      </c>
      <c r="B252" s="9">
        <v>69</v>
      </c>
      <c r="C252" s="9">
        <v>21.251000000000001</v>
      </c>
      <c r="D252" s="129" t="s">
        <v>140</v>
      </c>
      <c r="E252" t="s">
        <v>141</v>
      </c>
      <c r="F252" s="9" t="s">
        <v>62</v>
      </c>
      <c r="G252"/>
      <c r="H252" s="9" t="s">
        <v>62</v>
      </c>
      <c r="I252" s="134">
        <v>44307</v>
      </c>
      <c r="J252" s="16" t="s">
        <v>142</v>
      </c>
      <c r="K252" s="16" t="s">
        <v>203</v>
      </c>
      <c r="L252" s="17"/>
      <c r="M252" s="17"/>
      <c r="N252" s="17">
        <v>248.53</v>
      </c>
      <c r="O252" s="17">
        <v>194.43</v>
      </c>
      <c r="P252" s="17">
        <v>215.18</v>
      </c>
      <c r="Q252" s="17">
        <v>49.56</v>
      </c>
      <c r="R252" s="17">
        <v>38.49</v>
      </c>
      <c r="S252" s="17">
        <v>129.80000000000001</v>
      </c>
      <c r="T252" s="17">
        <v>101.53</v>
      </c>
      <c r="U252" s="50">
        <v>74.12</v>
      </c>
      <c r="V252" s="50">
        <v>56.5</v>
      </c>
      <c r="W252" s="50">
        <v>76.7</v>
      </c>
      <c r="X252" s="50">
        <v>94.84</v>
      </c>
      <c r="Y252" s="50">
        <v>42.2</v>
      </c>
      <c r="Z252" s="50">
        <v>104.67</v>
      </c>
      <c r="AA252" s="50">
        <v>78.569999999999993</v>
      </c>
      <c r="AB252" s="50">
        <v>8.42</v>
      </c>
      <c r="AC252" s="50">
        <v>10.38</v>
      </c>
      <c r="AD252" s="50">
        <v>46.41</v>
      </c>
      <c r="AE252" s="17">
        <v>33.94</v>
      </c>
      <c r="AF252" s="17">
        <v>42.06</v>
      </c>
      <c r="AG252" s="17">
        <v>43.69</v>
      </c>
      <c r="AH252" s="17">
        <v>48.48</v>
      </c>
      <c r="AI252" s="17">
        <v>1.5860000000000001</v>
      </c>
      <c r="AJ252" s="54"/>
      <c r="AK252" s="54"/>
      <c r="AL252" s="17"/>
      <c r="AM252" s="17"/>
      <c r="AN252" s="17"/>
      <c r="AO252" s="17">
        <v>7.9</v>
      </c>
      <c r="AP252" s="17">
        <v>53.9</v>
      </c>
      <c r="AQ252" s="17">
        <v>133.19999999999999</v>
      </c>
      <c r="AR252" s="17">
        <v>52.38</v>
      </c>
      <c r="AS252" s="17">
        <v>19.341000000000001</v>
      </c>
      <c r="AT252" t="s">
        <v>146</v>
      </c>
    </row>
    <row r="253" spans="1:47" x14ac:dyDescent="0.2">
      <c r="A253" s="115">
        <v>251.99999999999889</v>
      </c>
      <c r="B253" s="9">
        <v>129</v>
      </c>
      <c r="C253" s="8">
        <v>21.251999999999999</v>
      </c>
      <c r="D253" s="126" t="s">
        <v>168</v>
      </c>
      <c r="E253" t="s">
        <v>169</v>
      </c>
      <c r="F253" s="17" t="s">
        <v>170</v>
      </c>
      <c r="G253"/>
      <c r="H253" s="3" t="s">
        <v>234</v>
      </c>
      <c r="I253" s="127">
        <v>44339</v>
      </c>
      <c r="J253" s="16" t="s">
        <v>142</v>
      </c>
      <c r="K253" s="16" t="s">
        <v>235</v>
      </c>
      <c r="L253" s="17"/>
      <c r="M253" s="17"/>
      <c r="N253" s="17">
        <v>314.3</v>
      </c>
      <c r="O253" s="17">
        <v>169.41</v>
      </c>
      <c r="P253" s="17">
        <v>180.12</v>
      </c>
      <c r="Q253" s="17">
        <v>35</v>
      </c>
      <c r="R253" s="17">
        <v>16.309999999999999</v>
      </c>
      <c r="S253" s="17">
        <v>125.21</v>
      </c>
      <c r="T253" s="17">
        <v>98.57</v>
      </c>
      <c r="U253" s="50">
        <v>72.150000000000006</v>
      </c>
      <c r="V253" s="50">
        <v>55.55</v>
      </c>
      <c r="W253" s="50">
        <v>72.7</v>
      </c>
      <c r="X253" s="50">
        <v>88.4</v>
      </c>
      <c r="Y253" s="50">
        <v>43.91</v>
      </c>
      <c r="Z253" s="50">
        <v>100.09</v>
      </c>
      <c r="AA253" s="50">
        <v>88.18</v>
      </c>
      <c r="AB253" s="50">
        <v>79.47</v>
      </c>
      <c r="AC253" s="50">
        <v>8.02</v>
      </c>
      <c r="AD253" s="50">
        <v>56.74</v>
      </c>
      <c r="AE253" s="17">
        <v>26.24</v>
      </c>
      <c r="AF253" s="17">
        <v>42.29</v>
      </c>
      <c r="AG253" s="17">
        <v>29.45</v>
      </c>
      <c r="AH253" s="17">
        <v>42.24</v>
      </c>
      <c r="AI253" s="17">
        <v>1.667</v>
      </c>
      <c r="AJ253" s="17">
        <v>44.59</v>
      </c>
      <c r="AK253" s="17"/>
      <c r="AL253" s="17"/>
      <c r="AM253" s="17"/>
      <c r="AN253" s="17">
        <v>154</v>
      </c>
      <c r="AO253" s="17"/>
      <c r="AP253" s="17"/>
      <c r="AQ253" s="17"/>
      <c r="AR253" s="17"/>
      <c r="AS253" s="17"/>
      <c r="AT253" t="s">
        <v>146</v>
      </c>
    </row>
    <row r="254" spans="1:47" x14ac:dyDescent="0.2">
      <c r="A254" s="115">
        <v>253.00000000000011</v>
      </c>
      <c r="B254" s="3">
        <v>127</v>
      </c>
      <c r="C254" s="9">
        <v>21.253</v>
      </c>
      <c r="D254" s="126" t="s">
        <v>168</v>
      </c>
      <c r="E254" t="s">
        <v>169</v>
      </c>
      <c r="F254" s="17" t="s">
        <v>170</v>
      </c>
      <c r="G254" s="3" t="s">
        <v>29</v>
      </c>
      <c r="H254"/>
      <c r="I254" s="127">
        <v>44328</v>
      </c>
      <c r="J254" s="16" t="s">
        <v>142</v>
      </c>
      <c r="K254" s="16" t="s">
        <v>235</v>
      </c>
      <c r="L254" s="17"/>
      <c r="M254" s="17"/>
      <c r="N254" s="17">
        <v>315.19</v>
      </c>
      <c r="O254" s="17">
        <v>174.92</v>
      </c>
      <c r="P254" s="17">
        <v>185.09</v>
      </c>
      <c r="Q254" s="17">
        <v>37.79</v>
      </c>
      <c r="R254" s="17">
        <v>14.1</v>
      </c>
      <c r="S254" s="17">
        <v>132.15</v>
      </c>
      <c r="T254" s="17">
        <v>101.63</v>
      </c>
      <c r="U254" s="50">
        <v>67.98</v>
      </c>
      <c r="V254" s="50">
        <v>54.12</v>
      </c>
      <c r="W254" s="50">
        <v>71.38</v>
      </c>
      <c r="X254" s="50">
        <v>87.68</v>
      </c>
      <c r="Y254" s="50">
        <v>40.76</v>
      </c>
      <c r="Z254" s="50">
        <v>98.99</v>
      </c>
      <c r="AA254" s="50">
        <v>88.73</v>
      </c>
      <c r="AB254" s="50">
        <v>76.569999999999993</v>
      </c>
      <c r="AC254" s="50">
        <v>5</v>
      </c>
      <c r="AD254" s="50">
        <v>56.01</v>
      </c>
      <c r="AE254" s="17">
        <v>29.37</v>
      </c>
      <c r="AF254" s="17">
        <v>39.840000000000003</v>
      </c>
      <c r="AG254" s="17">
        <v>31.6</v>
      </c>
      <c r="AH254" s="17">
        <v>45.5</v>
      </c>
      <c r="AI254" s="17">
        <v>1.468</v>
      </c>
      <c r="AJ254" s="17">
        <v>57.2</v>
      </c>
      <c r="AK254" s="17"/>
      <c r="AL254" s="17"/>
      <c r="AM254" s="17"/>
      <c r="AN254" s="17">
        <v>87</v>
      </c>
      <c r="AO254" s="17"/>
      <c r="AP254" s="17"/>
      <c r="AQ254" s="17"/>
      <c r="AR254" s="17"/>
      <c r="AS254" s="17"/>
      <c r="AT254" t="s">
        <v>146</v>
      </c>
    </row>
    <row r="255" spans="1:47" x14ac:dyDescent="0.2">
      <c r="A255" s="115">
        <v>254.00000000000134</v>
      </c>
      <c r="B255" s="9">
        <v>128</v>
      </c>
      <c r="C255" s="9">
        <v>21.254000000000001</v>
      </c>
      <c r="D255" s="126" t="s">
        <v>168</v>
      </c>
      <c r="E255" t="s">
        <v>169</v>
      </c>
      <c r="F255" s="17" t="s">
        <v>170</v>
      </c>
      <c r="G255" s="17"/>
      <c r="H255" s="3" t="s">
        <v>234</v>
      </c>
      <c r="I255" s="127">
        <v>44339</v>
      </c>
      <c r="J255" s="16" t="s">
        <v>142</v>
      </c>
      <c r="K255" s="16" t="s">
        <v>235</v>
      </c>
      <c r="L255" s="17"/>
      <c r="M255" s="17"/>
      <c r="N255" s="17">
        <v>305.60000000000002</v>
      </c>
      <c r="O255" s="17">
        <v>175.76</v>
      </c>
      <c r="P255" s="17">
        <v>188.24</v>
      </c>
      <c r="Q255" s="17">
        <v>38.409999999999997</v>
      </c>
      <c r="R255" s="17">
        <v>13.85</v>
      </c>
      <c r="S255" s="17">
        <v>131.34</v>
      </c>
      <c r="T255" s="17">
        <v>101.07</v>
      </c>
      <c r="U255" s="50">
        <v>69.8</v>
      </c>
      <c r="V255" s="50">
        <v>52.42</v>
      </c>
      <c r="W255" s="50">
        <v>69.459999999999994</v>
      </c>
      <c r="X255" s="50">
        <v>84.89</v>
      </c>
      <c r="Y255" s="50">
        <v>42.52</v>
      </c>
      <c r="Z255" s="50">
        <v>97.03</v>
      </c>
      <c r="AA255" s="50">
        <v>86.14</v>
      </c>
      <c r="AB255" s="50">
        <v>78.59</v>
      </c>
      <c r="AC255" s="50">
        <v>0.28999999999999998</v>
      </c>
      <c r="AD255" s="50">
        <v>55.11</v>
      </c>
      <c r="AE255" s="17">
        <v>27.57</v>
      </c>
      <c r="AF255" s="17">
        <v>42.11</v>
      </c>
      <c r="AG255" s="17">
        <v>25.5</v>
      </c>
      <c r="AH255" s="17">
        <v>40.03</v>
      </c>
      <c r="AI255" s="17">
        <v>1.65</v>
      </c>
      <c r="AJ255" s="17">
        <v>51.76</v>
      </c>
      <c r="AK255" s="17"/>
      <c r="AL255" s="17"/>
      <c r="AM255" s="17"/>
      <c r="AN255" s="17">
        <v>134</v>
      </c>
      <c r="AO255" s="17"/>
      <c r="AP255" s="17"/>
      <c r="AQ255" s="17"/>
      <c r="AR255" s="17"/>
      <c r="AS255" s="17"/>
      <c r="AT255" t="s">
        <v>146</v>
      </c>
    </row>
    <row r="256" spans="1:47" x14ac:dyDescent="0.2">
      <c r="A256" s="115">
        <v>254.99999999999901</v>
      </c>
      <c r="B256" s="9">
        <v>131</v>
      </c>
      <c r="C256" s="9">
        <v>21.254999999999999</v>
      </c>
      <c r="D256" s="126" t="s">
        <v>168</v>
      </c>
      <c r="E256" t="s">
        <v>169</v>
      </c>
      <c r="F256" s="17" t="s">
        <v>170</v>
      </c>
      <c r="G256"/>
      <c r="H256" s="3" t="s">
        <v>234</v>
      </c>
      <c r="I256" s="127">
        <v>44348</v>
      </c>
      <c r="J256" s="16" t="s">
        <v>142</v>
      </c>
      <c r="K256" s="16" t="s">
        <v>235</v>
      </c>
      <c r="L256" s="17"/>
      <c r="M256" s="17"/>
      <c r="N256" s="17">
        <v>301.01</v>
      </c>
      <c r="O256" s="17">
        <v>173.5</v>
      </c>
      <c r="P256" s="17">
        <v>187.14</v>
      </c>
      <c r="Q256" s="17">
        <v>38.06</v>
      </c>
      <c r="R256" s="17">
        <v>24.01</v>
      </c>
      <c r="S256" s="17">
        <v>129.22</v>
      </c>
      <c r="T256" s="17">
        <v>98.26</v>
      </c>
      <c r="U256" s="50">
        <v>68.91</v>
      </c>
      <c r="V256" s="50">
        <v>53.02</v>
      </c>
      <c r="W256" s="50">
        <v>71.28</v>
      </c>
      <c r="X256" s="50">
        <v>89.31</v>
      </c>
      <c r="Y256" s="50">
        <v>41.73</v>
      </c>
      <c r="Z256" s="50">
        <v>98.18</v>
      </c>
      <c r="AA256" s="50">
        <v>97.91</v>
      </c>
      <c r="AB256" s="50">
        <v>77.91</v>
      </c>
      <c r="AC256" s="50">
        <v>2.68</v>
      </c>
      <c r="AD256" s="50">
        <v>57.24</v>
      </c>
      <c r="AE256" s="17">
        <v>25.19</v>
      </c>
      <c r="AF256" s="17">
        <v>42.53</v>
      </c>
      <c r="AG256" s="17">
        <v>35.15</v>
      </c>
      <c r="AH256" s="17">
        <v>39.979999999999997</v>
      </c>
      <c r="AI256" s="17">
        <v>1.5269999999999999</v>
      </c>
      <c r="AJ256" s="17">
        <v>51.68</v>
      </c>
      <c r="AK256" s="17"/>
      <c r="AL256" s="17"/>
      <c r="AM256" s="17"/>
      <c r="AN256" s="17">
        <v>143</v>
      </c>
      <c r="AO256" s="17"/>
      <c r="AP256" s="17"/>
      <c r="AQ256" s="17"/>
      <c r="AR256" s="17"/>
      <c r="AS256" s="17"/>
      <c r="AT256" t="s">
        <v>146</v>
      </c>
    </row>
    <row r="257" spans="1:46" x14ac:dyDescent="0.2">
      <c r="A257" s="115">
        <v>256.00000000000023</v>
      </c>
      <c r="B257" s="9">
        <v>112</v>
      </c>
      <c r="C257" s="9">
        <v>21.256</v>
      </c>
      <c r="D257" s="126" t="s">
        <v>168</v>
      </c>
      <c r="E257" t="s">
        <v>232</v>
      </c>
      <c r="F257" s="17" t="s">
        <v>170</v>
      </c>
      <c r="G257"/>
      <c r="H257" s="3" t="s">
        <v>275</v>
      </c>
      <c r="I257" s="127">
        <v>44375</v>
      </c>
      <c r="J257" s="16" t="s">
        <v>142</v>
      </c>
      <c r="K257" s="16" t="s">
        <v>235</v>
      </c>
      <c r="L257" s="17"/>
      <c r="M257" s="17"/>
      <c r="N257" s="17">
        <v>157.05000000000001</v>
      </c>
      <c r="O257" s="17">
        <v>151.02000000000001</v>
      </c>
      <c r="P257" s="17">
        <v>152.82</v>
      </c>
      <c r="Q257" s="17">
        <v>42.73</v>
      </c>
      <c r="R257" s="17">
        <v>9.4600000000000009</v>
      </c>
      <c r="S257" s="17">
        <v>102.24</v>
      </c>
      <c r="T257" s="17">
        <v>84.25</v>
      </c>
      <c r="U257" s="50">
        <v>64.12</v>
      </c>
      <c r="V257" s="50">
        <v>51.45</v>
      </c>
      <c r="W257" s="50">
        <v>65.28</v>
      </c>
      <c r="X257" s="50">
        <v>75.599999999999994</v>
      </c>
      <c r="Y257" s="50">
        <v>33.08</v>
      </c>
      <c r="Z257" s="50">
        <v>85.49</v>
      </c>
      <c r="AA257" s="50">
        <v>71.650000000000006</v>
      </c>
      <c r="AB257" s="50">
        <v>65.27</v>
      </c>
      <c r="AC257" s="50">
        <v>9.2100000000000009</v>
      </c>
      <c r="AD257" s="50">
        <v>42.82</v>
      </c>
      <c r="AE257" s="17">
        <v>21.3</v>
      </c>
      <c r="AF257" s="17">
        <v>25.24</v>
      </c>
      <c r="AG257" s="17">
        <v>23.14</v>
      </c>
      <c r="AH257" s="17">
        <v>30.37</v>
      </c>
      <c r="AI257" s="17">
        <v>0.77700000000000002</v>
      </c>
      <c r="AJ257" s="17">
        <v>22.81</v>
      </c>
      <c r="AK257" s="17"/>
      <c r="AL257" s="17"/>
      <c r="AM257" s="17"/>
      <c r="AN257" s="17">
        <v>57.5</v>
      </c>
      <c r="AO257" s="17"/>
      <c r="AP257" s="17"/>
      <c r="AQ257" s="17"/>
      <c r="AR257" s="17"/>
      <c r="AS257" s="17"/>
      <c r="AT257" t="s">
        <v>146</v>
      </c>
    </row>
    <row r="258" spans="1:46" x14ac:dyDescent="0.2">
      <c r="A258" s="115">
        <v>257.00000000000148</v>
      </c>
      <c r="B258" s="9">
        <v>109</v>
      </c>
      <c r="C258" s="8">
        <v>21.257000000000001</v>
      </c>
      <c r="D258" s="126" t="s">
        <v>168</v>
      </c>
      <c r="E258" t="s">
        <v>232</v>
      </c>
      <c r="F258" s="17" t="s">
        <v>170</v>
      </c>
      <c r="G258"/>
      <c r="H258" s="3" t="s">
        <v>275</v>
      </c>
      <c r="I258" s="127">
        <v>44375</v>
      </c>
      <c r="J258" s="16" t="s">
        <v>142</v>
      </c>
      <c r="K258" s="16" t="s">
        <v>235</v>
      </c>
      <c r="L258" s="17"/>
      <c r="M258" s="17"/>
      <c r="N258" s="17">
        <v>195.69</v>
      </c>
      <c r="O258" s="17">
        <v>161.74</v>
      </c>
      <c r="P258" s="17">
        <v>172.72</v>
      </c>
      <c r="Q258" s="17">
        <v>43.54</v>
      </c>
      <c r="R258" s="17">
        <v>10.3</v>
      </c>
      <c r="S258" s="17">
        <v>113.19</v>
      </c>
      <c r="T258" s="17">
        <v>91.55</v>
      </c>
      <c r="U258" s="50">
        <v>65.48</v>
      </c>
      <c r="V258" s="50">
        <v>49.33</v>
      </c>
      <c r="W258" s="50">
        <v>67.64</v>
      </c>
      <c r="X258" s="50">
        <v>83.95</v>
      </c>
      <c r="Y258" s="50">
        <v>34.520000000000003</v>
      </c>
      <c r="Z258" s="50">
        <v>90.41</v>
      </c>
      <c r="AA258" s="50">
        <v>75.05</v>
      </c>
      <c r="AB258" s="50">
        <v>67.39</v>
      </c>
      <c r="AC258" s="50">
        <v>3.26</v>
      </c>
      <c r="AD258" s="50">
        <v>47.67</v>
      </c>
      <c r="AE258" s="17">
        <v>22.5</v>
      </c>
      <c r="AF258" s="17">
        <v>27.93</v>
      </c>
      <c r="AG258" s="17">
        <v>21.4</v>
      </c>
      <c r="AH258" s="17">
        <v>27.61</v>
      </c>
      <c r="AI258" s="17">
        <v>1.2909999999999999</v>
      </c>
      <c r="AJ258" s="17">
        <v>28.32</v>
      </c>
      <c r="AK258" s="17"/>
      <c r="AL258" s="17"/>
      <c r="AM258" s="17">
        <v>43</v>
      </c>
      <c r="AN258" s="17">
        <v>27.5</v>
      </c>
      <c r="AO258" s="17"/>
      <c r="AP258" s="17"/>
      <c r="AQ258" s="17"/>
      <c r="AR258" s="17"/>
      <c r="AS258" s="17"/>
      <c r="AT258" t="s">
        <v>146</v>
      </c>
    </row>
    <row r="259" spans="1:46" x14ac:dyDescent="0.2">
      <c r="A259" s="115">
        <v>257.99999999999909</v>
      </c>
      <c r="B259" s="9">
        <v>110</v>
      </c>
      <c r="C259" s="9">
        <v>21.257999999999999</v>
      </c>
      <c r="D259" s="126" t="s">
        <v>168</v>
      </c>
      <c r="E259" t="s">
        <v>232</v>
      </c>
      <c r="F259" s="17" t="s">
        <v>170</v>
      </c>
      <c r="G259"/>
      <c r="H259" s="3" t="s">
        <v>275</v>
      </c>
      <c r="I259" s="127">
        <v>44375</v>
      </c>
      <c r="J259" s="16" t="s">
        <v>142</v>
      </c>
      <c r="K259" s="16" t="s">
        <v>235</v>
      </c>
      <c r="L259" s="17"/>
      <c r="M259" s="17"/>
      <c r="N259" s="17">
        <v>201.75</v>
      </c>
      <c r="O259" s="17">
        <v>157.28</v>
      </c>
      <c r="P259" s="17">
        <v>161.58000000000001</v>
      </c>
      <c r="Q259" s="17">
        <v>40.24</v>
      </c>
      <c r="R259" s="17">
        <v>14.96</v>
      </c>
      <c r="S259" s="17">
        <v>113.96</v>
      </c>
      <c r="T259" s="17">
        <v>88.09</v>
      </c>
      <c r="U259" s="50">
        <v>66.92</v>
      </c>
      <c r="V259" s="50">
        <v>50.34</v>
      </c>
      <c r="W259" s="50">
        <v>69.02</v>
      </c>
      <c r="X259" s="50">
        <v>79.37</v>
      </c>
      <c r="Y259" s="50">
        <v>35.93</v>
      </c>
      <c r="Z259" s="50">
        <v>88.13</v>
      </c>
      <c r="AA259" s="50">
        <v>76.3</v>
      </c>
      <c r="AB259" s="50">
        <v>66.069999999999993</v>
      </c>
      <c r="AC259" s="50">
        <v>3.48</v>
      </c>
      <c r="AD259" s="50">
        <v>48.7</v>
      </c>
      <c r="AE259" s="17">
        <v>22.6</v>
      </c>
      <c r="AF259" s="17">
        <v>29.23</v>
      </c>
      <c r="AG259" s="17">
        <v>30.81</v>
      </c>
      <c r="AH259" s="17">
        <v>32.17</v>
      </c>
      <c r="AI259" s="17">
        <v>1.1839999999999999</v>
      </c>
      <c r="AJ259" s="17">
        <v>29.39</v>
      </c>
      <c r="AK259" s="17"/>
      <c r="AL259" s="17"/>
      <c r="AM259" s="17">
        <v>56.5</v>
      </c>
      <c r="AN259" s="17">
        <v>22.5</v>
      </c>
      <c r="AO259" s="17"/>
      <c r="AP259" s="17"/>
      <c r="AQ259" s="17"/>
      <c r="AR259" s="17"/>
      <c r="AS259" s="17"/>
      <c r="AT259" t="s">
        <v>146</v>
      </c>
    </row>
    <row r="260" spans="1:46" x14ac:dyDescent="0.2">
      <c r="A260" s="115">
        <v>259.00000000000034</v>
      </c>
      <c r="B260" s="9">
        <v>111</v>
      </c>
      <c r="C260" s="9">
        <v>21.259</v>
      </c>
      <c r="D260" s="126" t="s">
        <v>168</v>
      </c>
      <c r="E260" t="s">
        <v>232</v>
      </c>
      <c r="F260" s="17" t="s">
        <v>170</v>
      </c>
      <c r="G260"/>
      <c r="H260" s="3" t="s">
        <v>275</v>
      </c>
      <c r="I260" s="127">
        <v>44375</v>
      </c>
      <c r="J260" s="16" t="s">
        <v>142</v>
      </c>
      <c r="K260" s="16" t="s">
        <v>203</v>
      </c>
      <c r="L260" s="17"/>
      <c r="M260" s="17"/>
      <c r="N260" s="17">
        <v>127.3</v>
      </c>
      <c r="O260" s="17">
        <v>146.65</v>
      </c>
      <c r="P260" s="17">
        <v>154.6</v>
      </c>
      <c r="Q260" s="17">
        <v>36.43</v>
      </c>
      <c r="R260" s="17">
        <v>17.52</v>
      </c>
      <c r="S260" s="17">
        <v>100.49</v>
      </c>
      <c r="T260" s="17">
        <v>80.459999999999994</v>
      </c>
      <c r="U260" s="50">
        <v>65.849999999999994</v>
      </c>
      <c r="V260" s="50">
        <v>51.17</v>
      </c>
      <c r="W260" s="50">
        <v>65.180000000000007</v>
      </c>
      <c r="X260" s="50">
        <v>76.63</v>
      </c>
      <c r="Y260" s="50">
        <v>33.630000000000003</v>
      </c>
      <c r="Z260" s="50">
        <v>80.790000000000006</v>
      </c>
      <c r="AA260" s="50">
        <v>66.72</v>
      </c>
      <c r="AB260" s="50">
        <v>65.260000000000005</v>
      </c>
      <c r="AC260" s="50">
        <v>5.09</v>
      </c>
      <c r="AD260" s="50">
        <v>38.700000000000003</v>
      </c>
      <c r="AE260" s="17">
        <v>21.86</v>
      </c>
      <c r="AF260" s="17">
        <v>22.59</v>
      </c>
      <c r="AG260" s="17">
        <v>23.84</v>
      </c>
      <c r="AH260" s="17">
        <v>26.7</v>
      </c>
      <c r="AI260" s="17">
        <v>1.103</v>
      </c>
      <c r="AJ260" s="17"/>
      <c r="AK260" s="17"/>
      <c r="AL260" s="17">
        <v>7.2</v>
      </c>
      <c r="AM260" s="17"/>
      <c r="AN260" s="17"/>
      <c r="AO260" s="17">
        <v>10.45</v>
      </c>
      <c r="AP260" s="17">
        <v>61.9</v>
      </c>
      <c r="AQ260" s="17">
        <v>17.989999999999998</v>
      </c>
      <c r="AR260" s="17">
        <v>27.31</v>
      </c>
      <c r="AS260" s="17"/>
      <c r="AT260" t="s">
        <v>146</v>
      </c>
    </row>
    <row r="261" spans="1:46" x14ac:dyDescent="0.2">
      <c r="A261" s="115">
        <v>260.00000000000159</v>
      </c>
      <c r="B261" s="9">
        <v>141</v>
      </c>
      <c r="C261" s="10" t="s">
        <v>5</v>
      </c>
      <c r="D261" s="126" t="s">
        <v>168</v>
      </c>
      <c r="E261" t="s">
        <v>169</v>
      </c>
      <c r="F261" s="17" t="s">
        <v>170</v>
      </c>
      <c r="G261" s="3" t="s">
        <v>29</v>
      </c>
      <c r="H261"/>
      <c r="I261" s="127">
        <v>44367</v>
      </c>
      <c r="J261" s="16" t="s">
        <v>142</v>
      </c>
      <c r="K261" s="16" t="s">
        <v>235</v>
      </c>
      <c r="L261" s="17"/>
      <c r="M261" s="17"/>
      <c r="N261" s="17">
        <v>263.17</v>
      </c>
      <c r="O261" s="17">
        <v>170.64</v>
      </c>
      <c r="P261" s="17">
        <v>176.52</v>
      </c>
      <c r="Q261" s="17">
        <v>37.020000000000003</v>
      </c>
      <c r="R261" s="17">
        <v>16.54</v>
      </c>
      <c r="S261" s="17">
        <v>117.38</v>
      </c>
      <c r="T261" s="17">
        <v>92.88</v>
      </c>
      <c r="U261" s="50">
        <v>71.02</v>
      </c>
      <c r="V261" s="50">
        <v>50.29</v>
      </c>
      <c r="W261" s="50">
        <v>72.33</v>
      </c>
      <c r="X261" s="50">
        <v>80.83</v>
      </c>
      <c r="Y261" s="50">
        <v>38.85</v>
      </c>
      <c r="Z261" s="50">
        <v>87.62</v>
      </c>
      <c r="AA261" s="50">
        <v>73.89</v>
      </c>
      <c r="AB261" s="50">
        <v>70.959999999999994</v>
      </c>
      <c r="AC261" s="50">
        <v>4.1500000000000004</v>
      </c>
      <c r="AD261" s="50">
        <v>58.89</v>
      </c>
      <c r="AE261" s="17">
        <v>27.45</v>
      </c>
      <c r="AF261" s="17">
        <v>38.380000000000003</v>
      </c>
      <c r="AG261" s="17">
        <v>29.09</v>
      </c>
      <c r="AH261" s="17">
        <v>38.82</v>
      </c>
      <c r="AI261" s="17">
        <v>1.593</v>
      </c>
      <c r="AJ261" s="17">
        <v>51.5</v>
      </c>
      <c r="AK261" s="17"/>
      <c r="AL261" s="17"/>
      <c r="AM261" s="17"/>
      <c r="AN261" s="17">
        <v>130</v>
      </c>
      <c r="AO261" s="17"/>
      <c r="AP261" s="17"/>
      <c r="AQ261" s="17"/>
      <c r="AR261" s="17"/>
      <c r="AS261" s="17"/>
      <c r="AT261" t="s">
        <v>146</v>
      </c>
    </row>
    <row r="262" spans="1:46" x14ac:dyDescent="0.2">
      <c r="A262" s="115">
        <v>260.9999999999992</v>
      </c>
      <c r="B262" s="9">
        <v>139</v>
      </c>
      <c r="C262" s="3">
        <v>21.260999999999999</v>
      </c>
      <c r="D262" s="126" t="s">
        <v>168</v>
      </c>
      <c r="E262" t="s">
        <v>169</v>
      </c>
      <c r="F262" s="17" t="s">
        <v>170</v>
      </c>
      <c r="G262" s="3" t="s">
        <v>29</v>
      </c>
      <c r="H262"/>
      <c r="I262" s="127">
        <v>44362</v>
      </c>
      <c r="J262" s="16" t="s">
        <v>142</v>
      </c>
      <c r="K262" s="16" t="s">
        <v>235</v>
      </c>
      <c r="L262" s="17"/>
      <c r="M262" s="17"/>
      <c r="N262" s="17">
        <v>286.72000000000003</v>
      </c>
      <c r="O262" s="16">
        <v>178.15</v>
      </c>
      <c r="P262" s="17">
        <v>181.13</v>
      </c>
      <c r="Q262" s="17">
        <v>40.65</v>
      </c>
      <c r="R262" s="17">
        <v>17.059999999999999</v>
      </c>
      <c r="S262" s="17">
        <v>122.74</v>
      </c>
      <c r="T262" s="17">
        <v>106.23</v>
      </c>
      <c r="U262" s="50">
        <v>67.84</v>
      </c>
      <c r="V262" s="50">
        <v>50.92</v>
      </c>
      <c r="W262" s="50">
        <v>69.89</v>
      </c>
      <c r="X262" s="50">
        <v>81.58</v>
      </c>
      <c r="Y262" s="50">
        <v>40.700000000000003</v>
      </c>
      <c r="Z262" s="50">
        <v>86.63</v>
      </c>
      <c r="AA262" s="50">
        <v>70.790000000000006</v>
      </c>
      <c r="AB262" s="50">
        <v>71.72</v>
      </c>
      <c r="AC262" s="50">
        <v>1.62</v>
      </c>
      <c r="AD262" s="50">
        <v>58.28</v>
      </c>
      <c r="AE262" s="17">
        <v>24.64</v>
      </c>
      <c r="AF262" s="17">
        <v>38.79</v>
      </c>
      <c r="AG262" s="17">
        <v>30.97</v>
      </c>
      <c r="AH262" s="17">
        <v>41.72</v>
      </c>
      <c r="AI262" s="17">
        <v>1.5369999999999999</v>
      </c>
      <c r="AJ262" s="17">
        <v>50.45</v>
      </c>
      <c r="AK262" s="17"/>
      <c r="AL262" s="17"/>
      <c r="AM262" s="17"/>
      <c r="AN262" s="17">
        <v>116</v>
      </c>
      <c r="AO262" s="17"/>
      <c r="AP262" s="17"/>
      <c r="AQ262" s="17"/>
      <c r="AR262" s="17"/>
      <c r="AS262" s="17"/>
      <c r="AT262" t="s">
        <v>146</v>
      </c>
    </row>
    <row r="263" spans="1:46" x14ac:dyDescent="0.2">
      <c r="A263" s="115">
        <v>262.00000000000045</v>
      </c>
      <c r="B263" s="9">
        <v>140</v>
      </c>
      <c r="C263" s="8">
        <v>21.262</v>
      </c>
      <c r="D263" s="126" t="s">
        <v>168</v>
      </c>
      <c r="E263" t="s">
        <v>169</v>
      </c>
      <c r="F263" s="17" t="s">
        <v>170</v>
      </c>
      <c r="G263" s="3" t="s">
        <v>29</v>
      </c>
      <c r="H263"/>
      <c r="I263" s="127">
        <v>44362</v>
      </c>
      <c r="J263" s="16" t="s">
        <v>142</v>
      </c>
      <c r="K263" s="16" t="s">
        <v>235</v>
      </c>
      <c r="L263" s="17"/>
      <c r="M263" s="17"/>
      <c r="N263" s="17">
        <v>287.45</v>
      </c>
      <c r="O263" s="17">
        <v>173.21</v>
      </c>
      <c r="P263" s="17">
        <v>182.99</v>
      </c>
      <c r="Q263" s="17">
        <v>34.729999999999997</v>
      </c>
      <c r="R263" s="17">
        <v>18.670000000000002</v>
      </c>
      <c r="S263" s="17">
        <v>126.9</v>
      </c>
      <c r="T263" s="17">
        <v>96.55</v>
      </c>
      <c r="U263" s="50">
        <v>69.63</v>
      </c>
      <c r="V263" s="50">
        <v>53.14</v>
      </c>
      <c r="W263" s="50">
        <v>70.22</v>
      </c>
      <c r="X263" s="50">
        <v>86.03</v>
      </c>
      <c r="Y263" s="50">
        <v>39.119999999999997</v>
      </c>
      <c r="Z263" s="50">
        <v>95.25</v>
      </c>
      <c r="AA263" s="50">
        <v>82.31</v>
      </c>
      <c r="AB263" s="50">
        <v>74.31</v>
      </c>
      <c r="AC263" s="50">
        <v>3.55</v>
      </c>
      <c r="AD263" s="50">
        <v>57.58</v>
      </c>
      <c r="AE263" s="50">
        <v>27.4</v>
      </c>
      <c r="AF263" s="17">
        <v>37.799999999999997</v>
      </c>
      <c r="AG263" s="17">
        <v>27.89</v>
      </c>
      <c r="AH263" s="17">
        <v>35.18</v>
      </c>
      <c r="AI263" s="17">
        <v>1.45</v>
      </c>
      <c r="AJ263" s="17">
        <v>51.32</v>
      </c>
      <c r="AK263" s="17"/>
      <c r="AL263" s="17"/>
      <c r="AM263" s="17"/>
      <c r="AN263" s="17">
        <v>129</v>
      </c>
      <c r="AO263" s="17"/>
      <c r="AP263" s="17"/>
      <c r="AQ263" s="17"/>
      <c r="AR263" s="17"/>
      <c r="AS263" s="17"/>
      <c r="AT263" t="s">
        <v>146</v>
      </c>
    </row>
    <row r="264" spans="1:46" x14ac:dyDescent="0.2">
      <c r="A264" s="115">
        <v>263.00000000000171</v>
      </c>
      <c r="B264" s="9">
        <v>138</v>
      </c>
      <c r="C264" s="9">
        <v>21.263000000000002</v>
      </c>
      <c r="D264" s="126" t="s">
        <v>168</v>
      </c>
      <c r="E264" t="s">
        <v>169</v>
      </c>
      <c r="F264" s="17" t="s">
        <v>170</v>
      </c>
      <c r="G264" s="3" t="s">
        <v>29</v>
      </c>
      <c r="H264" s="11"/>
      <c r="I264" s="127">
        <v>44362</v>
      </c>
      <c r="J264" s="16" t="s">
        <v>142</v>
      </c>
      <c r="K264" s="16" t="s">
        <v>235</v>
      </c>
      <c r="L264" s="17"/>
      <c r="M264" s="17"/>
      <c r="N264" s="17">
        <v>293.16000000000003</v>
      </c>
      <c r="O264" s="17">
        <v>179</v>
      </c>
      <c r="P264" s="17">
        <v>190.29</v>
      </c>
      <c r="Q264" s="17">
        <v>35.58</v>
      </c>
      <c r="R264" s="17">
        <v>16.260000000000002</v>
      </c>
      <c r="S264" s="17">
        <v>129.61000000000001</v>
      </c>
      <c r="T264" s="17">
        <v>100.42</v>
      </c>
      <c r="U264" s="50">
        <v>69.010000000000005</v>
      </c>
      <c r="V264" s="50">
        <v>52.08</v>
      </c>
      <c r="W264" s="50">
        <v>69.599999999999994</v>
      </c>
      <c r="X264" s="50">
        <v>87.79</v>
      </c>
      <c r="Y264" s="50">
        <v>41.29</v>
      </c>
      <c r="Z264" s="50">
        <v>95.98</v>
      </c>
      <c r="AA264" s="50">
        <v>85.09</v>
      </c>
      <c r="AB264" s="50">
        <v>73.84</v>
      </c>
      <c r="AC264" s="50">
        <v>7.22</v>
      </c>
      <c r="AD264" s="50">
        <v>55.79</v>
      </c>
      <c r="AE264" s="17">
        <v>32.69</v>
      </c>
      <c r="AF264" s="17">
        <v>36.65</v>
      </c>
      <c r="AG264" s="17">
        <v>33.549999999999997</v>
      </c>
      <c r="AH264" s="17">
        <v>41.78</v>
      </c>
      <c r="AI264" s="17">
        <v>1.599</v>
      </c>
      <c r="AJ264" s="17"/>
      <c r="AK264" s="17"/>
      <c r="AL264" s="17"/>
      <c r="AM264" s="17"/>
      <c r="AN264" s="17">
        <v>168</v>
      </c>
      <c r="AO264" s="17"/>
      <c r="AP264" s="17"/>
      <c r="AQ264" s="17"/>
      <c r="AR264" s="17"/>
      <c r="AS264" s="17"/>
      <c r="AT264" t="s">
        <v>146</v>
      </c>
    </row>
    <row r="265" spans="1:46" x14ac:dyDescent="0.2">
      <c r="A265" s="115">
        <v>263.99999999999932</v>
      </c>
      <c r="B265" s="9">
        <v>137</v>
      </c>
      <c r="C265" s="9">
        <v>21.263999999999999</v>
      </c>
      <c r="D265" s="126" t="s">
        <v>168</v>
      </c>
      <c r="E265" t="s">
        <v>169</v>
      </c>
      <c r="F265" s="17" t="s">
        <v>170</v>
      </c>
      <c r="G265" s="3" t="s">
        <v>29</v>
      </c>
      <c r="H265" s="11"/>
      <c r="I265" s="127">
        <v>44362</v>
      </c>
      <c r="J265" s="16" t="s">
        <v>142</v>
      </c>
      <c r="K265" s="16" t="s">
        <v>235</v>
      </c>
      <c r="L265" s="17"/>
      <c r="M265" s="17"/>
      <c r="N265" s="17">
        <v>285.11</v>
      </c>
      <c r="O265" s="17">
        <v>166.67</v>
      </c>
      <c r="P265" s="17">
        <v>177.42</v>
      </c>
      <c r="Q265" s="17">
        <v>34.28</v>
      </c>
      <c r="R265" s="17">
        <v>15.65</v>
      </c>
      <c r="S265" s="17">
        <v>124.83</v>
      </c>
      <c r="T265" s="17">
        <v>95.16</v>
      </c>
      <c r="U265" s="50">
        <v>69.930000000000007</v>
      </c>
      <c r="V265" s="50">
        <v>52.23</v>
      </c>
      <c r="W265" s="50">
        <v>70.03</v>
      </c>
      <c r="X265" s="50">
        <v>86.57</v>
      </c>
      <c r="Y265" s="50">
        <v>38.54</v>
      </c>
      <c r="Z265" s="50">
        <v>95.92</v>
      </c>
      <c r="AA265" s="50">
        <v>83.82</v>
      </c>
      <c r="AB265" s="50">
        <v>74.19</v>
      </c>
      <c r="AC265" s="50">
        <v>1.07</v>
      </c>
      <c r="AD265" s="50">
        <v>59.75</v>
      </c>
      <c r="AE265" s="17">
        <v>25.5</v>
      </c>
      <c r="AF265" s="17">
        <v>40.950000000000003</v>
      </c>
      <c r="AG265" s="17">
        <v>25.84</v>
      </c>
      <c r="AH265" s="17">
        <v>35.049999999999997</v>
      </c>
      <c r="AI265" s="17">
        <v>1.548</v>
      </c>
      <c r="AJ265" s="17">
        <v>49.73</v>
      </c>
      <c r="AK265" s="17"/>
      <c r="AL265" s="17"/>
      <c r="AM265" s="17"/>
      <c r="AN265" s="17">
        <v>136</v>
      </c>
      <c r="AO265" s="17"/>
      <c r="AP265" s="17"/>
      <c r="AQ265" s="17"/>
      <c r="AR265" s="17"/>
      <c r="AS265" s="17"/>
      <c r="AT265" t="s">
        <v>146</v>
      </c>
    </row>
    <row r="266" spans="1:46" x14ac:dyDescent="0.2">
      <c r="A266" s="115">
        <v>265.00000000000057</v>
      </c>
      <c r="B266" s="9">
        <v>136</v>
      </c>
      <c r="C266" s="9">
        <v>21.265000000000001</v>
      </c>
      <c r="D266" s="126" t="s">
        <v>168</v>
      </c>
      <c r="E266" t="s">
        <v>169</v>
      </c>
      <c r="F266" s="17" t="s">
        <v>170</v>
      </c>
      <c r="G266" s="11"/>
      <c r="H266" s="3" t="s">
        <v>234</v>
      </c>
      <c r="I266" s="127">
        <v>44362</v>
      </c>
      <c r="J266" s="16" t="s">
        <v>142</v>
      </c>
      <c r="K266" s="16" t="s">
        <v>235</v>
      </c>
      <c r="L266" s="17"/>
      <c r="M266" s="17"/>
      <c r="N266" s="17">
        <v>303.3</v>
      </c>
      <c r="O266" s="17">
        <v>174.1</v>
      </c>
      <c r="P266" s="17">
        <v>182.65</v>
      </c>
      <c r="Q266" s="17">
        <v>35.549999999999997</v>
      </c>
      <c r="R266" s="17">
        <v>16.940000000000001</v>
      </c>
      <c r="S266" s="17">
        <v>125.4</v>
      </c>
      <c r="T266" s="17">
        <v>98.22</v>
      </c>
      <c r="U266" s="50">
        <v>67.62</v>
      </c>
      <c r="V266" s="50">
        <v>52.71</v>
      </c>
      <c r="W266" s="50">
        <v>67.180000000000007</v>
      </c>
      <c r="X266" s="50">
        <v>85.67</v>
      </c>
      <c r="Y266" s="50">
        <v>40.51</v>
      </c>
      <c r="Z266" s="50">
        <v>95.15</v>
      </c>
      <c r="AA266" s="50">
        <v>82.5</v>
      </c>
      <c r="AB266" s="50">
        <v>73.290000000000006</v>
      </c>
      <c r="AC266" s="50">
        <v>4.97</v>
      </c>
      <c r="AD266" s="50">
        <v>58.36</v>
      </c>
      <c r="AE266" s="17">
        <v>28.19</v>
      </c>
      <c r="AF266" s="17">
        <v>39.81</v>
      </c>
      <c r="AG266" s="17">
        <v>31.36</v>
      </c>
      <c r="AH266" s="17">
        <v>36.909999999999997</v>
      </c>
      <c r="AI266" s="17">
        <v>1.569</v>
      </c>
      <c r="AJ266" s="17">
        <v>54.06</v>
      </c>
      <c r="AK266" s="17"/>
      <c r="AL266" s="17"/>
      <c r="AM266" s="17"/>
      <c r="AN266" s="17">
        <v>153</v>
      </c>
      <c r="AO266" s="17"/>
      <c r="AP266" s="17"/>
      <c r="AQ266" s="17"/>
      <c r="AR266" s="17"/>
      <c r="AS266" s="17"/>
      <c r="AT266" t="s">
        <v>146</v>
      </c>
    </row>
    <row r="267" spans="1:46" x14ac:dyDescent="0.2">
      <c r="A267" s="115">
        <v>265.99999999999824</v>
      </c>
      <c r="B267" s="9">
        <v>134</v>
      </c>
      <c r="C267" s="3">
        <v>21.265999999999998</v>
      </c>
      <c r="D267" s="126" t="s">
        <v>168</v>
      </c>
      <c r="E267" t="s">
        <v>169</v>
      </c>
      <c r="F267" s="17" t="s">
        <v>170</v>
      </c>
      <c r="G267" s="3" t="s">
        <v>29</v>
      </c>
      <c r="H267" s="11"/>
      <c r="I267" s="127">
        <v>44362</v>
      </c>
      <c r="J267" s="16" t="s">
        <v>142</v>
      </c>
      <c r="K267" s="16" t="s">
        <v>235</v>
      </c>
      <c r="L267" s="17"/>
      <c r="M267" s="17"/>
      <c r="N267" s="17">
        <v>286.17</v>
      </c>
      <c r="O267" s="17">
        <v>180.47</v>
      </c>
      <c r="P267" s="17">
        <v>187.52</v>
      </c>
      <c r="Q267" s="17">
        <v>38.5</v>
      </c>
      <c r="R267" s="17">
        <v>19.399999999999999</v>
      </c>
      <c r="S267" s="17">
        <v>129.02000000000001</v>
      </c>
      <c r="T267" s="17">
        <v>96.12</v>
      </c>
      <c r="U267" s="50">
        <v>68.64</v>
      </c>
      <c r="V267" s="50">
        <v>51.68</v>
      </c>
      <c r="W267" s="50">
        <v>70.040000000000006</v>
      </c>
      <c r="X267" s="50">
        <v>85.27</v>
      </c>
      <c r="Y267" s="50">
        <v>37.89</v>
      </c>
      <c r="Z267" s="50">
        <v>95.12</v>
      </c>
      <c r="AA267" s="50">
        <v>82.34</v>
      </c>
      <c r="AB267" s="50">
        <v>78.14</v>
      </c>
      <c r="AC267" s="50">
        <v>3.19</v>
      </c>
      <c r="AD267" s="50">
        <v>57.23</v>
      </c>
      <c r="AE267" s="17">
        <v>31.38</v>
      </c>
      <c r="AF267" s="17">
        <v>41.42</v>
      </c>
      <c r="AG267" s="17">
        <v>34.07</v>
      </c>
      <c r="AH267" s="17">
        <v>39.79</v>
      </c>
      <c r="AI267" s="17">
        <v>1.476</v>
      </c>
      <c r="AJ267" s="17">
        <v>53.15</v>
      </c>
      <c r="AK267" s="17"/>
      <c r="AL267" s="17"/>
      <c r="AM267" s="17"/>
      <c r="AN267" s="17">
        <v>105</v>
      </c>
      <c r="AO267" s="17"/>
      <c r="AP267" s="17"/>
      <c r="AQ267" s="17"/>
      <c r="AR267" s="17"/>
      <c r="AS267" s="17"/>
      <c r="AT267" t="s">
        <v>146</v>
      </c>
    </row>
    <row r="268" spans="1:46" x14ac:dyDescent="0.2">
      <c r="A268" s="115">
        <v>266.99999999999943</v>
      </c>
      <c r="B268" s="9">
        <v>135</v>
      </c>
      <c r="C268" s="8">
        <v>21.266999999999999</v>
      </c>
      <c r="D268" s="126" t="s">
        <v>168</v>
      </c>
      <c r="E268" t="s">
        <v>169</v>
      </c>
      <c r="F268" s="17" t="s">
        <v>170</v>
      </c>
      <c r="G268" s="11"/>
      <c r="H268" s="3" t="s">
        <v>234</v>
      </c>
      <c r="I268" s="127">
        <v>44362</v>
      </c>
      <c r="J268" s="16" t="s">
        <v>142</v>
      </c>
      <c r="K268" s="16" t="s">
        <v>235</v>
      </c>
      <c r="L268" s="17"/>
      <c r="M268" s="17"/>
      <c r="N268" s="17"/>
      <c r="O268" s="17">
        <v>176.82</v>
      </c>
      <c r="P268" s="17">
        <v>184.4</v>
      </c>
      <c r="Q268" s="17">
        <v>36.43</v>
      </c>
      <c r="R268" s="17">
        <v>19.09</v>
      </c>
      <c r="S268" s="17">
        <v>127.04</v>
      </c>
      <c r="T268" s="17">
        <v>97.56</v>
      </c>
      <c r="U268" s="50">
        <v>65.69</v>
      </c>
      <c r="V268" s="50">
        <v>52.08</v>
      </c>
      <c r="W268" s="50">
        <v>68.64</v>
      </c>
      <c r="X268" s="50">
        <v>86.79</v>
      </c>
      <c r="Y268" s="50">
        <v>42.85</v>
      </c>
      <c r="Z268" s="50">
        <v>97.24</v>
      </c>
      <c r="AA268" s="50">
        <v>84.51</v>
      </c>
      <c r="AB268" s="50">
        <v>74.98</v>
      </c>
      <c r="AC268" s="50">
        <v>6.07</v>
      </c>
      <c r="AD268" s="50">
        <v>57.75</v>
      </c>
      <c r="AE268" s="17">
        <v>30.03</v>
      </c>
      <c r="AF268" s="17">
        <v>41.57</v>
      </c>
      <c r="AG268" s="17">
        <v>32.700000000000003</v>
      </c>
      <c r="AH268" s="17">
        <v>43.77</v>
      </c>
      <c r="AI268" s="17">
        <v>1.512</v>
      </c>
      <c r="AJ268" s="17">
        <v>54.88</v>
      </c>
      <c r="AK268" s="17"/>
      <c r="AL268" s="17"/>
      <c r="AM268" s="17"/>
      <c r="AN268" s="17">
        <v>110</v>
      </c>
      <c r="AO268" s="17"/>
      <c r="AP268" s="17"/>
      <c r="AQ268" s="17"/>
      <c r="AR268" s="17"/>
      <c r="AS268" s="17"/>
      <c r="AT268" t="s">
        <v>146</v>
      </c>
    </row>
    <row r="269" spans="1:46" x14ac:dyDescent="0.2">
      <c r="A269" s="115">
        <v>268.00000000000068</v>
      </c>
      <c r="B269" s="9"/>
      <c r="C269" s="9">
        <v>21.268000000000001</v>
      </c>
      <c r="D269" s="131" t="s">
        <v>151</v>
      </c>
      <c r="E269" t="s">
        <v>162</v>
      </c>
      <c r="F269" s="14" t="s">
        <v>88</v>
      </c>
      <c r="G269" s="14" t="s">
        <v>88</v>
      </c>
      <c r="H269" s="11"/>
      <c r="I269" s="134">
        <v>44277</v>
      </c>
      <c r="J269" s="9" t="s">
        <v>492</v>
      </c>
      <c r="K269" s="9" t="s">
        <v>203</v>
      </c>
      <c r="N269" s="3">
        <v>222.1</v>
      </c>
      <c r="O269" s="3">
        <v>171.51</v>
      </c>
      <c r="P269" s="3">
        <v>175.89</v>
      </c>
      <c r="Q269" s="3">
        <v>32.92</v>
      </c>
      <c r="R269" s="3">
        <v>20.49</v>
      </c>
      <c r="S269" s="3">
        <v>114.95</v>
      </c>
      <c r="T269" s="3">
        <v>87.27</v>
      </c>
      <c r="U269" s="6">
        <v>63.68</v>
      </c>
      <c r="V269" s="6">
        <v>51.73</v>
      </c>
      <c r="W269" s="6">
        <v>67.260000000000005</v>
      </c>
      <c r="X269" s="6">
        <v>86.63</v>
      </c>
      <c r="Y269" s="6">
        <v>40.200000000000003</v>
      </c>
      <c r="Z269" s="6">
        <v>95.9</v>
      </c>
      <c r="AA269" s="6">
        <v>71.47</v>
      </c>
      <c r="AB269" s="6">
        <v>73.19</v>
      </c>
      <c r="AC269" s="6">
        <v>16.88</v>
      </c>
      <c r="AD269" s="6">
        <v>52.5</v>
      </c>
      <c r="AE269" s="3">
        <v>35.1</v>
      </c>
      <c r="AF269" s="3">
        <v>40.31</v>
      </c>
      <c r="AG269" s="3">
        <v>50.19</v>
      </c>
      <c r="AH269" s="3">
        <v>40.42</v>
      </c>
      <c r="AI269" s="3">
        <v>1.419</v>
      </c>
      <c r="AQ269" s="3">
        <v>55.1</v>
      </c>
      <c r="AR269" s="3">
        <v>56.1</v>
      </c>
      <c r="AT269" t="s">
        <v>493</v>
      </c>
    </row>
    <row r="270" spans="1:46" x14ac:dyDescent="0.2">
      <c r="A270" s="115">
        <v>268.99999999999835</v>
      </c>
      <c r="C270" s="3">
        <v>21.268999999999998</v>
      </c>
      <c r="D270" s="131" t="s">
        <v>151</v>
      </c>
      <c r="E270" t="s">
        <v>162</v>
      </c>
      <c r="F270" s="14" t="s">
        <v>88</v>
      </c>
      <c r="G270" s="14" t="s">
        <v>88</v>
      </c>
      <c r="H270" s="11"/>
      <c r="I270" s="134">
        <v>44277</v>
      </c>
      <c r="J270" s="9" t="s">
        <v>492</v>
      </c>
      <c r="K270" s="3" t="s">
        <v>203</v>
      </c>
      <c r="N270" s="3">
        <v>222.2</v>
      </c>
      <c r="O270" s="3">
        <v>169.87</v>
      </c>
      <c r="P270" s="3">
        <v>175.36</v>
      </c>
      <c r="Q270" s="3">
        <v>40.64</v>
      </c>
      <c r="R270" s="3">
        <v>16.399999999999999</v>
      </c>
      <c r="S270" s="3">
        <v>113.09</v>
      </c>
      <c r="T270" s="3">
        <v>91.57</v>
      </c>
      <c r="U270" s="6">
        <v>63.16</v>
      </c>
      <c r="V270" s="6">
        <v>52.63</v>
      </c>
      <c r="W270" s="6">
        <v>67.400000000000006</v>
      </c>
      <c r="X270" s="6">
        <v>89.12</v>
      </c>
      <c r="Y270" s="6">
        <v>39.54</v>
      </c>
      <c r="Z270" s="6">
        <v>97.3</v>
      </c>
      <c r="AA270" s="6">
        <v>75.260000000000005</v>
      </c>
      <c r="AB270" s="6">
        <v>74.430000000000007</v>
      </c>
      <c r="AC270" s="6">
        <v>19.11</v>
      </c>
      <c r="AD270" s="6">
        <v>52.58</v>
      </c>
      <c r="AE270" s="3">
        <v>28.77</v>
      </c>
      <c r="AF270" s="3">
        <v>42.28</v>
      </c>
      <c r="AG270" s="3">
        <v>36.47</v>
      </c>
      <c r="AH270" s="3">
        <v>41.95</v>
      </c>
      <c r="AI270" s="3">
        <v>1.6839999999999999</v>
      </c>
      <c r="AQ270" s="3">
        <v>57</v>
      </c>
      <c r="AR270" s="3">
        <v>57.8</v>
      </c>
      <c r="AT270" t="s">
        <v>493</v>
      </c>
    </row>
    <row r="271" spans="1:46" x14ac:dyDescent="0.2">
      <c r="A271" s="115">
        <v>269.99999999999955</v>
      </c>
      <c r="C271" s="10" t="s">
        <v>554</v>
      </c>
      <c r="D271" s="131" t="s">
        <v>151</v>
      </c>
      <c r="E271" t="s">
        <v>162</v>
      </c>
      <c r="F271" s="14" t="s">
        <v>88</v>
      </c>
      <c r="G271" s="14" t="s">
        <v>88</v>
      </c>
      <c r="H271" s="11"/>
      <c r="I271" s="134">
        <v>44277</v>
      </c>
      <c r="J271" s="9" t="s">
        <v>492</v>
      </c>
      <c r="K271" s="3" t="s">
        <v>203</v>
      </c>
      <c r="N271" s="3">
        <v>225.6</v>
      </c>
      <c r="O271" s="3">
        <v>168.93</v>
      </c>
      <c r="P271" s="3">
        <v>175.09</v>
      </c>
      <c r="Q271" s="3">
        <v>37.159999999999997</v>
      </c>
      <c r="R271" s="3">
        <v>17.25</v>
      </c>
      <c r="S271" s="3">
        <v>111.39</v>
      </c>
      <c r="T271" s="3">
        <v>88.73</v>
      </c>
      <c r="U271" s="6">
        <v>61.57</v>
      </c>
      <c r="V271" s="6">
        <v>52.38</v>
      </c>
      <c r="W271" s="6">
        <v>65.77</v>
      </c>
      <c r="X271" s="6">
        <v>87.11</v>
      </c>
      <c r="Y271" s="6">
        <v>40.49</v>
      </c>
      <c r="Z271" s="6">
        <v>94.57</v>
      </c>
      <c r="AA271" s="6">
        <v>74.849999999999994</v>
      </c>
      <c r="AB271" s="6">
        <v>76.540000000000006</v>
      </c>
      <c r="AC271" s="6">
        <v>18.53</v>
      </c>
      <c r="AD271" s="6">
        <v>54.54</v>
      </c>
      <c r="AE271" s="3">
        <v>30.9</v>
      </c>
      <c r="AF271" s="3">
        <v>36.299999999999997</v>
      </c>
      <c r="AG271" s="3">
        <v>42.49</v>
      </c>
      <c r="AH271" s="3">
        <v>38.49</v>
      </c>
      <c r="AI271" s="3">
        <v>1.375</v>
      </c>
      <c r="AQ271" s="3">
        <v>59.2</v>
      </c>
      <c r="AR271" s="3">
        <v>59.9</v>
      </c>
      <c r="AT271" t="s">
        <v>493</v>
      </c>
    </row>
    <row r="272" spans="1:46" x14ac:dyDescent="0.2">
      <c r="A272" s="115">
        <v>271.0000000000008</v>
      </c>
      <c r="B272" s="3">
        <v>7</v>
      </c>
      <c r="C272" s="9">
        <v>21.271000000000001</v>
      </c>
      <c r="D272" s="131" t="s">
        <v>151</v>
      </c>
      <c r="E272" t="s">
        <v>152</v>
      </c>
      <c r="F272" s="11" t="s">
        <v>227</v>
      </c>
      <c r="G272" s="11"/>
      <c r="H272" s="11" t="s">
        <v>90</v>
      </c>
      <c r="I272" s="82">
        <v>44283</v>
      </c>
      <c r="J272" s="9" t="s">
        <v>492</v>
      </c>
      <c r="K272" s="3" t="s">
        <v>235</v>
      </c>
      <c r="N272" s="3">
        <v>308.10000000000002</v>
      </c>
      <c r="O272" s="3">
        <v>158.63999999999999</v>
      </c>
      <c r="P272" s="3">
        <v>159.94999999999999</v>
      </c>
      <c r="Q272" s="3">
        <v>30.64</v>
      </c>
      <c r="R272" s="3">
        <v>14.33</v>
      </c>
      <c r="S272" s="3">
        <v>110.62</v>
      </c>
      <c r="T272" s="3">
        <v>93.61</v>
      </c>
      <c r="U272" s="6">
        <v>64.540000000000006</v>
      </c>
      <c r="V272" s="6">
        <v>57.08</v>
      </c>
      <c r="W272" s="6">
        <v>68.040000000000006</v>
      </c>
      <c r="X272" s="6">
        <v>84.5</v>
      </c>
      <c r="Y272" s="6"/>
      <c r="Z272" s="6">
        <v>93.61</v>
      </c>
      <c r="AA272" s="6">
        <v>85.13</v>
      </c>
      <c r="AB272" s="6">
        <v>74.64</v>
      </c>
      <c r="AC272" s="6">
        <v>24.53</v>
      </c>
      <c r="AD272" s="6">
        <v>63.1</v>
      </c>
      <c r="AE272" s="3">
        <v>29.12</v>
      </c>
      <c r="AF272" s="3">
        <v>33.869999999999997</v>
      </c>
      <c r="AG272" s="3">
        <v>33.21</v>
      </c>
      <c r="AH272" s="3">
        <v>35.03</v>
      </c>
      <c r="AI272" s="3">
        <v>1.0229999999999999</v>
      </c>
      <c r="AQ272" s="3">
        <v>48.1</v>
      </c>
      <c r="AR272" s="3">
        <v>50.4</v>
      </c>
      <c r="AT272" t="s">
        <v>493</v>
      </c>
    </row>
    <row r="273" spans="1:46" x14ac:dyDescent="0.2">
      <c r="A273" s="115">
        <v>271.99999999999847</v>
      </c>
      <c r="B273" s="3">
        <v>107</v>
      </c>
      <c r="C273" s="3">
        <v>21.271999999999998</v>
      </c>
      <c r="D273" s="129" t="s">
        <v>140</v>
      </c>
      <c r="E273" t="s">
        <v>141</v>
      </c>
      <c r="F273" s="3" t="s">
        <v>62</v>
      </c>
      <c r="G273"/>
      <c r="H273" s="3" t="s">
        <v>62</v>
      </c>
      <c r="I273" s="82">
        <v>44390</v>
      </c>
      <c r="J273" s="16" t="s">
        <v>142</v>
      </c>
      <c r="K273" s="17" t="s">
        <v>203</v>
      </c>
      <c r="L273" s="56"/>
      <c r="M273" s="17">
        <v>236.1</v>
      </c>
      <c r="N273" s="17">
        <v>231.99</v>
      </c>
      <c r="O273" s="17">
        <v>215.67</v>
      </c>
      <c r="P273" s="17">
        <f>206.67+37.31</f>
        <v>243.98</v>
      </c>
      <c r="Q273" s="17">
        <v>49.91</v>
      </c>
      <c r="R273" s="17">
        <v>40.78</v>
      </c>
      <c r="S273" s="17">
        <v>136</v>
      </c>
      <c r="T273" s="17">
        <v>10.26</v>
      </c>
      <c r="U273" s="50">
        <v>61.24</v>
      </c>
      <c r="V273" s="50">
        <v>48.88</v>
      </c>
      <c r="W273" s="50">
        <v>74.87</v>
      </c>
      <c r="X273" s="50">
        <v>94.72</v>
      </c>
      <c r="Y273" s="50">
        <v>43.11</v>
      </c>
      <c r="Z273" s="50">
        <v>102.19</v>
      </c>
      <c r="AA273" s="50">
        <v>79.67</v>
      </c>
      <c r="AB273" s="50">
        <v>75.040000000000006</v>
      </c>
      <c r="AC273" s="50">
        <v>3.14</v>
      </c>
      <c r="AD273" s="50">
        <v>45.71</v>
      </c>
      <c r="AE273" s="17">
        <v>29.3</v>
      </c>
      <c r="AF273" s="17">
        <v>43.24</v>
      </c>
      <c r="AG273" s="17">
        <v>30.17</v>
      </c>
      <c r="AH273" s="17">
        <v>45.71</v>
      </c>
      <c r="AI273" s="17">
        <v>1.643</v>
      </c>
      <c r="AJ273" s="17"/>
      <c r="AK273" s="17"/>
      <c r="AL273" s="17">
        <v>20.6</v>
      </c>
      <c r="AM273" s="17"/>
      <c r="AN273" s="17"/>
      <c r="AO273" s="17">
        <v>11.98</v>
      </c>
      <c r="AP273" s="17">
        <v>108.35</v>
      </c>
      <c r="AQ273" s="17">
        <v>50.93</v>
      </c>
      <c r="AR273" s="17">
        <v>41.17</v>
      </c>
      <c r="AS273" s="17">
        <v>15.372</v>
      </c>
      <c r="AT273" t="s">
        <v>146</v>
      </c>
    </row>
    <row r="274" spans="1:46" x14ac:dyDescent="0.2">
      <c r="A274" s="115">
        <v>272.99999999999966</v>
      </c>
      <c r="B274" s="3">
        <v>106</v>
      </c>
      <c r="C274" s="3">
        <v>21.273</v>
      </c>
      <c r="D274" s="129" t="s">
        <v>140</v>
      </c>
      <c r="E274" t="s">
        <v>141</v>
      </c>
      <c r="F274" s="3" t="s">
        <v>62</v>
      </c>
      <c r="G274"/>
      <c r="H274" s="3" t="s">
        <v>62</v>
      </c>
      <c r="I274" s="82">
        <v>44390</v>
      </c>
      <c r="J274" s="16" t="s">
        <v>142</v>
      </c>
      <c r="K274" s="17" t="s">
        <v>203</v>
      </c>
      <c r="L274" s="56"/>
      <c r="M274" s="17">
        <v>235.9</v>
      </c>
      <c r="N274" s="17">
        <v>234.87</v>
      </c>
      <c r="O274" s="17">
        <f>20.5+206.65</f>
        <v>227.15</v>
      </c>
      <c r="P274" s="17">
        <f>29.58+206.65</f>
        <v>236.23000000000002</v>
      </c>
      <c r="Q274" s="17">
        <v>53.45</v>
      </c>
      <c r="R274" s="17">
        <v>39.39</v>
      </c>
      <c r="S274" s="17">
        <v>138.35</v>
      </c>
      <c r="T274" s="17">
        <v>106.38</v>
      </c>
      <c r="U274" s="50">
        <v>60.27</v>
      </c>
      <c r="V274" s="50">
        <v>51.29</v>
      </c>
      <c r="W274" s="50">
        <v>72.209999999999994</v>
      </c>
      <c r="X274" s="50">
        <v>95.74</v>
      </c>
      <c r="Y274" s="50">
        <v>41.82</v>
      </c>
      <c r="Z274" s="50">
        <v>100.28</v>
      </c>
      <c r="AA274" s="50">
        <v>79.03</v>
      </c>
      <c r="AB274" s="50">
        <v>74.25</v>
      </c>
      <c r="AC274" s="50">
        <v>5.49</v>
      </c>
      <c r="AD274" s="50">
        <v>46.66</v>
      </c>
      <c r="AE274" s="17">
        <v>31.88</v>
      </c>
      <c r="AF274" s="17">
        <v>43.66</v>
      </c>
      <c r="AG274" s="17">
        <v>36.58</v>
      </c>
      <c r="AH274" s="17">
        <v>47.41</v>
      </c>
      <c r="AI274" s="17">
        <v>1.4950000000000001</v>
      </c>
      <c r="AJ274" s="17"/>
      <c r="AK274" s="17"/>
      <c r="AL274" s="17">
        <v>21.3</v>
      </c>
      <c r="AM274" s="17"/>
      <c r="AN274" s="17"/>
      <c r="AO274" s="17">
        <v>9.5399999999999991</v>
      </c>
      <c r="AP274" s="17">
        <v>105.69</v>
      </c>
      <c r="AQ274" s="17">
        <v>54.28</v>
      </c>
      <c r="AR274" s="17">
        <v>38.92</v>
      </c>
      <c r="AS274" s="17">
        <v>15.316000000000001</v>
      </c>
      <c r="AT274" t="s">
        <v>146</v>
      </c>
    </row>
    <row r="275" spans="1:46" x14ac:dyDescent="0.2">
      <c r="A275" s="115">
        <v>274.00000000000091</v>
      </c>
      <c r="B275" s="3">
        <v>104</v>
      </c>
      <c r="C275" s="3">
        <v>21.274000000000001</v>
      </c>
      <c r="D275" s="129" t="s">
        <v>140</v>
      </c>
      <c r="E275" t="s">
        <v>141</v>
      </c>
      <c r="F275" s="3" t="s">
        <v>62</v>
      </c>
      <c r="G275"/>
      <c r="H275" s="3" t="s">
        <v>62</v>
      </c>
      <c r="I275" s="82">
        <v>44390</v>
      </c>
      <c r="J275" s="16" t="s">
        <v>142</v>
      </c>
      <c r="K275" s="17" t="s">
        <v>203</v>
      </c>
      <c r="L275" s="56"/>
      <c r="M275" s="17">
        <v>235.7</v>
      </c>
      <c r="N275" s="17">
        <v>232.98</v>
      </c>
      <c r="O275" s="17">
        <v>199.53</v>
      </c>
      <c r="P275" s="17">
        <f>21.03+206.65</f>
        <v>227.68</v>
      </c>
      <c r="Q275" s="17">
        <v>52.96</v>
      </c>
      <c r="R275" s="17">
        <v>31.6</v>
      </c>
      <c r="S275" s="17">
        <v>136.82</v>
      </c>
      <c r="T275" s="17">
        <v>106.79</v>
      </c>
      <c r="U275" s="50">
        <v>67.260000000000005</v>
      </c>
      <c r="V275" s="50">
        <v>55.67</v>
      </c>
      <c r="W275" s="50">
        <v>72.7</v>
      </c>
      <c r="X275" s="50">
        <v>97.4</v>
      </c>
      <c r="Y275" s="50">
        <v>40.43</v>
      </c>
      <c r="Z275" s="50">
        <v>103.63</v>
      </c>
      <c r="AA275" s="50">
        <v>81.88</v>
      </c>
      <c r="AB275" s="50">
        <v>74.31</v>
      </c>
      <c r="AC275" s="50">
        <v>8.51</v>
      </c>
      <c r="AD275" s="50">
        <v>44.91</v>
      </c>
      <c r="AE275" s="17">
        <v>25.34</v>
      </c>
      <c r="AF275" s="17">
        <v>39.43</v>
      </c>
      <c r="AG275" s="17">
        <v>30.35</v>
      </c>
      <c r="AH275" s="17">
        <v>42.09</v>
      </c>
      <c r="AI275" s="17">
        <v>1.534</v>
      </c>
      <c r="AJ275" s="17"/>
      <c r="AK275" s="17"/>
      <c r="AL275" s="17">
        <v>18.399999999999999</v>
      </c>
      <c r="AM275" s="17"/>
      <c r="AN275" s="17"/>
      <c r="AO275" s="17">
        <v>9.94</v>
      </c>
      <c r="AP275" s="17">
        <v>105.05</v>
      </c>
      <c r="AQ275" s="17">
        <v>58.8</v>
      </c>
      <c r="AR275" s="17">
        <v>38.18</v>
      </c>
      <c r="AS275" s="17">
        <v>14.66</v>
      </c>
      <c r="AT275" t="s">
        <v>146</v>
      </c>
    </row>
    <row r="276" spans="1:46" x14ac:dyDescent="0.2">
      <c r="A276" s="115">
        <v>274.99999999999858</v>
      </c>
      <c r="B276" s="3">
        <v>105</v>
      </c>
      <c r="C276" s="3">
        <v>21.274999999999999</v>
      </c>
      <c r="D276" s="129" t="s">
        <v>140</v>
      </c>
      <c r="E276" t="s">
        <v>141</v>
      </c>
      <c r="F276" s="3" t="s">
        <v>62</v>
      </c>
      <c r="G276"/>
      <c r="H276" s="3" t="s">
        <v>62</v>
      </c>
      <c r="I276" s="82">
        <v>44390</v>
      </c>
      <c r="J276" s="16" t="s">
        <v>142</v>
      </c>
      <c r="K276" s="17" t="s">
        <v>203</v>
      </c>
      <c r="L276" s="56"/>
      <c r="M276" s="17">
        <v>236.2</v>
      </c>
      <c r="N276" s="17">
        <v>234.21</v>
      </c>
      <c r="O276" s="17">
        <f>3.6+206.65</f>
        <v>210.25</v>
      </c>
      <c r="P276" s="17">
        <f>206.65+20.81</f>
        <v>227.46</v>
      </c>
      <c r="Q276" s="17">
        <v>50.57</v>
      </c>
      <c r="R276" s="17">
        <v>29.48</v>
      </c>
      <c r="S276" s="17">
        <v>135.83000000000001</v>
      </c>
      <c r="T276" s="17">
        <v>103.83</v>
      </c>
      <c r="U276" s="50">
        <v>66.66</v>
      </c>
      <c r="V276" s="50">
        <v>54.05</v>
      </c>
      <c r="W276" s="50">
        <v>71.91</v>
      </c>
      <c r="X276" s="50">
        <v>100.53</v>
      </c>
      <c r="Y276" s="50">
        <v>40.54</v>
      </c>
      <c r="Z276" s="50">
        <v>101.9</v>
      </c>
      <c r="AA276" s="50">
        <v>82.22</v>
      </c>
      <c r="AB276" s="50">
        <v>75.78</v>
      </c>
      <c r="AC276" s="50">
        <v>13.56</v>
      </c>
      <c r="AD276" s="50">
        <v>45.76</v>
      </c>
      <c r="AE276" s="17">
        <v>26.57</v>
      </c>
      <c r="AF276" s="17">
        <v>45.91</v>
      </c>
      <c r="AG276" s="17">
        <v>31.9</v>
      </c>
      <c r="AH276" s="17">
        <v>43.9</v>
      </c>
      <c r="AI276" s="17">
        <v>1.4890000000000001</v>
      </c>
      <c r="AJ276" s="17"/>
      <c r="AK276" s="17"/>
      <c r="AL276" s="17">
        <v>15.2</v>
      </c>
      <c r="AM276" s="17"/>
      <c r="AN276" s="17"/>
      <c r="AO276" s="17">
        <v>10.28</v>
      </c>
      <c r="AP276" s="17">
        <v>104.29</v>
      </c>
      <c r="AQ276" s="17">
        <v>63.12</v>
      </c>
      <c r="AR276" s="17">
        <v>38.68</v>
      </c>
      <c r="AS276" s="17">
        <v>14.615</v>
      </c>
      <c r="AT276" t="s">
        <v>146</v>
      </c>
    </row>
    <row r="277" spans="1:46" x14ac:dyDescent="0.2">
      <c r="A277" s="115">
        <v>275.99999999999977</v>
      </c>
      <c r="B277" s="3">
        <v>102</v>
      </c>
      <c r="C277" s="3">
        <v>21.276</v>
      </c>
      <c r="D277" s="129" t="s">
        <v>140</v>
      </c>
      <c r="E277" t="s">
        <v>141</v>
      </c>
      <c r="F277" s="3" t="s">
        <v>62</v>
      </c>
      <c r="G277"/>
      <c r="H277" s="3" t="s">
        <v>62</v>
      </c>
      <c r="I277" s="82">
        <v>44389</v>
      </c>
      <c r="J277" s="16" t="s">
        <v>142</v>
      </c>
      <c r="K277" s="17" t="s">
        <v>203</v>
      </c>
      <c r="L277" s="56"/>
      <c r="M277" s="17">
        <v>271.3</v>
      </c>
      <c r="N277" s="17">
        <v>267.86</v>
      </c>
      <c r="O277" s="17">
        <v>199.85</v>
      </c>
      <c r="P277" s="17">
        <f>25.68+206.65</f>
        <v>232.33</v>
      </c>
      <c r="Q277" s="17">
        <v>51.75</v>
      </c>
      <c r="R277" s="17">
        <v>34.99</v>
      </c>
      <c r="S277" s="17">
        <v>131.72</v>
      </c>
      <c r="T277" s="17">
        <v>102.43</v>
      </c>
      <c r="U277" s="50">
        <v>69.349999999999994</v>
      </c>
      <c r="V277" s="50">
        <v>55.34</v>
      </c>
      <c r="W277" s="50">
        <v>77.27</v>
      </c>
      <c r="X277" s="50">
        <v>98.25</v>
      </c>
      <c r="Y277" s="50">
        <v>44.12</v>
      </c>
      <c r="Z277" s="50">
        <v>104.18</v>
      </c>
      <c r="AA277" s="50">
        <v>81.73</v>
      </c>
      <c r="AB277" s="50">
        <v>76.31</v>
      </c>
      <c r="AC277" s="50">
        <v>10.6</v>
      </c>
      <c r="AD277" s="50">
        <v>48.61</v>
      </c>
      <c r="AE277" s="17">
        <v>27.68</v>
      </c>
      <c r="AF277" s="17">
        <v>40.56</v>
      </c>
      <c r="AG277" s="17">
        <v>30.72</v>
      </c>
      <c r="AH277" s="17">
        <v>47.85</v>
      </c>
      <c r="AI277" s="17">
        <v>2.0499999999999998</v>
      </c>
      <c r="AJ277" s="17"/>
      <c r="AK277" s="17"/>
      <c r="AL277" s="17">
        <v>25.1</v>
      </c>
      <c r="AM277" s="17"/>
      <c r="AN277" s="17"/>
      <c r="AO277" s="17">
        <v>14.37</v>
      </c>
      <c r="AP277" s="17">
        <v>112.99</v>
      </c>
      <c r="AQ277" s="17">
        <v>56.58</v>
      </c>
      <c r="AR277" s="17">
        <v>55.22</v>
      </c>
      <c r="AS277" s="17">
        <v>21.376000000000001</v>
      </c>
      <c r="AT277" t="s">
        <v>146</v>
      </c>
    </row>
    <row r="278" spans="1:46" x14ac:dyDescent="0.2">
      <c r="A278" s="115">
        <v>277.00000000000102</v>
      </c>
      <c r="B278" s="3">
        <v>103</v>
      </c>
      <c r="C278" s="3">
        <v>21.277000000000001</v>
      </c>
      <c r="D278" s="129" t="s">
        <v>140</v>
      </c>
      <c r="E278" t="s">
        <v>141</v>
      </c>
      <c r="F278" s="3" t="s">
        <v>62</v>
      </c>
      <c r="G278"/>
      <c r="H278" s="3" t="s">
        <v>62</v>
      </c>
      <c r="I278" s="82">
        <v>44389</v>
      </c>
      <c r="J278" s="16" t="s">
        <v>142</v>
      </c>
      <c r="K278" s="17" t="s">
        <v>203</v>
      </c>
      <c r="L278" s="56"/>
      <c r="M278" s="17">
        <v>269.7</v>
      </c>
      <c r="N278" s="17">
        <v>266.20999999999998</v>
      </c>
      <c r="O278" s="17">
        <f>12.08+206.65</f>
        <v>218.73000000000002</v>
      </c>
      <c r="P278" s="17">
        <f>22.81+206.65</f>
        <v>229.46</v>
      </c>
      <c r="Q278" s="17">
        <v>53.79</v>
      </c>
      <c r="R278" s="17">
        <v>35.21</v>
      </c>
      <c r="S278" s="17">
        <v>132.41</v>
      </c>
      <c r="T278" s="17">
        <v>105.87</v>
      </c>
      <c r="U278" s="50">
        <v>65.23</v>
      </c>
      <c r="V278" s="50">
        <v>53.65</v>
      </c>
      <c r="W278" s="50">
        <v>75.42</v>
      </c>
      <c r="X278" s="50">
        <v>96.74</v>
      </c>
      <c r="Y278" s="50">
        <v>41.83</v>
      </c>
      <c r="Z278" s="50">
        <v>101.49</v>
      </c>
      <c r="AA278" s="50">
        <v>78.83</v>
      </c>
      <c r="AB278" s="50">
        <v>77.12</v>
      </c>
      <c r="AC278" s="50">
        <v>10.35</v>
      </c>
      <c r="AD278" s="50">
        <v>50.88</v>
      </c>
      <c r="AE278" s="17">
        <v>27.52</v>
      </c>
      <c r="AF278" s="17">
        <v>42.58</v>
      </c>
      <c r="AG278" s="17">
        <v>32.14</v>
      </c>
      <c r="AH278" s="17">
        <v>45.22</v>
      </c>
      <c r="AI278" s="17">
        <v>1.9</v>
      </c>
      <c r="AJ278" s="17"/>
      <c r="AK278" s="17"/>
      <c r="AL278" s="17">
        <v>24.3</v>
      </c>
      <c r="AM278" s="17"/>
      <c r="AN278" s="17"/>
      <c r="AO278" s="17">
        <v>12.72</v>
      </c>
      <c r="AP278" s="17">
        <v>117.19</v>
      </c>
      <c r="AQ278" s="17">
        <v>53.27</v>
      </c>
      <c r="AR278" s="17">
        <v>55</v>
      </c>
      <c r="AS278" s="17">
        <v>21.32</v>
      </c>
      <c r="AT278" t="s">
        <v>146</v>
      </c>
    </row>
    <row r="279" spans="1:46" x14ac:dyDescent="0.2">
      <c r="A279" s="115">
        <v>277.99999999999869</v>
      </c>
      <c r="B279" s="3">
        <v>98</v>
      </c>
      <c r="C279" s="3">
        <v>21.277999999999999</v>
      </c>
      <c r="D279" s="129" t="s">
        <v>140</v>
      </c>
      <c r="E279" t="s">
        <v>141</v>
      </c>
      <c r="F279" s="3" t="s">
        <v>61</v>
      </c>
      <c r="G279"/>
      <c r="H279" s="3" t="s">
        <v>61</v>
      </c>
      <c r="I279" s="82">
        <v>44374</v>
      </c>
      <c r="J279" s="16" t="s">
        <v>142</v>
      </c>
      <c r="K279" s="17" t="s">
        <v>203</v>
      </c>
      <c r="L279" s="56"/>
      <c r="M279" s="17">
        <v>215.5</v>
      </c>
      <c r="N279" s="17">
        <v>222.17</v>
      </c>
      <c r="O279" s="17">
        <v>199.77</v>
      </c>
      <c r="P279" s="17">
        <v>207.65</v>
      </c>
      <c r="Q279" s="17">
        <v>52.38</v>
      </c>
      <c r="R279" s="17">
        <v>31.51</v>
      </c>
      <c r="S279" s="17">
        <v>124.86</v>
      </c>
      <c r="T279" s="17">
        <v>95.99</v>
      </c>
      <c r="U279" s="50">
        <v>69.89</v>
      </c>
      <c r="V279" s="50">
        <v>54.4</v>
      </c>
      <c r="W279" s="50">
        <v>73.72</v>
      </c>
      <c r="X279" s="50">
        <v>95.83</v>
      </c>
      <c r="Y279" s="50">
        <v>43.61</v>
      </c>
      <c r="Z279" s="50">
        <v>101.65</v>
      </c>
      <c r="AA279" s="50">
        <v>75.78</v>
      </c>
      <c r="AB279" s="50">
        <v>80.510000000000005</v>
      </c>
      <c r="AC279" s="50">
        <v>9.44</v>
      </c>
      <c r="AD279" s="50">
        <v>46.57</v>
      </c>
      <c r="AE279" s="17">
        <v>32.96</v>
      </c>
      <c r="AF279" s="17">
        <v>42.53</v>
      </c>
      <c r="AG279" s="17">
        <v>30.56</v>
      </c>
      <c r="AH279" s="17">
        <v>49.54</v>
      </c>
      <c r="AI279" s="17">
        <v>1.593</v>
      </c>
      <c r="AJ279" s="17"/>
      <c r="AK279" s="17"/>
      <c r="AL279" s="17">
        <v>19.2</v>
      </c>
      <c r="AM279" s="17"/>
      <c r="AN279" s="17"/>
      <c r="AO279" s="17">
        <v>11.12</v>
      </c>
      <c r="AP279" s="17">
        <v>85.61</v>
      </c>
      <c r="AQ279" s="17">
        <v>55.5</v>
      </c>
      <c r="AR279" s="17">
        <v>48.21</v>
      </c>
      <c r="AS279" s="17">
        <v>18.366</v>
      </c>
      <c r="AT279" t="s">
        <v>146</v>
      </c>
    </row>
    <row r="280" spans="1:46" x14ac:dyDescent="0.2">
      <c r="A280" s="115">
        <v>278.99999999999989</v>
      </c>
      <c r="B280" s="3">
        <v>97</v>
      </c>
      <c r="C280" s="3">
        <v>21.279</v>
      </c>
      <c r="D280" s="129" t="s">
        <v>140</v>
      </c>
      <c r="E280" t="s">
        <v>141</v>
      </c>
      <c r="F280" s="3" t="s">
        <v>61</v>
      </c>
      <c r="G280"/>
      <c r="H280" s="3" t="s">
        <v>61</v>
      </c>
      <c r="I280" s="82">
        <v>44374</v>
      </c>
      <c r="J280" s="16" t="s">
        <v>142</v>
      </c>
      <c r="K280" s="17" t="s">
        <v>203</v>
      </c>
      <c r="L280" s="56"/>
      <c r="M280" s="17">
        <v>257.39999999999998</v>
      </c>
      <c r="N280" s="17">
        <v>265.64</v>
      </c>
      <c r="O280" s="17">
        <v>183.86</v>
      </c>
      <c r="P280" s="17">
        <f>206.65+22.48</f>
        <v>229.13</v>
      </c>
      <c r="Q280" s="17">
        <v>54.21</v>
      </c>
      <c r="R280" s="17">
        <v>29.02</v>
      </c>
      <c r="S280" s="17">
        <v>129.71</v>
      </c>
      <c r="T280" s="17">
        <v>100.73</v>
      </c>
      <c r="U280" s="50">
        <v>69.55</v>
      </c>
      <c r="V280" s="50">
        <v>55.02</v>
      </c>
      <c r="W280" s="50">
        <v>75.709999999999994</v>
      </c>
      <c r="X280" s="50">
        <v>95.89</v>
      </c>
      <c r="Y280" s="50">
        <v>42.86</v>
      </c>
      <c r="Z280" s="50">
        <v>102.44</v>
      </c>
      <c r="AA280" s="50">
        <v>80.11</v>
      </c>
      <c r="AB280" s="50">
        <v>78.53</v>
      </c>
      <c r="AC280" s="50">
        <v>10.87</v>
      </c>
      <c r="AD280" s="50">
        <v>49.32</v>
      </c>
      <c r="AE280" s="17">
        <v>23.47</v>
      </c>
      <c r="AF280" s="17">
        <v>39.58</v>
      </c>
      <c r="AG280" s="17">
        <v>36.74</v>
      </c>
      <c r="AH280" s="17">
        <v>45.82</v>
      </c>
      <c r="AI280" s="17">
        <v>1.92</v>
      </c>
      <c r="AJ280" s="17"/>
      <c r="AK280" s="17"/>
      <c r="AL280" s="17">
        <v>20</v>
      </c>
      <c r="AM280" s="17"/>
      <c r="AN280" s="17"/>
      <c r="AO280" s="17">
        <v>17.18</v>
      </c>
      <c r="AP280" s="17">
        <v>113.97</v>
      </c>
      <c r="AQ280" s="17">
        <v>54.83</v>
      </c>
      <c r="AR280" s="17">
        <v>58.04</v>
      </c>
      <c r="AS280" s="17">
        <v>22.071999999999999</v>
      </c>
      <c r="AT280" t="s">
        <v>146</v>
      </c>
    </row>
    <row r="281" spans="1:46" x14ac:dyDescent="0.2">
      <c r="A281" s="115">
        <v>280.00000000000114</v>
      </c>
      <c r="B281" s="3">
        <v>99</v>
      </c>
      <c r="C281" s="2" t="s">
        <v>555</v>
      </c>
      <c r="D281" s="129" t="s">
        <v>140</v>
      </c>
      <c r="E281" t="s">
        <v>141</v>
      </c>
      <c r="F281" s="3" t="s">
        <v>61</v>
      </c>
      <c r="G281"/>
      <c r="H281" s="3" t="s">
        <v>61</v>
      </c>
      <c r="I281" s="82">
        <v>44374</v>
      </c>
      <c r="J281" s="16" t="s">
        <v>142</v>
      </c>
      <c r="K281" s="17" t="s">
        <v>203</v>
      </c>
      <c r="L281" s="56"/>
      <c r="M281" s="17">
        <v>214.9</v>
      </c>
      <c r="N281" s="17">
        <v>223.14</v>
      </c>
      <c r="O281" s="17">
        <v>188.07</v>
      </c>
      <c r="P281" s="17">
        <v>209.45</v>
      </c>
      <c r="Q281" s="17">
        <v>54.48</v>
      </c>
      <c r="R281" s="17">
        <v>29.57</v>
      </c>
      <c r="S281" s="17">
        <v>119.03</v>
      </c>
      <c r="T281" s="17">
        <v>92.57</v>
      </c>
      <c r="U281" s="50">
        <v>71.459999999999994</v>
      </c>
      <c r="V281" s="50">
        <v>54.16</v>
      </c>
      <c r="W281" s="50">
        <v>75.27</v>
      </c>
      <c r="X281" s="50">
        <v>95.29</v>
      </c>
      <c r="Y281" s="50">
        <v>41.19</v>
      </c>
      <c r="Z281" s="50">
        <v>103.23</v>
      </c>
      <c r="AA281" s="50">
        <v>77.42</v>
      </c>
      <c r="AB281" s="50">
        <v>80.819999999999993</v>
      </c>
      <c r="AC281" s="50">
        <v>13.21</v>
      </c>
      <c r="AD281" s="50">
        <v>44.73</v>
      </c>
      <c r="AE281" s="17">
        <v>22.72</v>
      </c>
      <c r="AF281" s="17">
        <v>43.78</v>
      </c>
      <c r="AG281" s="17">
        <v>37.44</v>
      </c>
      <c r="AH281" s="17">
        <v>43.31</v>
      </c>
      <c r="AI281" s="17">
        <v>1.718</v>
      </c>
      <c r="AJ281" s="17"/>
      <c r="AK281" s="17"/>
      <c r="AL281" s="17">
        <v>17.100000000000001</v>
      </c>
      <c r="AM281" s="17"/>
      <c r="AN281" s="17"/>
      <c r="AO281" s="17">
        <v>10.5</v>
      </c>
      <c r="AP281" s="17">
        <v>99.72</v>
      </c>
      <c r="AQ281" s="17">
        <v>43.41</v>
      </c>
      <c r="AR281" s="17">
        <v>48.46</v>
      </c>
      <c r="AS281" s="17">
        <v>18.469000000000001</v>
      </c>
      <c r="AT281" t="s">
        <v>146</v>
      </c>
    </row>
    <row r="282" spans="1:46" x14ac:dyDescent="0.2">
      <c r="A282" s="115">
        <v>280.99999999999881</v>
      </c>
      <c r="B282" s="3">
        <v>73</v>
      </c>
      <c r="C282" s="3">
        <v>21.280999999999999</v>
      </c>
      <c r="D282" s="129" t="s">
        <v>140</v>
      </c>
      <c r="E282" t="s">
        <v>141</v>
      </c>
      <c r="F282" s="3" t="s">
        <v>62</v>
      </c>
      <c r="G282"/>
      <c r="H282" s="3" t="s">
        <v>62</v>
      </c>
      <c r="I282" s="82">
        <v>44321</v>
      </c>
      <c r="J282" s="16" t="s">
        <v>142</v>
      </c>
      <c r="K282" s="17" t="s">
        <v>203</v>
      </c>
      <c r="L282" s="56"/>
      <c r="M282" s="17">
        <v>210.7</v>
      </c>
      <c r="N282" s="17">
        <v>223.28</v>
      </c>
      <c r="O282" s="17">
        <v>197.9</v>
      </c>
      <c r="P282" s="17">
        <v>206.65</v>
      </c>
      <c r="Q282" s="17">
        <v>48.12</v>
      </c>
      <c r="R282" s="17">
        <v>28.32</v>
      </c>
      <c r="S282" s="17">
        <v>126.98</v>
      </c>
      <c r="T282" s="17">
        <v>98.6</v>
      </c>
      <c r="U282" s="50">
        <v>71.52</v>
      </c>
      <c r="V282" s="50">
        <v>53.8</v>
      </c>
      <c r="W282" s="50">
        <v>73.05</v>
      </c>
      <c r="X282" s="50">
        <v>92.16</v>
      </c>
      <c r="Y282" s="50">
        <v>42.47</v>
      </c>
      <c r="Z282" s="50">
        <v>100.47</v>
      </c>
      <c r="AA282" s="50">
        <v>77.150000000000006</v>
      </c>
      <c r="AB282" s="50">
        <v>78.11</v>
      </c>
      <c r="AC282" s="50">
        <v>7.61</v>
      </c>
      <c r="AD282" s="50">
        <v>45.48</v>
      </c>
      <c r="AE282" s="17">
        <v>32.229999999999997</v>
      </c>
      <c r="AF282" s="17">
        <v>41.96</v>
      </c>
      <c r="AG282" s="17">
        <v>36.56</v>
      </c>
      <c r="AH282" s="17">
        <v>45.59</v>
      </c>
      <c r="AI282" s="17">
        <v>1.63</v>
      </c>
      <c r="AJ282" s="17"/>
      <c r="AK282" s="17"/>
      <c r="AL282" s="17"/>
      <c r="AM282" s="17"/>
      <c r="AN282" s="17"/>
      <c r="AO282" s="17">
        <v>11.54</v>
      </c>
      <c r="AP282" s="17">
        <v>55.1</v>
      </c>
      <c r="AQ282" s="17">
        <v>107.17</v>
      </c>
      <c r="AR282" s="17">
        <v>44.65</v>
      </c>
      <c r="AS282" s="17">
        <v>17.039000000000001</v>
      </c>
      <c r="AT282" t="s">
        <v>146</v>
      </c>
    </row>
    <row r="283" spans="1:46" x14ac:dyDescent="0.2">
      <c r="A283" s="115">
        <v>282</v>
      </c>
      <c r="C283" s="4">
        <v>21.282</v>
      </c>
      <c r="D283" s="131" t="s">
        <v>151</v>
      </c>
      <c r="E283" t="s">
        <v>152</v>
      </c>
      <c r="F283" s="3" t="s">
        <v>227</v>
      </c>
      <c r="H283"/>
      <c r="I283" s="82">
        <v>44219</v>
      </c>
      <c r="J283" s="9" t="s">
        <v>492</v>
      </c>
      <c r="K283" s="3" t="s">
        <v>235</v>
      </c>
      <c r="L283" s="81"/>
      <c r="M283" s="81"/>
      <c r="N283" s="3">
        <v>236.9</v>
      </c>
      <c r="O283" s="3">
        <v>163.04</v>
      </c>
      <c r="P283" s="3">
        <v>170.82</v>
      </c>
      <c r="Q283" s="3">
        <v>34.18</v>
      </c>
      <c r="R283" s="3">
        <v>15.17</v>
      </c>
      <c r="S283" s="3">
        <v>114.62</v>
      </c>
      <c r="T283" s="3">
        <v>90.8</v>
      </c>
      <c r="U283" s="6">
        <v>53.77</v>
      </c>
      <c r="V283" s="6">
        <v>47.08</v>
      </c>
      <c r="W283" s="6">
        <v>60.42</v>
      </c>
      <c r="X283" s="6">
        <v>92.57</v>
      </c>
      <c r="Y283" s="6">
        <v>34.18</v>
      </c>
      <c r="Z283" s="6">
        <v>98.03</v>
      </c>
      <c r="AA283" s="6">
        <v>82.04</v>
      </c>
      <c r="AB283" s="6">
        <v>72.55</v>
      </c>
      <c r="AC283" s="6">
        <v>16.43</v>
      </c>
      <c r="AD283" s="6">
        <v>55.42</v>
      </c>
      <c r="AE283" s="3">
        <v>33.26</v>
      </c>
      <c r="AF283" s="3">
        <v>36.130000000000003</v>
      </c>
      <c r="AG283" s="3">
        <v>34.96</v>
      </c>
      <c r="AH283" s="3">
        <v>37</v>
      </c>
      <c r="AI283" s="3">
        <v>1.1890000000000001</v>
      </c>
      <c r="AJ283" s="3">
        <v>56.2</v>
      </c>
      <c r="AR283" s="3">
        <v>50.1</v>
      </c>
      <c r="AT283" t="s">
        <v>493</v>
      </c>
    </row>
    <row r="284" spans="1:46" x14ac:dyDescent="0.2">
      <c r="A284" s="115">
        <v>283.00000000000125</v>
      </c>
      <c r="C284" s="3">
        <v>21.283000000000001</v>
      </c>
      <c r="D284" s="131" t="s">
        <v>151</v>
      </c>
      <c r="E284" t="s">
        <v>152</v>
      </c>
      <c r="F284" s="3" t="s">
        <v>227</v>
      </c>
      <c r="H284"/>
      <c r="I284" s="82">
        <v>44219</v>
      </c>
      <c r="J284" s="9" t="s">
        <v>492</v>
      </c>
      <c r="K284" s="3" t="s">
        <v>235</v>
      </c>
      <c r="L284" s="81"/>
      <c r="M284" s="81"/>
      <c r="N284" s="3">
        <v>274.89999999999998</v>
      </c>
      <c r="O284" s="3">
        <v>163.96</v>
      </c>
      <c r="P284" s="3">
        <v>174.56</v>
      </c>
      <c r="Q284" s="3">
        <v>30.82</v>
      </c>
      <c r="R284" s="3">
        <v>15.54</v>
      </c>
      <c r="S284" s="3">
        <v>114.92</v>
      </c>
      <c r="T284" s="3">
        <v>94.41</v>
      </c>
      <c r="U284" s="6">
        <v>58.11</v>
      </c>
      <c r="V284" s="6">
        <v>49.98</v>
      </c>
      <c r="W284" s="6">
        <v>64.56</v>
      </c>
      <c r="X284" s="6">
        <v>87.64</v>
      </c>
      <c r="Y284" s="6">
        <v>37.53</v>
      </c>
      <c r="Z284" s="6">
        <v>98.08</v>
      </c>
      <c r="AA284" s="6">
        <v>82.31</v>
      </c>
      <c r="AB284" s="6">
        <v>74.61</v>
      </c>
      <c r="AC284" s="6">
        <v>14.5</v>
      </c>
      <c r="AD284" s="6">
        <v>57.76</v>
      </c>
      <c r="AE284" s="3">
        <v>28.3</v>
      </c>
      <c r="AF284" s="3">
        <v>35.96</v>
      </c>
      <c r="AG284" s="3">
        <v>37.92</v>
      </c>
      <c r="AH284" s="3">
        <v>38.07</v>
      </c>
      <c r="AI284" s="3">
        <v>1.3440000000000001</v>
      </c>
      <c r="AJ284" s="3">
        <v>56.5</v>
      </c>
      <c r="AR284" s="3">
        <v>57.3</v>
      </c>
      <c r="AT284" t="s">
        <v>493</v>
      </c>
    </row>
    <row r="285" spans="1:46" x14ac:dyDescent="0.2">
      <c r="A285" s="115">
        <v>283.99999999999892</v>
      </c>
      <c r="C285" s="4">
        <v>21.283999999999999</v>
      </c>
      <c r="D285" s="131" t="s">
        <v>151</v>
      </c>
      <c r="E285" t="s">
        <v>152</v>
      </c>
      <c r="F285" s="3" t="s">
        <v>227</v>
      </c>
      <c r="H285"/>
      <c r="I285" s="82">
        <v>44219</v>
      </c>
      <c r="J285" s="9" t="s">
        <v>492</v>
      </c>
      <c r="K285" s="3" t="s">
        <v>235</v>
      </c>
      <c r="L285" s="81"/>
      <c r="M285" s="81"/>
      <c r="N285" s="3">
        <v>260.10000000000002</v>
      </c>
      <c r="O285" s="3">
        <v>174.32</v>
      </c>
      <c r="P285" s="3">
        <v>183.7</v>
      </c>
      <c r="Q285" s="3">
        <v>35.65</v>
      </c>
      <c r="R285" s="3">
        <v>20.69</v>
      </c>
      <c r="S285" s="3">
        <v>120.35</v>
      </c>
      <c r="T285" s="3">
        <v>98.97</v>
      </c>
      <c r="U285" s="6">
        <v>55.79</v>
      </c>
      <c r="V285" s="6">
        <v>46.08</v>
      </c>
      <c r="W285" s="6">
        <v>64.2</v>
      </c>
      <c r="X285" s="6">
        <v>89.05</v>
      </c>
      <c r="Y285" s="6">
        <v>37.24</v>
      </c>
      <c r="Z285" s="6">
        <v>99.29</v>
      </c>
      <c r="AA285" s="6">
        <v>83.13</v>
      </c>
      <c r="AB285" s="6">
        <v>74</v>
      </c>
      <c r="AC285" s="6">
        <v>13.34</v>
      </c>
      <c r="AD285" s="6">
        <v>58.2</v>
      </c>
      <c r="AE285" s="3">
        <v>34.21</v>
      </c>
      <c r="AF285" s="3">
        <v>42.49</v>
      </c>
      <c r="AG285" s="3">
        <v>41.44</v>
      </c>
      <c r="AH285" s="3">
        <v>43.15</v>
      </c>
      <c r="AI285" s="3">
        <v>1.4510000000000001</v>
      </c>
      <c r="AJ285" s="3">
        <v>40.799999999999997</v>
      </c>
      <c r="AR285" s="3">
        <v>54.9</v>
      </c>
      <c r="AT285" t="s">
        <v>493</v>
      </c>
    </row>
    <row r="286" spans="1:46" x14ac:dyDescent="0.2">
      <c r="A286" s="115">
        <v>285.00000000000011</v>
      </c>
      <c r="C286" s="3">
        <v>21.285</v>
      </c>
      <c r="D286" s="131" t="s">
        <v>151</v>
      </c>
      <c r="E286" t="s">
        <v>152</v>
      </c>
      <c r="F286" s="3" t="s">
        <v>227</v>
      </c>
      <c r="I286" s="82">
        <v>44219</v>
      </c>
      <c r="J286" s="9" t="s">
        <v>492</v>
      </c>
      <c r="K286" s="3" t="s">
        <v>235</v>
      </c>
      <c r="L286" s="81"/>
      <c r="M286" s="81"/>
      <c r="N286" s="3">
        <v>283.10000000000002</v>
      </c>
      <c r="O286" s="3">
        <v>168.44</v>
      </c>
      <c r="P286" s="3">
        <v>173.89</v>
      </c>
      <c r="Q286" s="3">
        <v>30.35</v>
      </c>
      <c r="R286" s="3">
        <v>15.98</v>
      </c>
      <c r="S286" s="3">
        <v>114.35</v>
      </c>
      <c r="T286" s="3">
        <v>95.21</v>
      </c>
      <c r="U286" s="6">
        <v>59.34</v>
      </c>
      <c r="V286" s="6">
        <v>47.53</v>
      </c>
      <c r="W286" s="6">
        <v>67.11</v>
      </c>
      <c r="X286" s="6">
        <v>92.4</v>
      </c>
      <c r="Y286" s="6">
        <v>45.14</v>
      </c>
      <c r="Z286" s="6">
        <v>99.81</v>
      </c>
      <c r="AA286" s="6">
        <v>81.99</v>
      </c>
      <c r="AB286" s="6">
        <v>76.52</v>
      </c>
      <c r="AC286" s="6">
        <v>19.239999999999998</v>
      </c>
      <c r="AD286" s="6">
        <v>59.85</v>
      </c>
      <c r="AE286" s="3">
        <v>29.89</v>
      </c>
      <c r="AF286" s="3">
        <v>37.880000000000003</v>
      </c>
      <c r="AG286" s="3">
        <v>41.9</v>
      </c>
      <c r="AH286" s="3">
        <v>38.96</v>
      </c>
      <c r="AI286" s="3">
        <v>1.369</v>
      </c>
      <c r="AJ286" s="3">
        <v>56.6</v>
      </c>
      <c r="AR286" s="3">
        <v>58.8</v>
      </c>
      <c r="AT286" t="s">
        <v>493</v>
      </c>
    </row>
    <row r="287" spans="1:46" x14ac:dyDescent="0.2">
      <c r="A287" s="115">
        <v>286.00000000000136</v>
      </c>
      <c r="C287" s="4">
        <v>21.286000000000001</v>
      </c>
      <c r="D287" s="131" t="s">
        <v>151</v>
      </c>
      <c r="E287" t="s">
        <v>152</v>
      </c>
      <c r="F287" s="3" t="s">
        <v>227</v>
      </c>
      <c r="H287" s="3" t="s">
        <v>90</v>
      </c>
      <c r="I287" s="82">
        <v>44283</v>
      </c>
      <c r="J287" s="9" t="s">
        <v>492</v>
      </c>
      <c r="K287" s="3" t="s">
        <v>203</v>
      </c>
      <c r="L287" s="81"/>
      <c r="M287" s="81"/>
      <c r="O287" s="3">
        <v>159.97</v>
      </c>
      <c r="P287" s="3">
        <v>165.93</v>
      </c>
      <c r="Q287" s="3">
        <v>37.880000000000003</v>
      </c>
      <c r="U287" s="6">
        <v>60.26</v>
      </c>
      <c r="V287" s="6">
        <v>50.89</v>
      </c>
      <c r="W287" s="6">
        <v>67.86</v>
      </c>
      <c r="X287" s="6">
        <v>86.11</v>
      </c>
      <c r="Y287" s="6"/>
      <c r="Z287" s="6">
        <v>93.58</v>
      </c>
      <c r="AA287" s="6"/>
      <c r="AB287" s="6">
        <v>76.959999999999994</v>
      </c>
      <c r="AC287" s="6">
        <v>17.399999999999999</v>
      </c>
      <c r="AD287" s="6"/>
      <c r="AE287" s="3">
        <v>27.67</v>
      </c>
      <c r="AF287" s="3">
        <v>37.380000000000003</v>
      </c>
      <c r="AG287" s="3">
        <v>39.020000000000003</v>
      </c>
      <c r="AH287" s="3">
        <v>39.130000000000003</v>
      </c>
      <c r="AI287" s="3">
        <v>1.67</v>
      </c>
      <c r="AT287" t="s">
        <v>493</v>
      </c>
    </row>
    <row r="288" spans="1:46" x14ac:dyDescent="0.2">
      <c r="A288" s="115">
        <v>286.99999999999903</v>
      </c>
      <c r="C288" s="4">
        <v>21.286999999999999</v>
      </c>
      <c r="D288" s="131" t="s">
        <v>151</v>
      </c>
      <c r="E288" s="3" t="s">
        <v>162</v>
      </c>
      <c r="F288" s="3" t="s">
        <v>88</v>
      </c>
      <c r="G288" s="3" t="s">
        <v>88</v>
      </c>
      <c r="I288" s="82">
        <v>44290</v>
      </c>
      <c r="J288" s="9" t="s">
        <v>492</v>
      </c>
      <c r="K288" s="3" t="s">
        <v>203</v>
      </c>
      <c r="L288" s="81"/>
      <c r="M288" s="81"/>
      <c r="N288" s="3">
        <v>223.8</v>
      </c>
      <c r="O288" s="3">
        <v>162.12</v>
      </c>
      <c r="P288" s="3">
        <v>164.5</v>
      </c>
      <c r="Q288" s="3">
        <v>35.56</v>
      </c>
      <c r="R288" s="3">
        <v>15.15</v>
      </c>
      <c r="S288" s="3">
        <v>113.33</v>
      </c>
      <c r="T288" s="3">
        <v>86.51</v>
      </c>
      <c r="U288" s="6">
        <v>57.5</v>
      </c>
      <c r="V288" s="6">
        <v>48.76</v>
      </c>
      <c r="W288" s="6">
        <v>63.7</v>
      </c>
      <c r="X288" s="6">
        <v>86.31</v>
      </c>
      <c r="Y288" s="6">
        <v>38.130000000000003</v>
      </c>
      <c r="Z288" s="6">
        <v>98.48</v>
      </c>
      <c r="AA288" s="6">
        <v>78.3</v>
      </c>
      <c r="AB288" s="6">
        <v>76.510000000000005</v>
      </c>
      <c r="AC288" s="6">
        <v>15.64</v>
      </c>
      <c r="AD288" s="6">
        <v>49.13</v>
      </c>
      <c r="AE288" s="3">
        <v>31.72</v>
      </c>
      <c r="AF288" s="3">
        <v>37.07</v>
      </c>
      <c r="AG288" s="3">
        <v>41.21</v>
      </c>
      <c r="AH288" s="3">
        <v>40.46</v>
      </c>
      <c r="AI288" s="3">
        <v>1.7589999999999999</v>
      </c>
      <c r="AR288" s="3">
        <v>60.5</v>
      </c>
      <c r="AS288" s="3">
        <v>59.3</v>
      </c>
      <c r="AT288" t="s">
        <v>493</v>
      </c>
    </row>
    <row r="289" spans="1:46" x14ac:dyDescent="0.2">
      <c r="A289" s="115">
        <v>288.00000000000023</v>
      </c>
      <c r="C289" s="4">
        <v>21.288</v>
      </c>
      <c r="D289" s="131" t="s">
        <v>151</v>
      </c>
      <c r="E289" s="3" t="s">
        <v>162</v>
      </c>
      <c r="F289" s="3" t="s">
        <v>88</v>
      </c>
      <c r="G289" s="3" t="s">
        <v>88</v>
      </c>
      <c r="I289" s="82">
        <v>44290</v>
      </c>
      <c r="J289" s="9" t="s">
        <v>492</v>
      </c>
      <c r="K289" s="3" t="s">
        <v>203</v>
      </c>
      <c r="L289" s="81"/>
      <c r="M289" s="81"/>
      <c r="N289" s="3">
        <v>214.3</v>
      </c>
      <c r="O289" s="3">
        <v>164.93</v>
      </c>
      <c r="P289" s="3">
        <v>171.71</v>
      </c>
      <c r="Q289" s="3">
        <v>39.869999999999997</v>
      </c>
      <c r="R289" s="3">
        <v>17.02</v>
      </c>
      <c r="S289" s="3">
        <v>107.65</v>
      </c>
      <c r="T289" s="3">
        <v>81.67</v>
      </c>
      <c r="U289" s="6">
        <v>59.84</v>
      </c>
      <c r="V289" s="6">
        <v>49.77</v>
      </c>
      <c r="W289" s="6">
        <v>65.739999999999995</v>
      </c>
      <c r="X289" s="6">
        <v>85.76</v>
      </c>
      <c r="Y289" s="6">
        <v>38.19</v>
      </c>
      <c r="Z289" s="6">
        <v>95.79</v>
      </c>
      <c r="AA289" s="6">
        <v>73.78</v>
      </c>
      <c r="AB289" s="6">
        <v>76.760000000000005</v>
      </c>
      <c r="AC289" s="6">
        <v>12.98</v>
      </c>
      <c r="AD289" s="6">
        <v>47.88</v>
      </c>
      <c r="AE289" s="3">
        <v>32.950000000000003</v>
      </c>
      <c r="AF289" s="3">
        <v>40.64</v>
      </c>
      <c r="AG289" s="3">
        <v>36.97</v>
      </c>
      <c r="AH289" s="3">
        <v>41.55</v>
      </c>
      <c r="AI289" s="3">
        <v>1.651</v>
      </c>
      <c r="AR289" s="3">
        <v>56.5</v>
      </c>
      <c r="AT289" t="s">
        <v>493</v>
      </c>
    </row>
    <row r="290" spans="1:46" x14ac:dyDescent="0.2">
      <c r="A290" s="115">
        <v>289.00000000000148</v>
      </c>
      <c r="C290" s="4">
        <v>21.289000000000001</v>
      </c>
      <c r="D290" s="131" t="s">
        <v>151</v>
      </c>
      <c r="E290" s="3" t="s">
        <v>162</v>
      </c>
      <c r="F290" s="3" t="s">
        <v>88</v>
      </c>
      <c r="G290" s="3" t="s">
        <v>88</v>
      </c>
      <c r="H290"/>
      <c r="I290" s="82">
        <v>44290</v>
      </c>
      <c r="J290" s="9" t="s">
        <v>492</v>
      </c>
      <c r="K290" s="3" t="s">
        <v>203</v>
      </c>
      <c r="L290" s="81"/>
      <c r="M290" s="81"/>
      <c r="N290" s="3">
        <v>224.4</v>
      </c>
      <c r="O290" s="3">
        <v>170.23</v>
      </c>
      <c r="P290" s="3">
        <v>171.72</v>
      </c>
      <c r="Q290" s="3">
        <v>35.24</v>
      </c>
      <c r="R290" s="3">
        <v>17.73</v>
      </c>
      <c r="S290" s="3">
        <v>114.15</v>
      </c>
      <c r="T290" s="3">
        <v>87.2</v>
      </c>
      <c r="U290" s="6">
        <v>59.14</v>
      </c>
      <c r="V290" s="6">
        <v>51.27</v>
      </c>
      <c r="W290" s="6">
        <v>65.48</v>
      </c>
      <c r="X290" s="6">
        <v>87.52</v>
      </c>
      <c r="Y290" s="6">
        <v>39.950000000000003</v>
      </c>
      <c r="Z290" s="6">
        <v>96.67</v>
      </c>
      <c r="AA290" s="6">
        <v>73.900000000000006</v>
      </c>
      <c r="AB290" s="6">
        <v>78.87</v>
      </c>
      <c r="AC290" s="6">
        <v>15.74</v>
      </c>
      <c r="AD290" s="6">
        <v>52.06</v>
      </c>
      <c r="AE290" s="3">
        <v>37.82</v>
      </c>
      <c r="AF290" s="3">
        <v>37.25</v>
      </c>
      <c r="AG290" s="3">
        <v>44.55</v>
      </c>
      <c r="AH290" s="3">
        <v>40.11</v>
      </c>
      <c r="AI290" s="3">
        <v>1.7569999999999999</v>
      </c>
      <c r="AR290" s="3">
        <v>59.4</v>
      </c>
      <c r="AT290" t="s">
        <v>493</v>
      </c>
    </row>
    <row r="291" spans="1:46" x14ac:dyDescent="0.2">
      <c r="A291" s="115">
        <v>289.99999999999915</v>
      </c>
      <c r="C291" s="2" t="s">
        <v>556</v>
      </c>
      <c r="D291" s="131" t="s">
        <v>151</v>
      </c>
      <c r="E291" s="3" t="s">
        <v>162</v>
      </c>
      <c r="F291" s="3" t="s">
        <v>88</v>
      </c>
      <c r="G291" s="3" t="s">
        <v>88</v>
      </c>
      <c r="H291"/>
      <c r="I291" s="82">
        <v>44290</v>
      </c>
      <c r="J291" s="9" t="s">
        <v>492</v>
      </c>
      <c r="K291" s="3" t="s">
        <v>203</v>
      </c>
      <c r="L291" s="81"/>
      <c r="M291" s="81"/>
      <c r="N291" s="3">
        <v>209.4</v>
      </c>
      <c r="O291" s="3">
        <v>169.31</v>
      </c>
      <c r="P291" s="3">
        <v>178.13</v>
      </c>
      <c r="Q291" s="3">
        <v>38.799999999999997</v>
      </c>
      <c r="R291" s="3">
        <v>18.559999999999999</v>
      </c>
      <c r="S291" s="3">
        <v>111.43</v>
      </c>
      <c r="T291" s="3">
        <v>88.51</v>
      </c>
      <c r="U291" s="6">
        <v>63.12</v>
      </c>
      <c r="V291" s="6">
        <v>53.36</v>
      </c>
      <c r="W291" s="6">
        <v>68.41</v>
      </c>
      <c r="X291" s="6">
        <v>89.82</v>
      </c>
      <c r="Y291" s="6">
        <v>43.24</v>
      </c>
      <c r="Z291" s="6">
        <v>98.09</v>
      </c>
      <c r="AA291" s="6">
        <v>74.2</v>
      </c>
      <c r="AB291" s="6">
        <v>77.13</v>
      </c>
      <c r="AC291" s="6">
        <v>15.42</v>
      </c>
      <c r="AD291" s="6">
        <v>46.82</v>
      </c>
      <c r="AE291" s="3">
        <v>34.36</v>
      </c>
      <c r="AF291" s="3">
        <v>35.79</v>
      </c>
      <c r="AG291" s="3">
        <v>40.590000000000003</v>
      </c>
      <c r="AH291" s="3">
        <v>38.380000000000003</v>
      </c>
      <c r="AI291" s="3">
        <v>1.657</v>
      </c>
      <c r="AR291" s="3">
        <v>57.5</v>
      </c>
      <c r="AT291" t="s">
        <v>493</v>
      </c>
    </row>
    <row r="292" spans="1:46" x14ac:dyDescent="0.2">
      <c r="A292" s="115">
        <v>291.00000000000034</v>
      </c>
      <c r="C292" s="4">
        <v>21.291</v>
      </c>
      <c r="D292" s="131" t="s">
        <v>151</v>
      </c>
      <c r="E292" s="3" t="s">
        <v>162</v>
      </c>
      <c r="F292" s="3" t="s">
        <v>88</v>
      </c>
      <c r="G292" s="3" t="s">
        <v>88</v>
      </c>
      <c r="I292" s="82">
        <v>44290</v>
      </c>
      <c r="J292" s="9" t="s">
        <v>492</v>
      </c>
      <c r="K292" s="3" t="s">
        <v>203</v>
      </c>
      <c r="L292" s="81"/>
      <c r="M292" s="81"/>
      <c r="N292" s="3">
        <v>226.5</v>
      </c>
      <c r="O292" s="3">
        <v>164.81</v>
      </c>
      <c r="P292" s="3">
        <v>175.98</v>
      </c>
      <c r="Q292" s="3">
        <v>38.11</v>
      </c>
      <c r="R292" s="3">
        <v>18.670000000000002</v>
      </c>
      <c r="S292" s="3">
        <v>114.05</v>
      </c>
      <c r="T292" s="3">
        <v>88.89</v>
      </c>
      <c r="U292" s="6">
        <v>59.88</v>
      </c>
      <c r="V292" s="6">
        <v>52.32</v>
      </c>
      <c r="W292" s="6">
        <v>65.34</v>
      </c>
      <c r="X292" s="6">
        <v>87.96</v>
      </c>
      <c r="Y292" s="6">
        <v>39.229999999999997</v>
      </c>
      <c r="Z292" s="6">
        <v>94.69</v>
      </c>
      <c r="AA292" s="6">
        <v>70.400000000000006</v>
      </c>
      <c r="AB292" s="6">
        <v>77.260000000000005</v>
      </c>
      <c r="AC292" s="6">
        <v>16.32</v>
      </c>
      <c r="AD292" s="6">
        <v>50.03</v>
      </c>
      <c r="AE292" s="3">
        <v>31.31</v>
      </c>
      <c r="AF292" s="3">
        <v>39.799999999999997</v>
      </c>
      <c r="AG292" s="3">
        <v>42.75</v>
      </c>
      <c r="AH292" s="3">
        <v>41.86</v>
      </c>
      <c r="AI292" s="3">
        <v>1.714</v>
      </c>
      <c r="AR292" s="3">
        <v>58.9</v>
      </c>
      <c r="AT292" t="s">
        <v>493</v>
      </c>
    </row>
    <row r="293" spans="1:46" x14ac:dyDescent="0.2">
      <c r="A293" s="115">
        <v>292.00000000000159</v>
      </c>
      <c r="C293" s="4">
        <v>21.292000000000002</v>
      </c>
      <c r="D293" s="131" t="s">
        <v>151</v>
      </c>
      <c r="E293" s="3" t="s">
        <v>162</v>
      </c>
      <c r="F293" s="3" t="s">
        <v>88</v>
      </c>
      <c r="G293" s="3" t="s">
        <v>88</v>
      </c>
      <c r="I293" s="82">
        <v>44290</v>
      </c>
      <c r="J293" s="9" t="s">
        <v>492</v>
      </c>
      <c r="K293" s="3" t="s">
        <v>203</v>
      </c>
      <c r="L293" s="81"/>
      <c r="M293" s="81"/>
      <c r="N293" s="3">
        <v>226.1</v>
      </c>
      <c r="O293" s="3">
        <v>170.74</v>
      </c>
      <c r="P293" s="3">
        <v>175.25</v>
      </c>
      <c r="Q293" s="3">
        <v>35.75</v>
      </c>
      <c r="R293" s="3">
        <v>17.079999999999998</v>
      </c>
      <c r="S293" s="3">
        <v>116.75</v>
      </c>
      <c r="T293" s="3">
        <v>84.82</v>
      </c>
      <c r="U293" s="6">
        <v>62.43</v>
      </c>
      <c r="V293" s="6">
        <v>53.27</v>
      </c>
      <c r="W293" s="6">
        <v>68.47</v>
      </c>
      <c r="X293" s="6">
        <v>89.82</v>
      </c>
      <c r="Y293" s="6">
        <v>41.76</v>
      </c>
      <c r="Z293" s="6">
        <v>95.81</v>
      </c>
      <c r="AA293" s="6">
        <v>74.09</v>
      </c>
      <c r="AB293" s="6">
        <v>77.19</v>
      </c>
      <c r="AC293" s="6">
        <v>20.43</v>
      </c>
      <c r="AD293" s="6">
        <v>49.68</v>
      </c>
      <c r="AE293" s="3">
        <v>31.88</v>
      </c>
      <c r="AF293" s="3">
        <v>38.67</v>
      </c>
      <c r="AG293" s="3">
        <v>42.79</v>
      </c>
      <c r="AH293" s="3">
        <v>39.380000000000003</v>
      </c>
      <c r="AI293" s="3">
        <v>1.772</v>
      </c>
      <c r="AR293" s="3">
        <v>62</v>
      </c>
      <c r="AT293" t="s">
        <v>493</v>
      </c>
    </row>
    <row r="294" spans="1:46" x14ac:dyDescent="0.2">
      <c r="A294" s="115">
        <v>292.99999999999926</v>
      </c>
      <c r="C294" s="4">
        <v>21.292999999999999</v>
      </c>
      <c r="D294" s="96" t="s">
        <v>290</v>
      </c>
      <c r="E294" t="s">
        <v>291</v>
      </c>
      <c r="F294" s="3" t="s">
        <v>292</v>
      </c>
      <c r="I294" s="82">
        <v>44257</v>
      </c>
      <c r="J294" s="16" t="s">
        <v>492</v>
      </c>
      <c r="K294" s="17" t="s">
        <v>203</v>
      </c>
      <c r="L294" s="56"/>
      <c r="M294" s="56"/>
      <c r="N294" s="17">
        <v>214.35</v>
      </c>
      <c r="O294" s="17">
        <v>162.91999999999999</v>
      </c>
      <c r="P294" s="17">
        <v>176.13</v>
      </c>
      <c r="Q294" s="17">
        <v>38.76</v>
      </c>
      <c r="R294" s="17">
        <v>21.07</v>
      </c>
      <c r="S294" s="17">
        <v>108.37</v>
      </c>
      <c r="T294" s="17">
        <v>89.78</v>
      </c>
      <c r="U294" s="50">
        <v>61.36</v>
      </c>
      <c r="V294" s="50">
        <v>48.24</v>
      </c>
      <c r="W294" s="50">
        <v>66.2</v>
      </c>
      <c r="X294" s="50">
        <v>84.3</v>
      </c>
      <c r="Y294" s="50">
        <v>38.979999999999997</v>
      </c>
      <c r="Z294" s="50">
        <v>95.42</v>
      </c>
      <c r="AA294" s="50">
        <v>76.900000000000006</v>
      </c>
      <c r="AB294" s="50">
        <v>78.489999999999995</v>
      </c>
      <c r="AC294" s="50">
        <v>6</v>
      </c>
      <c r="AD294" s="50">
        <v>51.3</v>
      </c>
      <c r="AE294" s="17">
        <v>32.229999999999997</v>
      </c>
      <c r="AF294" s="17">
        <v>43.91</v>
      </c>
      <c r="AG294" s="17">
        <v>41.22</v>
      </c>
      <c r="AH294" s="17">
        <v>47.79</v>
      </c>
      <c r="AI294" s="17">
        <v>1.512</v>
      </c>
      <c r="AJ294" s="17"/>
      <c r="AK294" s="17"/>
      <c r="AL294" s="17"/>
      <c r="AM294" s="17"/>
      <c r="AN294" s="17"/>
      <c r="AO294" s="17"/>
      <c r="AP294" s="17"/>
      <c r="AQ294" s="17"/>
      <c r="AR294" s="17">
        <v>46.87</v>
      </c>
      <c r="AS294" s="17">
        <v>18.992000000000001</v>
      </c>
      <c r="AT294" t="s">
        <v>493</v>
      </c>
    </row>
    <row r="295" spans="1:46" x14ac:dyDescent="0.2">
      <c r="A295" s="115">
        <v>294.00000000000045</v>
      </c>
      <c r="C295" s="4">
        <v>21.294</v>
      </c>
      <c r="D295" s="96" t="s">
        <v>290</v>
      </c>
      <c r="E295" t="s">
        <v>291</v>
      </c>
      <c r="F295" s="3" t="s">
        <v>292</v>
      </c>
      <c r="I295" s="82">
        <v>44257</v>
      </c>
      <c r="J295" s="16" t="s">
        <v>492</v>
      </c>
      <c r="K295" s="17" t="s">
        <v>235</v>
      </c>
      <c r="L295" s="56"/>
      <c r="M295" s="56"/>
      <c r="N295" s="17">
        <v>268.23</v>
      </c>
      <c r="O295" s="17">
        <v>170.87</v>
      </c>
      <c r="P295" s="17">
        <v>179.66</v>
      </c>
      <c r="Q295" s="17">
        <v>38.28</v>
      </c>
      <c r="R295" s="17">
        <v>18.71</v>
      </c>
      <c r="S295" s="17">
        <v>108.99</v>
      </c>
      <c r="T295" s="17">
        <v>92.37</v>
      </c>
      <c r="U295" s="17">
        <v>53.31</v>
      </c>
      <c r="V295" s="17">
        <v>47.2</v>
      </c>
      <c r="W295" s="50">
        <v>64.89</v>
      </c>
      <c r="X295" s="50">
        <v>80.64</v>
      </c>
      <c r="Y295" s="50">
        <v>39.229999999999997</v>
      </c>
      <c r="Z295" s="50">
        <v>92.16</v>
      </c>
      <c r="AA295" s="50">
        <v>77.89</v>
      </c>
      <c r="AB295" s="50">
        <v>80.150000000000006</v>
      </c>
      <c r="AC295" s="50">
        <v>11.71</v>
      </c>
      <c r="AD295" s="50">
        <v>56.78</v>
      </c>
      <c r="AE295" s="17">
        <v>32.909999999999997</v>
      </c>
      <c r="AF295" s="17">
        <v>45.92</v>
      </c>
      <c r="AG295" s="17">
        <v>41.4</v>
      </c>
      <c r="AH295" s="17">
        <v>46.49</v>
      </c>
      <c r="AI295" s="17">
        <v>1.359</v>
      </c>
      <c r="AJ295" s="17">
        <v>42.34</v>
      </c>
      <c r="AK295" s="17"/>
      <c r="AL295" s="17"/>
      <c r="AM295" s="17"/>
      <c r="AN295" s="17"/>
      <c r="AO295" s="17"/>
      <c r="AP295" s="17"/>
      <c r="AQ295" s="17"/>
      <c r="AR295" s="17"/>
      <c r="AS295" s="17"/>
      <c r="AT295" t="s">
        <v>493</v>
      </c>
    </row>
    <row r="296" spans="1:46" x14ac:dyDescent="0.2">
      <c r="A296" s="115">
        <v>295.00000000000171</v>
      </c>
      <c r="C296" s="4">
        <v>21.295000000000002</v>
      </c>
      <c r="D296" s="96" t="s">
        <v>290</v>
      </c>
      <c r="E296" t="s">
        <v>291</v>
      </c>
      <c r="F296" s="3" t="s">
        <v>292</v>
      </c>
      <c r="I296" s="82">
        <v>44257</v>
      </c>
      <c r="J296" s="16" t="s">
        <v>492</v>
      </c>
      <c r="K296" s="17" t="s">
        <v>235</v>
      </c>
      <c r="L296" s="56"/>
      <c r="M296" s="56"/>
      <c r="N296" s="17">
        <v>267.26</v>
      </c>
      <c r="O296" s="17">
        <v>170.89</v>
      </c>
      <c r="P296" s="17">
        <v>174.56</v>
      </c>
      <c r="Q296" s="17">
        <v>38.99</v>
      </c>
      <c r="R296" s="17">
        <v>18.489999999999998</v>
      </c>
      <c r="S296" s="17">
        <v>112.67</v>
      </c>
      <c r="T296" s="17">
        <v>93.63</v>
      </c>
      <c r="U296" s="50">
        <v>62.61</v>
      </c>
      <c r="V296" s="50">
        <v>49.78</v>
      </c>
      <c r="W296" s="50">
        <v>67.849999999999994</v>
      </c>
      <c r="X296" s="50">
        <v>82.03</v>
      </c>
      <c r="Y296" s="50">
        <v>37.479999999999997</v>
      </c>
      <c r="Z296" s="50">
        <v>96.44</v>
      </c>
      <c r="AA296" s="50">
        <v>79.8</v>
      </c>
      <c r="AB296" s="50">
        <v>80.209999999999994</v>
      </c>
      <c r="AC296" s="50">
        <v>8.93</v>
      </c>
      <c r="AD296" s="50">
        <v>58.44</v>
      </c>
      <c r="AE296" s="17">
        <v>33.82</v>
      </c>
      <c r="AF296" s="17">
        <v>48.95</v>
      </c>
      <c r="AG296" s="17">
        <v>39.840000000000003</v>
      </c>
      <c r="AH296" s="17">
        <v>47.92</v>
      </c>
      <c r="AI296" s="17">
        <v>1.421</v>
      </c>
      <c r="AJ296" s="17">
        <v>41.64</v>
      </c>
      <c r="AK296" s="17"/>
      <c r="AL296" s="17"/>
      <c r="AM296" s="17"/>
      <c r="AN296" s="17"/>
      <c r="AO296" s="17"/>
      <c r="AP296" s="17"/>
      <c r="AQ296" s="17"/>
      <c r="AR296" s="17"/>
      <c r="AS296" s="17"/>
      <c r="AT296" t="s">
        <v>493</v>
      </c>
    </row>
    <row r="297" spans="1:46" x14ac:dyDescent="0.2">
      <c r="A297" s="115">
        <v>295.99999999999937</v>
      </c>
      <c r="C297" s="4">
        <v>21.295999999999999</v>
      </c>
      <c r="D297" s="96" t="s">
        <v>290</v>
      </c>
      <c r="E297" t="s">
        <v>291</v>
      </c>
      <c r="F297" s="3" t="s">
        <v>292</v>
      </c>
      <c r="I297" s="82">
        <v>44299</v>
      </c>
      <c r="J297" s="16" t="s">
        <v>492</v>
      </c>
      <c r="K297" s="17" t="s">
        <v>203</v>
      </c>
      <c r="L297" s="56"/>
      <c r="M297" s="56"/>
      <c r="N297" s="17">
        <v>215.73</v>
      </c>
      <c r="O297" s="17">
        <v>170.68</v>
      </c>
      <c r="P297" s="17">
        <v>176.7</v>
      </c>
      <c r="Q297" s="17">
        <v>38.659999999999997</v>
      </c>
      <c r="R297" s="17">
        <v>19.29</v>
      </c>
      <c r="S297" s="17">
        <v>114.15</v>
      </c>
      <c r="T297" s="17">
        <v>88.75</v>
      </c>
      <c r="U297" s="50">
        <v>62.69</v>
      </c>
      <c r="V297" s="50">
        <v>48.83</v>
      </c>
      <c r="W297" s="50">
        <v>69.209999999999994</v>
      </c>
      <c r="X297" s="50">
        <v>85.32</v>
      </c>
      <c r="Y297" s="50">
        <v>39.35</v>
      </c>
      <c r="Z297" s="50">
        <v>95.89</v>
      </c>
      <c r="AA297" s="50">
        <v>76.900000000000006</v>
      </c>
      <c r="AB297" s="50">
        <v>78.45</v>
      </c>
      <c r="AC297" s="50">
        <v>16.41</v>
      </c>
      <c r="AD297" s="50">
        <v>54.92</v>
      </c>
      <c r="AE297" s="17">
        <v>35.21</v>
      </c>
      <c r="AF297" s="17">
        <v>43.93</v>
      </c>
      <c r="AG297" s="17">
        <v>44.61</v>
      </c>
      <c r="AH297" s="17">
        <v>42.48</v>
      </c>
      <c r="AI297" s="17">
        <v>1.4970000000000001</v>
      </c>
      <c r="AJ297" s="17"/>
      <c r="AK297" s="17"/>
      <c r="AL297" s="17"/>
      <c r="AM297" s="17"/>
      <c r="AN297" s="17"/>
      <c r="AO297" s="17"/>
      <c r="AP297" s="17"/>
      <c r="AQ297" s="17"/>
      <c r="AR297" s="17">
        <v>48.65</v>
      </c>
      <c r="AS297" s="17">
        <v>19.102</v>
      </c>
      <c r="AT297" t="s">
        <v>493</v>
      </c>
    </row>
    <row r="298" spans="1:46" x14ac:dyDescent="0.2">
      <c r="A298" s="115">
        <v>297.00000000000057</v>
      </c>
      <c r="C298" s="4">
        <v>21.297000000000001</v>
      </c>
      <c r="D298" s="96" t="s">
        <v>290</v>
      </c>
      <c r="E298" t="s">
        <v>291</v>
      </c>
      <c r="F298" s="3" t="s">
        <v>292</v>
      </c>
      <c r="G298"/>
      <c r="H298"/>
      <c r="I298" s="82">
        <v>44238</v>
      </c>
      <c r="J298" s="16" t="s">
        <v>492</v>
      </c>
      <c r="K298" s="17" t="s">
        <v>235</v>
      </c>
      <c r="L298" s="56"/>
      <c r="M298" s="56"/>
      <c r="N298" s="17">
        <v>264.32</v>
      </c>
      <c r="O298" s="17">
        <v>171.46</v>
      </c>
      <c r="P298" s="17">
        <v>181.2</v>
      </c>
      <c r="Q298" s="17">
        <v>39.520000000000003</v>
      </c>
      <c r="R298" s="17">
        <v>18.63</v>
      </c>
      <c r="S298" s="17">
        <v>112.63</v>
      </c>
      <c r="T298" s="17">
        <v>96.6</v>
      </c>
      <c r="U298" s="50">
        <v>62.25</v>
      </c>
      <c r="V298" s="50">
        <v>51.93</v>
      </c>
      <c r="W298" s="50">
        <v>68.489999999999995</v>
      </c>
      <c r="X298" s="50">
        <v>83.22</v>
      </c>
      <c r="Y298" s="50">
        <v>39.33</v>
      </c>
      <c r="Z298" s="50">
        <v>98.52</v>
      </c>
      <c r="AA298" s="50">
        <v>83.8</v>
      </c>
      <c r="AB298" s="50">
        <v>81.27</v>
      </c>
      <c r="AC298" s="50">
        <v>12.28</v>
      </c>
      <c r="AD298" s="50">
        <v>58.16</v>
      </c>
      <c r="AE298" s="17">
        <v>33.71</v>
      </c>
      <c r="AF298" s="17">
        <v>46.91</v>
      </c>
      <c r="AG298" s="17">
        <v>36.97</v>
      </c>
      <c r="AH298" s="17">
        <v>47.34</v>
      </c>
      <c r="AI298" s="17">
        <v>1.341</v>
      </c>
      <c r="AJ298" s="17">
        <v>39.229999999999997</v>
      </c>
      <c r="AK298" s="17"/>
      <c r="AL298" s="17"/>
      <c r="AM298" s="17"/>
      <c r="AN298" s="17"/>
      <c r="AO298" s="17"/>
      <c r="AP298" s="17"/>
      <c r="AQ298" s="17"/>
      <c r="AR298" s="17"/>
      <c r="AS298" s="17"/>
      <c r="AT298" t="s">
        <v>493</v>
      </c>
    </row>
    <row r="299" spans="1:46" x14ac:dyDescent="0.2">
      <c r="A299" s="115">
        <v>297.99999999999829</v>
      </c>
      <c r="C299" s="4">
        <v>21.297999999999998</v>
      </c>
      <c r="D299" s="96" t="s">
        <v>290</v>
      </c>
      <c r="E299" t="s">
        <v>291</v>
      </c>
      <c r="F299" s="3" t="s">
        <v>292</v>
      </c>
      <c r="G299"/>
      <c r="H299"/>
      <c r="I299" s="82">
        <v>44238</v>
      </c>
      <c r="J299" s="16" t="s">
        <v>492</v>
      </c>
      <c r="K299" s="17" t="s">
        <v>235</v>
      </c>
      <c r="L299" s="56"/>
      <c r="M299" s="56"/>
      <c r="N299" s="17">
        <v>265.12</v>
      </c>
      <c r="O299" s="17">
        <v>169.6</v>
      </c>
      <c r="P299" s="17">
        <v>179.82</v>
      </c>
      <c r="Q299" s="17">
        <v>43.17</v>
      </c>
      <c r="R299" s="17">
        <v>18.28</v>
      </c>
      <c r="S299" s="17">
        <v>112.48</v>
      </c>
      <c r="T299" s="17">
        <v>92.49</v>
      </c>
      <c r="U299" s="50">
        <v>65.819999999999993</v>
      </c>
      <c r="V299" s="50">
        <v>51.39</v>
      </c>
      <c r="W299" s="50">
        <v>70.98</v>
      </c>
      <c r="X299" s="50">
        <v>86.7</v>
      </c>
      <c r="Y299" s="50">
        <v>35.74</v>
      </c>
      <c r="Z299" s="50">
        <v>99.86</v>
      </c>
      <c r="AA299" s="50">
        <v>84.71</v>
      </c>
      <c r="AB299" s="50">
        <v>81.61</v>
      </c>
      <c r="AC299" s="50">
        <v>10.029999999999999</v>
      </c>
      <c r="AD299" s="50">
        <v>59.18</v>
      </c>
      <c r="AE299" s="17">
        <v>31.34</v>
      </c>
      <c r="AF299" s="17">
        <v>50.42</v>
      </c>
      <c r="AG299" s="17">
        <v>41.71</v>
      </c>
      <c r="AH299" s="17">
        <v>50.37</v>
      </c>
      <c r="AI299" s="17">
        <v>1.37</v>
      </c>
      <c r="AJ299" s="17">
        <v>41.5</v>
      </c>
      <c r="AK299" s="17"/>
      <c r="AL299" s="17"/>
      <c r="AM299" s="17"/>
      <c r="AN299" s="17"/>
      <c r="AO299" s="17"/>
      <c r="AP299" s="17"/>
      <c r="AQ299" s="17"/>
      <c r="AR299" s="17"/>
      <c r="AS299" s="17"/>
      <c r="AT299" t="s">
        <v>493</v>
      </c>
    </row>
    <row r="300" spans="1:46" x14ac:dyDescent="0.2">
      <c r="A300" s="115">
        <v>298.99999999999949</v>
      </c>
      <c r="C300" s="4">
        <v>21.298999999999999</v>
      </c>
      <c r="D300" s="96" t="s">
        <v>290</v>
      </c>
      <c r="E300" t="s">
        <v>291</v>
      </c>
      <c r="F300" s="3" t="s">
        <v>292</v>
      </c>
      <c r="G300"/>
      <c r="H300"/>
      <c r="I300" s="82">
        <v>44238</v>
      </c>
      <c r="J300" s="16" t="s">
        <v>492</v>
      </c>
      <c r="K300" s="17" t="s">
        <v>235</v>
      </c>
      <c r="L300" s="56"/>
      <c r="M300" s="56"/>
      <c r="N300" s="17">
        <v>266.74</v>
      </c>
      <c r="O300" s="17">
        <v>165.76</v>
      </c>
      <c r="P300" s="17">
        <v>175.52</v>
      </c>
      <c r="Q300" s="17">
        <v>39.090000000000003</v>
      </c>
      <c r="R300" s="17">
        <v>15.78</v>
      </c>
      <c r="S300" s="17">
        <v>111.28</v>
      </c>
      <c r="T300" s="17">
        <v>96.11</v>
      </c>
      <c r="U300" s="50">
        <v>59.67</v>
      </c>
      <c r="V300" s="50">
        <v>49.77</v>
      </c>
      <c r="W300" s="50">
        <v>67.03</v>
      </c>
      <c r="X300" s="50">
        <v>82.68</v>
      </c>
      <c r="Y300" s="50">
        <v>42.96</v>
      </c>
      <c r="Z300" s="50">
        <v>93.76</v>
      </c>
      <c r="AA300" s="50">
        <v>78.75</v>
      </c>
      <c r="AB300" s="50">
        <v>79.819999999999993</v>
      </c>
      <c r="AC300" s="50">
        <v>14.95</v>
      </c>
      <c r="AD300" s="50">
        <v>61.47</v>
      </c>
      <c r="AE300" s="17">
        <v>31.07</v>
      </c>
      <c r="AF300" s="17">
        <v>49.25</v>
      </c>
      <c r="AG300" s="17">
        <v>39.25</v>
      </c>
      <c r="AH300" s="17">
        <v>46.98</v>
      </c>
      <c r="AI300" s="17">
        <v>1.4279999999999999</v>
      </c>
      <c r="AJ300" s="17">
        <v>41.57</v>
      </c>
      <c r="AK300" s="17"/>
      <c r="AL300" s="17"/>
      <c r="AM300" s="17"/>
      <c r="AN300" s="17"/>
      <c r="AO300" s="17"/>
      <c r="AP300" s="17"/>
      <c r="AQ300" s="17"/>
      <c r="AR300" s="17"/>
      <c r="AS300" s="17"/>
      <c r="AT300" t="s">
        <v>493</v>
      </c>
    </row>
    <row r="301" spans="1:46" x14ac:dyDescent="0.2">
      <c r="A301" s="115">
        <v>300.00000000000068</v>
      </c>
      <c r="C301" s="2" t="s">
        <v>557</v>
      </c>
      <c r="D301" s="96" t="s">
        <v>290</v>
      </c>
      <c r="E301" t="s">
        <v>291</v>
      </c>
      <c r="F301" s="3" t="s">
        <v>292</v>
      </c>
      <c r="I301" s="82">
        <v>44264</v>
      </c>
      <c r="J301" s="16" t="s">
        <v>492</v>
      </c>
      <c r="K301" s="17" t="s">
        <v>203</v>
      </c>
      <c r="L301" s="56"/>
      <c r="M301" s="56"/>
      <c r="N301" s="17">
        <v>230.5</v>
      </c>
      <c r="O301" s="17">
        <v>177.44</v>
      </c>
      <c r="P301" s="17">
        <v>186.52</v>
      </c>
      <c r="Q301" s="17">
        <v>41.87</v>
      </c>
      <c r="R301" s="17">
        <v>19.04</v>
      </c>
      <c r="S301" s="17">
        <v>117.12</v>
      </c>
      <c r="T301" s="17">
        <v>92.61</v>
      </c>
      <c r="U301" s="50">
        <v>61.85</v>
      </c>
      <c r="V301" s="50">
        <v>49.48</v>
      </c>
      <c r="W301" s="50">
        <v>67.180000000000007</v>
      </c>
      <c r="X301" s="50">
        <v>86.53</v>
      </c>
      <c r="Y301" s="50">
        <v>38.9</v>
      </c>
      <c r="Z301" s="50">
        <v>98.14</v>
      </c>
      <c r="AA301" s="50">
        <v>82.29</v>
      </c>
      <c r="AB301" s="50">
        <v>79.760000000000005</v>
      </c>
      <c r="AC301" s="50">
        <v>17.57</v>
      </c>
      <c r="AD301" s="50">
        <v>59.44</v>
      </c>
      <c r="AE301" s="17">
        <v>35.08</v>
      </c>
      <c r="AF301" s="17">
        <v>49.46</v>
      </c>
      <c r="AG301" s="17">
        <v>42.28</v>
      </c>
      <c r="AH301" s="17">
        <v>48.86</v>
      </c>
      <c r="AI301" s="17">
        <v>1.091</v>
      </c>
      <c r="AJ301" s="17"/>
      <c r="AK301" s="17"/>
      <c r="AL301" s="17"/>
      <c r="AM301" s="17"/>
      <c r="AN301" s="17"/>
      <c r="AO301" s="17"/>
      <c r="AP301" s="17"/>
      <c r="AQ301" s="17"/>
      <c r="AR301" s="17">
        <v>48.8</v>
      </c>
      <c r="AS301" s="130">
        <v>19.2</v>
      </c>
      <c r="AT301" t="s">
        <v>493</v>
      </c>
    </row>
    <row r="302" spans="1:46" x14ac:dyDescent="0.2">
      <c r="A302" s="115">
        <v>300.99999999999841</v>
      </c>
      <c r="C302" s="4">
        <v>21.300999999999998</v>
      </c>
      <c r="D302" s="96" t="s">
        <v>290</v>
      </c>
      <c r="E302" t="s">
        <v>291</v>
      </c>
      <c r="F302" s="3" t="s">
        <v>292</v>
      </c>
      <c r="G302" s="17"/>
      <c r="H302" s="17"/>
      <c r="I302" s="82">
        <v>44285</v>
      </c>
      <c r="J302" s="16" t="s">
        <v>492</v>
      </c>
      <c r="K302" s="17" t="s">
        <v>235</v>
      </c>
      <c r="L302" s="56"/>
      <c r="M302" s="56"/>
      <c r="N302" s="17"/>
      <c r="O302" s="17">
        <v>180.71</v>
      </c>
      <c r="P302" s="17">
        <v>191.32</v>
      </c>
      <c r="Q302" s="17">
        <v>39.07</v>
      </c>
      <c r="R302" s="17">
        <v>23.04</v>
      </c>
      <c r="S302" s="17">
        <v>121.6</v>
      </c>
      <c r="T302" s="17">
        <v>95.81</v>
      </c>
      <c r="U302" s="50">
        <v>61.63</v>
      </c>
      <c r="V302" s="50">
        <v>48.94</v>
      </c>
      <c r="W302" s="50">
        <v>68.17</v>
      </c>
      <c r="X302" s="50">
        <v>87.51</v>
      </c>
      <c r="Y302" s="50">
        <v>38.54</v>
      </c>
      <c r="Z302" s="50">
        <v>100.28</v>
      </c>
      <c r="AA302" s="50">
        <v>81.03</v>
      </c>
      <c r="AB302" s="50">
        <v>79.62</v>
      </c>
      <c r="AC302" s="50">
        <v>14.24</v>
      </c>
      <c r="AD302" s="50"/>
      <c r="AE302" s="17">
        <v>34.01</v>
      </c>
      <c r="AF302" s="17">
        <v>44.31</v>
      </c>
      <c r="AG302" s="17">
        <v>43.9</v>
      </c>
      <c r="AH302" s="17">
        <v>45.37</v>
      </c>
      <c r="AI302" s="17">
        <v>1.2290000000000001</v>
      </c>
      <c r="AJ302" s="17"/>
      <c r="AK302" s="17"/>
      <c r="AL302" s="17"/>
      <c r="AM302" s="17"/>
      <c r="AN302" s="17"/>
      <c r="AO302" s="17"/>
      <c r="AP302" s="17"/>
      <c r="AQ302" s="17"/>
      <c r="AR302" s="17">
        <v>48.59</v>
      </c>
      <c r="AS302" s="130">
        <v>18.91</v>
      </c>
      <c r="AT302" t="s">
        <v>493</v>
      </c>
    </row>
    <row r="303" spans="1:46" x14ac:dyDescent="0.2">
      <c r="A303" s="115">
        <v>301.9999999999996</v>
      </c>
      <c r="C303" s="4">
        <v>21.302</v>
      </c>
      <c r="D303" s="96" t="s">
        <v>290</v>
      </c>
      <c r="E303" t="s">
        <v>291</v>
      </c>
      <c r="F303" s="3" t="s">
        <v>292</v>
      </c>
      <c r="I303" s="82">
        <v>44278</v>
      </c>
      <c r="J303" s="16" t="s">
        <v>492</v>
      </c>
      <c r="K303" s="17" t="s">
        <v>203</v>
      </c>
      <c r="L303" s="56"/>
      <c r="M303" s="56"/>
      <c r="N303" s="17">
        <v>243.62</v>
      </c>
      <c r="O303" s="17">
        <v>173.51</v>
      </c>
      <c r="P303" s="17">
        <v>180.51</v>
      </c>
      <c r="Q303" s="17">
        <v>40.67</v>
      </c>
      <c r="R303" s="17">
        <v>18.329999999999998</v>
      </c>
      <c r="S303" s="17">
        <v>113.98</v>
      </c>
      <c r="T303" s="17">
        <v>93.61</v>
      </c>
      <c r="U303" s="50">
        <v>64.69</v>
      </c>
      <c r="V303" s="50">
        <v>50.87</v>
      </c>
      <c r="W303" s="50">
        <v>68.7</v>
      </c>
      <c r="X303" s="50">
        <v>87.98</v>
      </c>
      <c r="Y303" s="50">
        <v>38.54</v>
      </c>
      <c r="Z303" s="50">
        <v>97.88</v>
      </c>
      <c r="AA303" s="50">
        <v>77.180000000000007</v>
      </c>
      <c r="AB303" s="50">
        <v>80.459999999999994</v>
      </c>
      <c r="AC303" s="50">
        <v>10.82</v>
      </c>
      <c r="AD303" s="50">
        <v>54.42</v>
      </c>
      <c r="AE303" s="17">
        <v>31.38</v>
      </c>
      <c r="AF303" s="17">
        <v>50.95</v>
      </c>
      <c r="AG303" s="17">
        <v>41.04</v>
      </c>
      <c r="AH303" s="17">
        <v>54.04</v>
      </c>
      <c r="AI303" s="17">
        <v>1.5469999999999999</v>
      </c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t="s">
        <v>493</v>
      </c>
    </row>
    <row r="304" spans="1:46" x14ac:dyDescent="0.2">
      <c r="A304" s="115">
        <v>303.0000000000008</v>
      </c>
      <c r="C304" s="4">
        <v>21.303000000000001</v>
      </c>
      <c r="D304" s="96" t="s">
        <v>290</v>
      </c>
      <c r="E304" t="s">
        <v>291</v>
      </c>
      <c r="F304" s="3" t="s">
        <v>292</v>
      </c>
      <c r="I304" s="82">
        <v>44278</v>
      </c>
      <c r="J304" s="16" t="s">
        <v>492</v>
      </c>
      <c r="K304" s="17" t="s">
        <v>235</v>
      </c>
      <c r="L304" s="56"/>
      <c r="M304" s="56"/>
      <c r="N304" s="17">
        <v>260.76</v>
      </c>
      <c r="O304" s="17">
        <v>165.8</v>
      </c>
      <c r="P304" s="17">
        <v>172.66</v>
      </c>
      <c r="Q304" s="17">
        <v>39</v>
      </c>
      <c r="R304" s="17">
        <v>16.010000000000002</v>
      </c>
      <c r="S304" s="17">
        <v>107.41</v>
      </c>
      <c r="T304" s="17">
        <v>89.82</v>
      </c>
      <c r="U304" s="50">
        <v>62.03</v>
      </c>
      <c r="V304" s="50">
        <v>49.51</v>
      </c>
      <c r="W304" s="50">
        <v>68.22</v>
      </c>
      <c r="X304" s="50">
        <v>84.96</v>
      </c>
      <c r="Y304" s="50">
        <v>38.159999999999997</v>
      </c>
      <c r="Z304" s="50">
        <v>98.79</v>
      </c>
      <c r="AA304" s="50">
        <v>81.84</v>
      </c>
      <c r="AB304" s="50">
        <v>80.69</v>
      </c>
      <c r="AC304" s="50">
        <v>14.43</v>
      </c>
      <c r="AD304" s="50">
        <v>59.26</v>
      </c>
      <c r="AE304" s="17">
        <v>30.72</v>
      </c>
      <c r="AF304" s="17">
        <v>43.11</v>
      </c>
      <c r="AG304" s="17">
        <v>36.340000000000003</v>
      </c>
      <c r="AH304" s="17">
        <v>45.45</v>
      </c>
      <c r="AI304" s="17">
        <v>1.266</v>
      </c>
      <c r="AJ304" s="17">
        <v>33.549999999999997</v>
      </c>
      <c r="AK304" s="17"/>
      <c r="AL304" s="17"/>
      <c r="AM304" s="17"/>
      <c r="AN304" s="17"/>
      <c r="AO304" s="17"/>
      <c r="AP304" s="17"/>
      <c r="AQ304" s="17"/>
      <c r="AR304" s="17"/>
      <c r="AS304" s="17"/>
      <c r="AT304" t="s">
        <v>493</v>
      </c>
    </row>
    <row r="305" spans="1:46" x14ac:dyDescent="0.2">
      <c r="A305" s="115">
        <v>303.99999999999852</v>
      </c>
      <c r="B305" s="3" t="s">
        <v>558</v>
      </c>
      <c r="C305" s="4">
        <v>21.303999999999998</v>
      </c>
      <c r="D305" s="96" t="s">
        <v>290</v>
      </c>
      <c r="E305" t="s">
        <v>291</v>
      </c>
      <c r="F305" s="3" t="s">
        <v>292</v>
      </c>
      <c r="I305" s="82">
        <v>44278</v>
      </c>
      <c r="J305" s="16" t="s">
        <v>492</v>
      </c>
      <c r="K305" s="128"/>
      <c r="L305" s="56"/>
      <c r="M305" s="56"/>
      <c r="N305" s="17">
        <v>247.44</v>
      </c>
      <c r="O305" s="17">
        <v>180.65</v>
      </c>
      <c r="P305" s="17">
        <v>191.28</v>
      </c>
      <c r="Q305" s="17">
        <v>40.29</v>
      </c>
      <c r="R305" s="17">
        <v>22.45</v>
      </c>
      <c r="S305" s="17">
        <v>119.41</v>
      </c>
      <c r="T305" s="17">
        <v>93.51</v>
      </c>
      <c r="U305" s="50">
        <v>64.010000000000005</v>
      </c>
      <c r="V305" s="50">
        <v>50.67</v>
      </c>
      <c r="W305" s="50">
        <v>70.59</v>
      </c>
      <c r="X305" s="50">
        <v>87.22</v>
      </c>
      <c r="Y305" s="50">
        <v>38.520000000000003</v>
      </c>
      <c r="Z305" s="50">
        <v>99.33</v>
      </c>
      <c r="AA305" s="50">
        <v>80.430000000000007</v>
      </c>
      <c r="AB305" s="50">
        <v>80.569999999999993</v>
      </c>
      <c r="AC305" s="50">
        <v>12.78</v>
      </c>
      <c r="AD305" s="50">
        <v>54.11</v>
      </c>
      <c r="AE305" s="17">
        <v>37.619999999999997</v>
      </c>
      <c r="AF305" s="17">
        <v>52.25</v>
      </c>
      <c r="AG305" s="17">
        <v>47.45</v>
      </c>
      <c r="AH305" s="17">
        <v>52.46</v>
      </c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t="s">
        <v>493</v>
      </c>
    </row>
    <row r="306" spans="1:46" x14ac:dyDescent="0.2">
      <c r="A306" s="115">
        <v>304.99999999999972</v>
      </c>
      <c r="C306" s="4">
        <v>21.305</v>
      </c>
      <c r="D306" s="96" t="s">
        <v>290</v>
      </c>
      <c r="E306" t="s">
        <v>291</v>
      </c>
      <c r="F306" s="3" t="s">
        <v>292</v>
      </c>
      <c r="I306" s="82">
        <v>44278</v>
      </c>
      <c r="J306" s="16" t="s">
        <v>492</v>
      </c>
      <c r="K306" s="17" t="s">
        <v>203</v>
      </c>
      <c r="L306" s="56"/>
      <c r="M306" s="56"/>
      <c r="N306" s="17">
        <v>218.48</v>
      </c>
      <c r="O306" s="17">
        <v>174.89</v>
      </c>
      <c r="P306" s="17">
        <v>184.08</v>
      </c>
      <c r="Q306" s="17">
        <v>41.96</v>
      </c>
      <c r="R306" s="17">
        <v>18.54</v>
      </c>
      <c r="S306" s="17">
        <v>113.8</v>
      </c>
      <c r="T306" s="17">
        <v>90.15</v>
      </c>
      <c r="U306" s="50">
        <v>62.18</v>
      </c>
      <c r="V306" s="50">
        <v>50.71</v>
      </c>
      <c r="W306" s="50">
        <v>68.23</v>
      </c>
      <c r="X306" s="50">
        <v>86.48</v>
      </c>
      <c r="Y306" s="50">
        <v>37.9</v>
      </c>
      <c r="Z306" s="50">
        <v>98.05</v>
      </c>
      <c r="AA306" s="50">
        <v>79.59</v>
      </c>
      <c r="AB306" s="50">
        <v>81.77</v>
      </c>
      <c r="AC306" s="50">
        <v>14.18</v>
      </c>
      <c r="AD306" s="50">
        <v>53.26</v>
      </c>
      <c r="AE306" s="17">
        <v>35.950000000000003</v>
      </c>
      <c r="AF306" s="17">
        <v>46.03</v>
      </c>
      <c r="AG306" s="17">
        <v>42.53</v>
      </c>
      <c r="AH306" s="17">
        <v>47.52</v>
      </c>
      <c r="AI306" s="17">
        <v>1.655</v>
      </c>
      <c r="AJ306" s="17"/>
      <c r="AK306" s="17"/>
      <c r="AL306" s="17"/>
      <c r="AM306" s="17"/>
      <c r="AN306" s="17"/>
      <c r="AO306" s="17"/>
      <c r="AP306" s="17"/>
      <c r="AQ306" s="17"/>
      <c r="AR306" s="17">
        <v>48.83</v>
      </c>
      <c r="AS306" s="17">
        <v>19.145</v>
      </c>
      <c r="AT306" t="s">
        <v>493</v>
      </c>
    </row>
    <row r="307" spans="1:46" x14ac:dyDescent="0.2">
      <c r="A307" s="115">
        <v>306.00000000000091</v>
      </c>
      <c r="C307" s="4">
        <v>21.306000000000001</v>
      </c>
      <c r="D307" s="96" t="s">
        <v>290</v>
      </c>
      <c r="E307" t="s">
        <v>291</v>
      </c>
      <c r="F307" s="3" t="s">
        <v>292</v>
      </c>
      <c r="G307" s="18"/>
      <c r="H307" s="18"/>
      <c r="I307" s="82">
        <v>44244</v>
      </c>
      <c r="J307" s="16" t="s">
        <v>492</v>
      </c>
      <c r="K307" s="17" t="s">
        <v>235</v>
      </c>
      <c r="L307" s="56"/>
      <c r="M307" s="56"/>
      <c r="N307" s="17">
        <v>268.95</v>
      </c>
      <c r="O307" s="17">
        <v>176.96</v>
      </c>
      <c r="P307" s="17">
        <v>182.42</v>
      </c>
      <c r="Q307" s="17">
        <v>40.4</v>
      </c>
      <c r="R307" s="17">
        <v>23.53</v>
      </c>
      <c r="S307" s="17">
        <v>118.61</v>
      </c>
      <c r="T307" s="17">
        <v>96.75</v>
      </c>
      <c r="U307" s="50">
        <v>59.65</v>
      </c>
      <c r="V307" s="50">
        <v>49.18</v>
      </c>
      <c r="W307" s="50">
        <v>66.08</v>
      </c>
      <c r="X307" s="50">
        <v>83.69</v>
      </c>
      <c r="Y307" s="50">
        <v>38.21</v>
      </c>
      <c r="Z307" s="50">
        <v>96.95</v>
      </c>
      <c r="AA307" s="50">
        <v>80.25</v>
      </c>
      <c r="AB307" s="50">
        <v>79.010000000000005</v>
      </c>
      <c r="AC307" s="50">
        <v>10.97</v>
      </c>
      <c r="AD307" s="50">
        <v>59.94</v>
      </c>
      <c r="AE307" s="17">
        <v>35.770000000000003</v>
      </c>
      <c r="AF307" s="17">
        <v>47.61</v>
      </c>
      <c r="AG307" s="17">
        <v>40.549999999999997</v>
      </c>
      <c r="AH307" s="17">
        <v>48.17</v>
      </c>
      <c r="AI307" s="17">
        <v>1.196</v>
      </c>
      <c r="AJ307" s="17">
        <v>38.11</v>
      </c>
      <c r="AK307" s="17"/>
      <c r="AL307" s="17"/>
      <c r="AM307" s="17"/>
      <c r="AN307" s="17"/>
      <c r="AO307" s="17"/>
      <c r="AP307" s="17"/>
      <c r="AQ307" s="17"/>
      <c r="AR307" s="17"/>
      <c r="AS307" s="17"/>
      <c r="AT307" t="s">
        <v>493</v>
      </c>
    </row>
    <row r="308" spans="1:46" x14ac:dyDescent="0.2">
      <c r="A308" s="115">
        <v>306.99999999999864</v>
      </c>
      <c r="C308" s="4">
        <v>21.306999999999999</v>
      </c>
      <c r="D308" s="96" t="s">
        <v>290</v>
      </c>
      <c r="E308" t="s">
        <v>291</v>
      </c>
      <c r="F308" s="3" t="s">
        <v>292</v>
      </c>
      <c r="G308" s="18"/>
      <c r="H308" s="18"/>
      <c r="I308" s="82">
        <v>44259</v>
      </c>
      <c r="J308" s="16" t="s">
        <v>492</v>
      </c>
      <c r="K308" s="17" t="s">
        <v>203</v>
      </c>
      <c r="L308" s="56"/>
      <c r="M308" s="56"/>
      <c r="N308" s="17">
        <v>221.85</v>
      </c>
      <c r="O308" s="17">
        <v>177.95</v>
      </c>
      <c r="P308" s="17">
        <v>185.97</v>
      </c>
      <c r="Q308" s="17">
        <v>44.14</v>
      </c>
      <c r="R308" s="17">
        <v>21.53</v>
      </c>
      <c r="S308" s="17">
        <v>118.41</v>
      </c>
      <c r="T308" s="17">
        <v>91.79</v>
      </c>
      <c r="U308" s="50">
        <v>62.88</v>
      </c>
      <c r="V308" s="50">
        <v>49.47</v>
      </c>
      <c r="W308" s="50">
        <v>68.53</v>
      </c>
      <c r="X308" s="50">
        <v>85.06</v>
      </c>
      <c r="Y308" s="50">
        <v>39.15</v>
      </c>
      <c r="Z308" s="50">
        <v>96.05</v>
      </c>
      <c r="AA308" s="50">
        <v>75.260000000000005</v>
      </c>
      <c r="AB308" s="50">
        <v>80.2</v>
      </c>
      <c r="AC308" s="50">
        <v>11.03</v>
      </c>
      <c r="AD308" s="50">
        <v>54</v>
      </c>
      <c r="AE308" s="17">
        <v>36.53</v>
      </c>
      <c r="AF308" s="17">
        <v>47.58</v>
      </c>
      <c r="AG308" s="17">
        <v>42.44</v>
      </c>
      <c r="AH308" s="17">
        <v>49.6</v>
      </c>
      <c r="AI308" s="17">
        <v>1.752</v>
      </c>
      <c r="AJ308" s="17"/>
      <c r="AK308" s="17"/>
      <c r="AL308" s="17"/>
      <c r="AM308" s="17"/>
      <c r="AN308" s="17"/>
      <c r="AO308" s="17"/>
      <c r="AP308" s="17"/>
      <c r="AQ308" s="17"/>
      <c r="AR308" s="17">
        <v>48.69</v>
      </c>
      <c r="AS308" s="17">
        <v>18.898</v>
      </c>
      <c r="AT308" t="s">
        <v>493</v>
      </c>
    </row>
    <row r="309" spans="1:46" x14ac:dyDescent="0.2">
      <c r="A309" s="115">
        <v>307.99999999999983</v>
      </c>
      <c r="C309" s="4">
        <v>21.308</v>
      </c>
      <c r="D309" s="96" t="s">
        <v>290</v>
      </c>
      <c r="E309" t="s">
        <v>291</v>
      </c>
      <c r="F309" s="3" t="s">
        <v>292</v>
      </c>
      <c r="G309" s="18"/>
      <c r="H309" s="18"/>
      <c r="I309" s="82">
        <v>44224</v>
      </c>
      <c r="J309" s="16" t="s">
        <v>492</v>
      </c>
      <c r="K309" s="17" t="s">
        <v>235</v>
      </c>
      <c r="L309" s="56"/>
      <c r="M309" s="56"/>
      <c r="N309" s="17">
        <v>273.11</v>
      </c>
      <c r="O309" s="17">
        <v>179.91</v>
      </c>
      <c r="P309" s="17">
        <v>189.9</v>
      </c>
      <c r="Q309" s="17">
        <v>41.54</v>
      </c>
      <c r="R309" s="17">
        <v>19.8</v>
      </c>
      <c r="S309" s="17">
        <v>116.93</v>
      </c>
      <c r="T309" s="17">
        <v>96.45</v>
      </c>
      <c r="U309" s="50">
        <v>62.64</v>
      </c>
      <c r="V309" s="50">
        <v>48.39</v>
      </c>
      <c r="W309" s="50">
        <v>69.09</v>
      </c>
      <c r="X309" s="50">
        <v>86.56</v>
      </c>
      <c r="Y309" s="50">
        <v>38.33</v>
      </c>
      <c r="Z309" s="50">
        <v>100.52</v>
      </c>
      <c r="AA309" s="50">
        <v>83.12</v>
      </c>
      <c r="AB309" s="50">
        <v>82.5</v>
      </c>
      <c r="AC309" s="50">
        <v>5.64</v>
      </c>
      <c r="AD309" s="50">
        <v>58.93</v>
      </c>
      <c r="AE309" s="17">
        <v>30.28</v>
      </c>
      <c r="AF309" s="17">
        <v>51.11</v>
      </c>
      <c r="AG309" s="17">
        <v>41.41</v>
      </c>
      <c r="AH309" s="17">
        <v>53.23</v>
      </c>
      <c r="AI309" s="17">
        <v>1.2709999999999999</v>
      </c>
      <c r="AJ309" s="17">
        <v>42.69</v>
      </c>
      <c r="AK309" s="17"/>
      <c r="AL309" s="17"/>
      <c r="AM309" s="17"/>
      <c r="AN309" s="17"/>
      <c r="AO309" s="17"/>
      <c r="AP309" s="17"/>
      <c r="AQ309" s="17"/>
      <c r="AR309" s="17"/>
      <c r="AS309" s="17"/>
      <c r="AT309" t="s">
        <v>493</v>
      </c>
    </row>
    <row r="310" spans="1:46" x14ac:dyDescent="0.2">
      <c r="A310" s="115">
        <v>309.00000000000102</v>
      </c>
      <c r="C310" s="4">
        <v>21.309000000000001</v>
      </c>
      <c r="D310" s="96" t="s">
        <v>290</v>
      </c>
      <c r="E310" t="s">
        <v>291</v>
      </c>
      <c r="F310" s="3" t="s">
        <v>292</v>
      </c>
      <c r="I310" s="82">
        <v>44279</v>
      </c>
      <c r="J310" s="16" t="s">
        <v>492</v>
      </c>
      <c r="K310" s="17" t="s">
        <v>235</v>
      </c>
      <c r="L310" s="56"/>
      <c r="M310" s="56"/>
      <c r="N310" s="17">
        <v>269.08</v>
      </c>
      <c r="O310" s="17">
        <v>172.78</v>
      </c>
      <c r="P310" s="17">
        <v>176.51</v>
      </c>
      <c r="Q310" s="17">
        <v>38.85</v>
      </c>
      <c r="R310" s="17">
        <v>21.56</v>
      </c>
      <c r="S310" s="17">
        <v>113.83</v>
      </c>
      <c r="T310" s="17">
        <v>92.09</v>
      </c>
      <c r="U310" s="50">
        <v>65.3</v>
      </c>
      <c r="V310" s="50">
        <v>51.76</v>
      </c>
      <c r="W310" s="50">
        <v>70.45</v>
      </c>
      <c r="X310" s="50">
        <v>86.48</v>
      </c>
      <c r="Y310" s="50">
        <v>40.82</v>
      </c>
      <c r="Z310" s="50">
        <v>101.22</v>
      </c>
      <c r="AA310" s="50">
        <v>86.44</v>
      </c>
      <c r="AB310" s="50">
        <v>81.540000000000006</v>
      </c>
      <c r="AC310" s="50">
        <v>21.86</v>
      </c>
      <c r="AD310" s="50">
        <v>59.75</v>
      </c>
      <c r="AE310" s="17">
        <v>31.16</v>
      </c>
      <c r="AF310" s="17">
        <v>43.9</v>
      </c>
      <c r="AG310" s="17">
        <v>40.880000000000003</v>
      </c>
      <c r="AH310" s="17">
        <v>45.19</v>
      </c>
      <c r="AI310" s="17">
        <v>1.1120000000000001</v>
      </c>
      <c r="AJ310" s="17">
        <v>42.19</v>
      </c>
      <c r="AK310" s="17"/>
      <c r="AL310" s="17"/>
      <c r="AM310" s="17"/>
      <c r="AN310" s="17"/>
      <c r="AO310" s="17"/>
      <c r="AP310" s="17"/>
      <c r="AQ310" s="17"/>
      <c r="AR310" s="17"/>
      <c r="AS310" s="17"/>
      <c r="AT310" t="s">
        <v>493</v>
      </c>
    </row>
    <row r="311" spans="1:46" x14ac:dyDescent="0.2">
      <c r="A311" s="115">
        <v>309.99999999999875</v>
      </c>
      <c r="C311" s="2" t="s">
        <v>559</v>
      </c>
      <c r="D311" s="137" t="s">
        <v>290</v>
      </c>
      <c r="F311" s="3" t="s">
        <v>292</v>
      </c>
      <c r="I311" s="82">
        <v>44292</v>
      </c>
      <c r="J311" s="16" t="s">
        <v>492</v>
      </c>
      <c r="K311" s="17" t="s">
        <v>235</v>
      </c>
      <c r="L311" s="56"/>
      <c r="M311" s="56"/>
      <c r="N311" s="17">
        <v>294.3</v>
      </c>
      <c r="O311" s="17">
        <v>171.04</v>
      </c>
      <c r="P311" s="17">
        <v>181.29</v>
      </c>
      <c r="Q311" s="17">
        <v>38.020000000000003</v>
      </c>
      <c r="R311" s="17"/>
      <c r="S311" s="17">
        <v>117.32</v>
      </c>
      <c r="T311" s="17">
        <v>99.01</v>
      </c>
      <c r="U311" s="50">
        <v>64.739999999999995</v>
      </c>
      <c r="V311" s="50">
        <v>50.04</v>
      </c>
      <c r="W311" s="50">
        <v>69.42</v>
      </c>
      <c r="X311" s="50">
        <v>83.37</v>
      </c>
      <c r="Y311" s="50">
        <v>37.1</v>
      </c>
      <c r="Z311" s="50">
        <v>93.87</v>
      </c>
      <c r="AA311" s="50">
        <v>78.09</v>
      </c>
      <c r="AB311" s="50">
        <v>75.3</v>
      </c>
      <c r="AC311" s="50">
        <v>21.66</v>
      </c>
      <c r="AD311" s="50">
        <v>63.63</v>
      </c>
      <c r="AE311" s="50">
        <v>33.08</v>
      </c>
      <c r="AF311" s="17">
        <v>42.26</v>
      </c>
      <c r="AG311" s="17">
        <v>49.34</v>
      </c>
      <c r="AH311" s="17">
        <v>45.66</v>
      </c>
      <c r="AI311" s="17">
        <v>1.149</v>
      </c>
      <c r="AJ311" s="17">
        <v>45.32</v>
      </c>
      <c r="AK311" s="17"/>
      <c r="AL311" s="17"/>
      <c r="AM311" s="17"/>
      <c r="AN311" s="17"/>
      <c r="AO311" s="17"/>
      <c r="AP311" s="17"/>
      <c r="AQ311" s="17"/>
      <c r="AR311" s="17"/>
      <c r="AS311" s="17"/>
      <c r="AT311" t="s">
        <v>493</v>
      </c>
    </row>
    <row r="312" spans="1:46" x14ac:dyDescent="0.2">
      <c r="A312" s="115">
        <v>310.99999999999994</v>
      </c>
      <c r="C312" s="4">
        <v>21.311</v>
      </c>
      <c r="D312" s="137" t="s">
        <v>290</v>
      </c>
      <c r="F312" s="3" t="s">
        <v>292</v>
      </c>
      <c r="I312" s="82">
        <v>44222</v>
      </c>
      <c r="J312" s="16" t="s">
        <v>492</v>
      </c>
      <c r="K312" s="17" t="s">
        <v>203</v>
      </c>
      <c r="L312" s="56"/>
      <c r="M312" s="56"/>
      <c r="N312" s="17">
        <v>215.35</v>
      </c>
      <c r="O312" s="17">
        <v>168</v>
      </c>
      <c r="P312" s="17">
        <v>185.67</v>
      </c>
      <c r="Q312" s="17">
        <v>42.15</v>
      </c>
      <c r="R312" s="17">
        <v>26.92</v>
      </c>
      <c r="S312" s="17">
        <v>110.07</v>
      </c>
      <c r="T312" s="17">
        <v>89.02</v>
      </c>
      <c r="U312" s="50">
        <v>58.39</v>
      </c>
      <c r="V312" s="50">
        <v>50.07</v>
      </c>
      <c r="W312" s="50">
        <v>63.95</v>
      </c>
      <c r="X312" s="50">
        <v>79.599999999999994</v>
      </c>
      <c r="Y312" s="50">
        <v>35.94</v>
      </c>
      <c r="Z312" s="50">
        <v>87.91</v>
      </c>
      <c r="AA312" s="50">
        <v>69.38</v>
      </c>
      <c r="AB312" s="50">
        <v>74.540000000000006</v>
      </c>
      <c r="AC312" s="50">
        <v>10.73</v>
      </c>
      <c r="AD312" s="50">
        <v>52.8</v>
      </c>
      <c r="AE312" s="50">
        <v>38.61</v>
      </c>
      <c r="AF312" s="17">
        <v>43.22</v>
      </c>
      <c r="AG312" s="17">
        <v>41.53</v>
      </c>
      <c r="AH312" s="17">
        <v>43.84</v>
      </c>
      <c r="AI312" s="17">
        <v>1.4139999999999999</v>
      </c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t="s">
        <v>493</v>
      </c>
    </row>
    <row r="313" spans="1:46" x14ac:dyDescent="0.2">
      <c r="A313" s="115">
        <v>312.00000000000114</v>
      </c>
      <c r="C313" s="4">
        <v>21.312000000000001</v>
      </c>
      <c r="D313" s="137" t="s">
        <v>290</v>
      </c>
      <c r="F313" s="3" t="s">
        <v>292</v>
      </c>
      <c r="I313" s="82">
        <v>44222</v>
      </c>
      <c r="J313" s="16" t="s">
        <v>492</v>
      </c>
      <c r="K313" s="17" t="s">
        <v>235</v>
      </c>
      <c r="L313" s="56"/>
      <c r="M313" s="56"/>
      <c r="N313" s="17">
        <v>278.42</v>
      </c>
      <c r="O313" s="17">
        <v>168.56</v>
      </c>
      <c r="P313" s="17">
        <v>180.02</v>
      </c>
      <c r="Q313" s="17">
        <v>35.93</v>
      </c>
      <c r="R313" s="17">
        <v>19.579999999999998</v>
      </c>
      <c r="S313" s="17">
        <v>116.84</v>
      </c>
      <c r="T313" s="17">
        <v>95.78</v>
      </c>
      <c r="U313" s="50">
        <v>64.81</v>
      </c>
      <c r="V313" s="50">
        <v>52.46</v>
      </c>
      <c r="W313" s="50">
        <v>66.72</v>
      </c>
      <c r="X313" s="50">
        <v>80.28</v>
      </c>
      <c r="Y313" s="50">
        <v>38.06</v>
      </c>
      <c r="Z313" s="50">
        <v>93.5</v>
      </c>
      <c r="AA313" s="50">
        <v>77.14</v>
      </c>
      <c r="AB313" s="50">
        <v>75.069999999999993</v>
      </c>
      <c r="AC313" s="50">
        <v>10.25</v>
      </c>
      <c r="AD313" s="50">
        <v>59.97</v>
      </c>
      <c r="AE313" s="50">
        <v>33.15</v>
      </c>
      <c r="AF313" s="17">
        <v>45.64</v>
      </c>
      <c r="AG313" s="17">
        <v>39.15</v>
      </c>
      <c r="AH313" s="17">
        <v>47.98</v>
      </c>
      <c r="AI313" s="17">
        <v>1.2629999999999999</v>
      </c>
      <c r="AJ313" s="17">
        <v>39.090000000000003</v>
      </c>
      <c r="AK313" s="17"/>
      <c r="AL313" s="17"/>
      <c r="AM313" s="17"/>
      <c r="AN313" s="17"/>
      <c r="AO313" s="17"/>
      <c r="AP313" s="17"/>
      <c r="AQ313" s="17"/>
      <c r="AR313" s="17"/>
      <c r="AS313" s="17"/>
      <c r="AT313" t="s">
        <v>493</v>
      </c>
    </row>
    <row r="314" spans="1:46" x14ac:dyDescent="0.2">
      <c r="A314" s="115">
        <v>312.99999999999886</v>
      </c>
      <c r="C314" s="4">
        <v>21.312999999999999</v>
      </c>
      <c r="D314" s="137" t="s">
        <v>560</v>
      </c>
      <c r="F314" s="3" t="s">
        <v>292</v>
      </c>
      <c r="I314" s="82">
        <v>44222</v>
      </c>
      <c r="J314" s="16" t="s">
        <v>492</v>
      </c>
      <c r="K314" s="17" t="s">
        <v>235</v>
      </c>
      <c r="L314" s="56"/>
      <c r="M314" s="56"/>
      <c r="N314" s="17">
        <v>265.07</v>
      </c>
      <c r="O314" s="17">
        <v>166.58</v>
      </c>
      <c r="P314" s="17">
        <v>174.24</v>
      </c>
      <c r="Q314" s="17">
        <v>35.61</v>
      </c>
      <c r="R314" s="17">
        <v>20.18</v>
      </c>
      <c r="S314" s="17">
        <v>111.11</v>
      </c>
      <c r="T314" s="17">
        <v>94.63</v>
      </c>
      <c r="U314" s="50">
        <v>62.32</v>
      </c>
      <c r="V314" s="50">
        <v>48.99</v>
      </c>
      <c r="W314" s="50">
        <v>68.61</v>
      </c>
      <c r="X314" s="50">
        <v>81.37</v>
      </c>
      <c r="Y314" s="50">
        <v>36.909999999999997</v>
      </c>
      <c r="Z314" s="50">
        <v>94.64</v>
      </c>
      <c r="AA314" s="50">
        <v>80.05</v>
      </c>
      <c r="AB314" s="50">
        <v>76.87</v>
      </c>
      <c r="AC314" s="50">
        <v>9.67</v>
      </c>
      <c r="AD314" s="50">
        <v>58.18</v>
      </c>
      <c r="AE314" s="50">
        <v>30.89</v>
      </c>
      <c r="AF314" s="17">
        <v>42.22</v>
      </c>
      <c r="AG314" s="17">
        <v>36.47</v>
      </c>
      <c r="AH314" s="17">
        <v>44.28</v>
      </c>
      <c r="AI314" s="17">
        <v>1.294</v>
      </c>
      <c r="AJ314" s="17">
        <v>44.71</v>
      </c>
      <c r="AK314" s="17"/>
      <c r="AL314" s="17"/>
      <c r="AM314" s="17"/>
      <c r="AN314" s="17"/>
      <c r="AO314" s="17"/>
      <c r="AP314" s="17"/>
      <c r="AQ314" s="17"/>
      <c r="AR314" s="17"/>
      <c r="AS314" s="17"/>
      <c r="AT314" t="s">
        <v>493</v>
      </c>
    </row>
    <row r="315" spans="1:46" x14ac:dyDescent="0.2">
      <c r="A315" s="115">
        <v>314.00000000000006</v>
      </c>
      <c r="C315" s="4">
        <v>21.314</v>
      </c>
      <c r="D315" s="137" t="s">
        <v>290</v>
      </c>
      <c r="F315" s="3" t="s">
        <v>292</v>
      </c>
      <c r="I315" s="82">
        <v>44222</v>
      </c>
      <c r="J315" s="16" t="s">
        <v>492</v>
      </c>
      <c r="K315" s="17" t="s">
        <v>203</v>
      </c>
      <c r="L315" s="56"/>
      <c r="M315" s="56"/>
      <c r="N315" s="17">
        <v>235.01</v>
      </c>
      <c r="O315" s="17">
        <v>178.08</v>
      </c>
      <c r="P315" s="17">
        <v>189.16</v>
      </c>
      <c r="Q315" s="17">
        <v>40.01</v>
      </c>
      <c r="R315" s="17">
        <v>24.39</v>
      </c>
      <c r="S315" s="17">
        <v>115.47</v>
      </c>
      <c r="T315" s="17">
        <v>91.61</v>
      </c>
      <c r="U315" s="50">
        <v>61.68</v>
      </c>
      <c r="V315" s="50">
        <v>49.57</v>
      </c>
      <c r="W315" s="50">
        <v>65.87</v>
      </c>
      <c r="X315" s="50">
        <v>85.04</v>
      </c>
      <c r="Y315" s="50">
        <v>39.15</v>
      </c>
      <c r="Z315" s="50">
        <v>95.32</v>
      </c>
      <c r="AA315" s="50">
        <v>73.790000000000006</v>
      </c>
      <c r="AB315" s="50">
        <v>79.28</v>
      </c>
      <c r="AC315" s="50">
        <v>13.03</v>
      </c>
      <c r="AD315" s="50">
        <v>52.84</v>
      </c>
      <c r="AE315" s="50">
        <v>37.590000000000003</v>
      </c>
      <c r="AF315" s="17">
        <v>48.1</v>
      </c>
      <c r="AG315" s="17">
        <v>44.21</v>
      </c>
      <c r="AH315" s="17">
        <v>46.78</v>
      </c>
      <c r="AI315" s="17">
        <v>1.6759999999999999</v>
      </c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t="s">
        <v>493</v>
      </c>
    </row>
    <row r="316" spans="1:46" x14ac:dyDescent="0.2">
      <c r="A316" s="115">
        <v>315.00000000000125</v>
      </c>
      <c r="C316" s="4">
        <v>21.315000000000001</v>
      </c>
      <c r="D316" s="137" t="s">
        <v>290</v>
      </c>
      <c r="F316" s="3" t="s">
        <v>292</v>
      </c>
      <c r="G316" s="17"/>
      <c r="H316" s="17"/>
      <c r="I316" s="82">
        <v>44222</v>
      </c>
      <c r="J316" s="16" t="s">
        <v>492</v>
      </c>
      <c r="K316" s="17" t="s">
        <v>235</v>
      </c>
      <c r="L316" s="56"/>
      <c r="M316" s="56"/>
      <c r="N316" s="17">
        <v>283.77</v>
      </c>
      <c r="O316" s="17">
        <v>172.98</v>
      </c>
      <c r="P316" s="17">
        <v>173.93</v>
      </c>
      <c r="Q316" s="17">
        <v>40.25</v>
      </c>
      <c r="R316" s="17">
        <v>18.940000000000001</v>
      </c>
      <c r="S316" s="17">
        <v>115.41</v>
      </c>
      <c r="T316" s="17">
        <v>97.02</v>
      </c>
      <c r="U316" s="50">
        <v>65.3</v>
      </c>
      <c r="V316" s="50">
        <v>52.49</v>
      </c>
      <c r="W316" s="50">
        <v>69.489999999999995</v>
      </c>
      <c r="X316" s="50">
        <v>86.46</v>
      </c>
      <c r="Y316" s="50">
        <v>39.659999999999997</v>
      </c>
      <c r="Z316" s="50">
        <v>97.77</v>
      </c>
      <c r="AA316" s="50">
        <v>82.22</v>
      </c>
      <c r="AB316" s="50">
        <v>78.150000000000006</v>
      </c>
      <c r="AC316" s="50">
        <v>10.64</v>
      </c>
      <c r="AD316" s="50">
        <v>58.91</v>
      </c>
      <c r="AE316" s="17">
        <v>28.19</v>
      </c>
      <c r="AF316" s="17">
        <v>49.81</v>
      </c>
      <c r="AG316" s="17">
        <v>38.119999999999997</v>
      </c>
      <c r="AH316" s="17">
        <v>51.88</v>
      </c>
      <c r="AI316" s="17">
        <v>1.371</v>
      </c>
      <c r="AJ316" s="17">
        <v>46.23</v>
      </c>
      <c r="AK316" s="17"/>
      <c r="AL316" s="17"/>
      <c r="AM316" s="17"/>
      <c r="AN316" s="17"/>
      <c r="AO316" s="17"/>
      <c r="AP316" s="17"/>
      <c r="AQ316" s="17"/>
      <c r="AR316" s="17"/>
      <c r="AS316" s="17"/>
      <c r="AT316" t="s">
        <v>493</v>
      </c>
    </row>
    <row r="317" spans="1:46" x14ac:dyDescent="0.2">
      <c r="A317" s="115">
        <v>315.99999999999898</v>
      </c>
      <c r="B317" s="3" t="s">
        <v>561</v>
      </c>
      <c r="C317" s="4">
        <v>21.315999999999999</v>
      </c>
      <c r="D317" s="131"/>
      <c r="F317" s="17"/>
      <c r="G317" s="17"/>
      <c r="H317" s="17"/>
      <c r="I317" s="82">
        <v>44392</v>
      </c>
      <c r="J317" s="16" t="s">
        <v>492</v>
      </c>
      <c r="K317" s="17" t="s">
        <v>203</v>
      </c>
      <c r="L317" s="56"/>
      <c r="M317" s="56"/>
      <c r="N317" s="17">
        <v>184.12</v>
      </c>
      <c r="O317" s="17">
        <v>177.11</v>
      </c>
      <c r="P317" s="17">
        <v>188.72</v>
      </c>
      <c r="Q317" s="17">
        <v>35.68</v>
      </c>
      <c r="R317" s="17">
        <v>21.41</v>
      </c>
      <c r="S317" s="17">
        <v>123.18</v>
      </c>
      <c r="T317" s="17">
        <v>95.87</v>
      </c>
      <c r="U317" s="50">
        <v>61.5</v>
      </c>
      <c r="V317" s="50">
        <v>51.34</v>
      </c>
      <c r="W317" s="50">
        <v>65.150000000000006</v>
      </c>
      <c r="X317" s="50">
        <v>79.91</v>
      </c>
      <c r="Y317" s="50">
        <v>37.72</v>
      </c>
      <c r="Z317" s="50">
        <v>85.24</v>
      </c>
      <c r="AA317" s="50">
        <v>71.34</v>
      </c>
      <c r="AB317" s="50">
        <v>65.09</v>
      </c>
      <c r="AC317" s="50">
        <v>14.03</v>
      </c>
      <c r="AD317" s="50">
        <v>48.48</v>
      </c>
      <c r="AE317" s="50">
        <v>30.92</v>
      </c>
      <c r="AF317" s="17">
        <v>33.549999999999997</v>
      </c>
      <c r="AG317" s="17">
        <v>39.04</v>
      </c>
      <c r="AH317" s="17">
        <v>39.700000000000003</v>
      </c>
      <c r="AI317" s="17">
        <v>1.006</v>
      </c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t="s">
        <v>493</v>
      </c>
    </row>
    <row r="318" spans="1:46" x14ac:dyDescent="0.2">
      <c r="A318" s="115">
        <v>317.00000000000017</v>
      </c>
      <c r="B318" s="3" t="s">
        <v>561</v>
      </c>
      <c r="C318" s="4">
        <v>21.317</v>
      </c>
      <c r="D318" s="131"/>
      <c r="F318" s="17"/>
      <c r="G318" s="17"/>
      <c r="H318" s="17"/>
      <c r="I318" s="82">
        <v>44392</v>
      </c>
      <c r="J318" s="16" t="s">
        <v>492</v>
      </c>
      <c r="K318" s="17" t="s">
        <v>203</v>
      </c>
      <c r="L318" s="56"/>
      <c r="M318" s="56"/>
      <c r="N318" s="17">
        <v>190.28</v>
      </c>
      <c r="O318" s="17">
        <v>171.94</v>
      </c>
      <c r="P318" s="17">
        <v>181.26</v>
      </c>
      <c r="Q318" s="17">
        <v>38.18</v>
      </c>
      <c r="R318" s="17">
        <v>20.3</v>
      </c>
      <c r="S318" s="17">
        <v>120.51</v>
      </c>
      <c r="T318" s="17">
        <v>94.1</v>
      </c>
      <c r="U318" s="50">
        <v>65.28</v>
      </c>
      <c r="V318" s="50">
        <v>53.7</v>
      </c>
      <c r="W318" s="50">
        <v>68.760000000000005</v>
      </c>
      <c r="X318" s="50">
        <v>83.51</v>
      </c>
      <c r="Y318" s="50"/>
      <c r="Z318" s="50">
        <v>87.69</v>
      </c>
      <c r="AA318" s="50">
        <v>67.819999999999993</v>
      </c>
      <c r="AB318" s="50">
        <v>65.19</v>
      </c>
      <c r="AC318" s="50">
        <v>11.56</v>
      </c>
      <c r="AD318" s="50">
        <v>47.31</v>
      </c>
      <c r="AE318" s="50">
        <v>30.31</v>
      </c>
      <c r="AF318" s="17">
        <v>31.58</v>
      </c>
      <c r="AG318" s="17">
        <v>32.03</v>
      </c>
      <c r="AH318" s="17">
        <v>34.36</v>
      </c>
      <c r="AI318" s="17">
        <v>0.95099999999999996</v>
      </c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t="s">
        <v>493</v>
      </c>
    </row>
    <row r="319" spans="1:46" x14ac:dyDescent="0.2">
      <c r="A319" s="115">
        <v>318.00000000000136</v>
      </c>
      <c r="B319" s="3" t="s">
        <v>562</v>
      </c>
      <c r="C319" s="4">
        <v>21.318000000000001</v>
      </c>
      <c r="D319" s="131"/>
      <c r="F319" s="17"/>
      <c r="G319" s="17"/>
      <c r="H319" s="17"/>
      <c r="I319" s="82">
        <v>44320</v>
      </c>
      <c r="J319" s="16" t="s">
        <v>492</v>
      </c>
      <c r="K319" s="17" t="s">
        <v>235</v>
      </c>
      <c r="L319" s="56"/>
      <c r="M319" s="56"/>
      <c r="N319" s="17"/>
      <c r="O319" s="17">
        <v>170.34</v>
      </c>
      <c r="P319" s="17">
        <v>176.34</v>
      </c>
      <c r="Q319" s="17">
        <v>35.93</v>
      </c>
      <c r="R319" s="17"/>
      <c r="S319" s="17"/>
      <c r="T319" s="17"/>
      <c r="U319" s="50"/>
      <c r="V319" s="50"/>
      <c r="W319" s="50"/>
      <c r="X319" s="50"/>
      <c r="Y319" s="50"/>
      <c r="Z319" s="50">
        <v>84.03</v>
      </c>
      <c r="AA319" s="50"/>
      <c r="AB319" s="50">
        <v>62.27</v>
      </c>
      <c r="AC319" s="50">
        <v>19.52</v>
      </c>
      <c r="AD319" s="50"/>
      <c r="AE319" s="50"/>
      <c r="AF319" s="17">
        <v>33.46</v>
      </c>
      <c r="AG319" s="17">
        <v>34.6</v>
      </c>
      <c r="AH319" s="17">
        <v>41.36</v>
      </c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t="s">
        <v>493</v>
      </c>
    </row>
    <row r="320" spans="1:46" x14ac:dyDescent="0.2">
      <c r="A320" s="115">
        <v>318.99999999999909</v>
      </c>
      <c r="B320" s="3" t="s">
        <v>563</v>
      </c>
      <c r="C320" s="4">
        <v>21.318999999999999</v>
      </c>
      <c r="D320" s="131"/>
      <c r="F320" s="17"/>
      <c r="G320" s="17"/>
      <c r="H320" s="17"/>
      <c r="I320" s="82">
        <v>44392</v>
      </c>
      <c r="J320" s="16" t="s">
        <v>492</v>
      </c>
      <c r="K320" s="17" t="s">
        <v>203</v>
      </c>
      <c r="L320" s="56"/>
      <c r="M320" s="56"/>
      <c r="N320" s="17">
        <v>189.44</v>
      </c>
      <c r="O320" s="17">
        <v>176.61</v>
      </c>
      <c r="P320" s="17">
        <v>186.67</v>
      </c>
      <c r="Q320" s="17">
        <v>40.25</v>
      </c>
      <c r="R320" s="17">
        <v>23.23</v>
      </c>
      <c r="S320" s="17">
        <v>122.96</v>
      </c>
      <c r="T320" s="17">
        <v>96.49</v>
      </c>
      <c r="U320" s="50">
        <v>61.32</v>
      </c>
      <c r="V320" s="50">
        <v>51.56</v>
      </c>
      <c r="W320" s="50">
        <v>65.78</v>
      </c>
      <c r="X320" s="50">
        <v>79.48</v>
      </c>
      <c r="Y320" s="50">
        <v>37.479999999999997</v>
      </c>
      <c r="Z320" s="50">
        <v>81.52</v>
      </c>
      <c r="AA320" s="50">
        <v>66.58</v>
      </c>
      <c r="AB320" s="50">
        <v>66.709999999999994</v>
      </c>
      <c r="AC320" s="50">
        <v>18.329999999999998</v>
      </c>
      <c r="AD320" s="50">
        <v>49.98</v>
      </c>
      <c r="AE320" s="50">
        <v>31</v>
      </c>
      <c r="AF320" s="17">
        <v>38.82</v>
      </c>
      <c r="AG320" s="17">
        <v>35.25</v>
      </c>
      <c r="AH320" s="17">
        <v>42.35</v>
      </c>
      <c r="AI320" s="17">
        <v>0.996</v>
      </c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t="s">
        <v>493</v>
      </c>
    </row>
    <row r="321" spans="1:46" x14ac:dyDescent="0.2">
      <c r="A321" s="115">
        <v>320.00000000000028</v>
      </c>
      <c r="B321" s="3" t="s">
        <v>563</v>
      </c>
      <c r="C321" s="2" t="s">
        <v>564</v>
      </c>
      <c r="D321" s="131"/>
      <c r="F321" s="17"/>
      <c r="G321" s="17"/>
      <c r="H321" s="17"/>
      <c r="I321" s="82">
        <v>44392</v>
      </c>
      <c r="J321" s="16" t="s">
        <v>492</v>
      </c>
      <c r="K321" s="17" t="s">
        <v>235</v>
      </c>
      <c r="L321" s="56"/>
      <c r="M321" s="56"/>
      <c r="N321" s="17">
        <v>227.34</v>
      </c>
      <c r="O321" s="17">
        <v>171.57</v>
      </c>
      <c r="P321" s="17">
        <v>185.76</v>
      </c>
      <c r="Q321" s="17">
        <v>33.32</v>
      </c>
      <c r="R321" s="17">
        <v>17.73</v>
      </c>
      <c r="S321" s="17">
        <v>127.21</v>
      </c>
      <c r="T321" s="17">
        <v>97.4</v>
      </c>
      <c r="U321" s="50">
        <v>57.85</v>
      </c>
      <c r="V321" s="50">
        <v>50.22</v>
      </c>
      <c r="W321" s="50">
        <v>65.59</v>
      </c>
      <c r="X321" s="50">
        <v>79.58</v>
      </c>
      <c r="Y321" s="50">
        <v>36.479999999999997</v>
      </c>
      <c r="Z321" s="50">
        <v>85.73</v>
      </c>
      <c r="AA321" s="50">
        <v>73.81</v>
      </c>
      <c r="AB321" s="50">
        <v>66.37</v>
      </c>
      <c r="AC321" s="50">
        <v>19.28</v>
      </c>
      <c r="AD321" s="50">
        <v>53.78</v>
      </c>
      <c r="AE321" s="50">
        <v>29.8</v>
      </c>
      <c r="AF321" s="17">
        <v>34.31</v>
      </c>
      <c r="AG321" s="17">
        <v>37.119999999999997</v>
      </c>
      <c r="AH321" s="17">
        <v>34.93</v>
      </c>
      <c r="AI321" s="17">
        <v>0.85399999999999998</v>
      </c>
      <c r="AJ321" s="17">
        <v>31.75</v>
      </c>
      <c r="AK321" s="17"/>
      <c r="AL321" s="17"/>
      <c r="AM321" s="17"/>
      <c r="AN321" s="17"/>
      <c r="AO321" s="17"/>
      <c r="AP321" s="17"/>
      <c r="AQ321" s="17"/>
      <c r="AR321" s="17"/>
      <c r="AS321" s="17"/>
      <c r="AT321" t="s">
        <v>493</v>
      </c>
    </row>
    <row r="322" spans="1:46" x14ac:dyDescent="0.2">
      <c r="A322" s="115">
        <v>321.00000000000148</v>
      </c>
      <c r="B322" s="3" t="s">
        <v>563</v>
      </c>
      <c r="C322" s="4">
        <v>21.321000000000002</v>
      </c>
      <c r="D322" s="131"/>
      <c r="F322" s="17"/>
      <c r="G322" s="17"/>
      <c r="H322" s="17"/>
      <c r="I322" s="82">
        <v>44392</v>
      </c>
      <c r="J322" s="16" t="s">
        <v>492</v>
      </c>
      <c r="K322" s="17" t="s">
        <v>203</v>
      </c>
      <c r="L322" s="56"/>
      <c r="M322" s="56"/>
      <c r="N322" s="17">
        <v>163.72999999999999</v>
      </c>
      <c r="O322" s="17">
        <v>161.13999999999999</v>
      </c>
      <c r="P322" s="17">
        <v>175.34</v>
      </c>
      <c r="Q322" s="17">
        <v>35.369999999999997</v>
      </c>
      <c r="R322" s="17">
        <v>15.72</v>
      </c>
      <c r="S322" s="17">
        <v>114.45</v>
      </c>
      <c r="T322" s="17"/>
      <c r="U322" s="50">
        <v>60.46</v>
      </c>
      <c r="V322" s="50">
        <v>52.4</v>
      </c>
      <c r="W322" s="50">
        <v>64.510000000000005</v>
      </c>
      <c r="X322" s="50"/>
      <c r="Y322" s="50"/>
      <c r="Z322" s="50">
        <v>84.07</v>
      </c>
      <c r="AA322" s="50">
        <v>70.48</v>
      </c>
      <c r="AB322" s="50">
        <v>66.349999999999994</v>
      </c>
      <c r="AC322" s="50">
        <v>17.61</v>
      </c>
      <c r="AD322" s="50">
        <v>44.88</v>
      </c>
      <c r="AE322" s="17">
        <v>27.64</v>
      </c>
      <c r="AF322" s="17">
        <v>32.28</v>
      </c>
      <c r="AG322" s="17">
        <v>29.72</v>
      </c>
      <c r="AH322" s="17">
        <v>32.54</v>
      </c>
      <c r="AI322" s="17">
        <v>1.0409999999999999</v>
      </c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t="s">
        <v>493</v>
      </c>
    </row>
    <row r="323" spans="1:46" x14ac:dyDescent="0.2">
      <c r="A323" s="115">
        <v>321.9999999999992</v>
      </c>
      <c r="B323" s="3" t="s">
        <v>563</v>
      </c>
      <c r="C323" s="4">
        <v>21.321999999999999</v>
      </c>
      <c r="D323" s="131"/>
      <c r="F323" s="17"/>
      <c r="G323" s="17"/>
      <c r="H323" s="17"/>
      <c r="I323" s="82">
        <v>44392</v>
      </c>
      <c r="J323" s="16" t="s">
        <v>492</v>
      </c>
      <c r="K323" s="17" t="s">
        <v>203</v>
      </c>
      <c r="L323" s="56"/>
      <c r="M323" s="56"/>
      <c r="N323" s="17"/>
      <c r="O323" s="17">
        <v>162.11000000000001</v>
      </c>
      <c r="P323" s="17">
        <v>170.5</v>
      </c>
      <c r="Q323" s="17">
        <v>34.979999999999997</v>
      </c>
      <c r="R323" s="17"/>
      <c r="S323" s="17">
        <v>115.32</v>
      </c>
      <c r="T323" s="17"/>
      <c r="U323" s="50"/>
      <c r="V323" s="50"/>
      <c r="W323" s="50"/>
      <c r="X323" s="50"/>
      <c r="Y323" s="50"/>
      <c r="Z323" s="50">
        <v>83.43</v>
      </c>
      <c r="AA323" s="50"/>
      <c r="AB323" s="50">
        <v>65.37</v>
      </c>
      <c r="AC323" s="50">
        <v>10.08</v>
      </c>
      <c r="AD323" s="50"/>
      <c r="AE323" s="50">
        <v>35.49</v>
      </c>
      <c r="AF323" s="50">
        <v>31.91</v>
      </c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t="s">
        <v>493</v>
      </c>
    </row>
    <row r="324" spans="1:46" x14ac:dyDescent="0.2">
      <c r="A324" s="115">
        <v>323.0000000000004</v>
      </c>
      <c r="B324" s="3" t="s">
        <v>565</v>
      </c>
      <c r="C324" s="4">
        <v>21.323</v>
      </c>
      <c r="D324" s="131"/>
      <c r="F324" s="17"/>
      <c r="G324" s="17"/>
      <c r="H324" s="17"/>
      <c r="I324" s="82">
        <v>44315</v>
      </c>
      <c r="J324" s="16" t="s">
        <v>492</v>
      </c>
      <c r="K324" s="17" t="s">
        <v>203</v>
      </c>
      <c r="L324" s="56"/>
      <c r="M324" s="56"/>
      <c r="N324" s="17">
        <v>183.51</v>
      </c>
      <c r="O324" s="17">
        <v>169.08</v>
      </c>
      <c r="P324" s="17">
        <v>180.7</v>
      </c>
      <c r="Q324" s="17">
        <v>41.42</v>
      </c>
      <c r="R324" s="17">
        <v>18.04</v>
      </c>
      <c r="S324" s="17">
        <v>122.45</v>
      </c>
      <c r="T324" s="17">
        <v>93.17</v>
      </c>
      <c r="U324" s="50">
        <v>61.23</v>
      </c>
      <c r="V324" s="50">
        <v>52.09</v>
      </c>
      <c r="W324" s="50">
        <v>65.58</v>
      </c>
      <c r="X324" s="50">
        <v>75.239999999999995</v>
      </c>
      <c r="Y324" s="50">
        <v>38.549999999999997</v>
      </c>
      <c r="Z324" s="50">
        <v>79.69</v>
      </c>
      <c r="AA324" s="50">
        <v>64.19</v>
      </c>
      <c r="AB324" s="50">
        <v>62.35</v>
      </c>
      <c r="AC324" s="50">
        <v>19.010000000000002</v>
      </c>
      <c r="AD324" s="50">
        <v>47.77</v>
      </c>
      <c r="AE324" s="50">
        <v>31.06</v>
      </c>
      <c r="AF324" s="17">
        <v>30.62</v>
      </c>
      <c r="AG324" s="17">
        <v>35.33</v>
      </c>
      <c r="AH324" s="17">
        <v>40.65</v>
      </c>
      <c r="AI324" s="17">
        <v>1.155</v>
      </c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t="s">
        <v>493</v>
      </c>
    </row>
    <row r="325" spans="1:46" x14ac:dyDescent="0.2">
      <c r="A325" s="115">
        <v>324.00000000000159</v>
      </c>
      <c r="B325" s="3" t="s">
        <v>565</v>
      </c>
      <c r="C325" s="4">
        <v>21.324000000000002</v>
      </c>
      <c r="D325" s="131"/>
      <c r="F325" s="17"/>
      <c r="G325" s="17"/>
      <c r="H325" s="17"/>
      <c r="I325" s="82">
        <v>44315</v>
      </c>
      <c r="J325" s="16" t="s">
        <v>492</v>
      </c>
      <c r="K325" s="17" t="s">
        <v>203</v>
      </c>
      <c r="L325" s="56"/>
      <c r="M325" s="56"/>
      <c r="N325" s="17">
        <v>250.25</v>
      </c>
      <c r="O325" s="17">
        <v>182.28</v>
      </c>
      <c r="P325" s="17">
        <v>190.39</v>
      </c>
      <c r="Q325" s="17">
        <v>41.91</v>
      </c>
      <c r="R325" s="17">
        <v>24.97</v>
      </c>
      <c r="S325" s="17">
        <v>119.2</v>
      </c>
      <c r="T325" s="17">
        <v>95.58</v>
      </c>
      <c r="U325" s="50">
        <v>61.67</v>
      </c>
      <c r="V325" s="50">
        <v>49.82</v>
      </c>
      <c r="W325" s="50">
        <v>67.17</v>
      </c>
      <c r="X325" s="50">
        <v>83.84</v>
      </c>
      <c r="Y325" s="50">
        <v>36.71</v>
      </c>
      <c r="Z325" s="50">
        <v>97.34</v>
      </c>
      <c r="AA325" s="50">
        <v>80.31</v>
      </c>
      <c r="AB325" s="50">
        <v>78.53</v>
      </c>
      <c r="AC325" s="50">
        <v>12.28</v>
      </c>
      <c r="AD325" s="50">
        <v>58.92</v>
      </c>
      <c r="AE325" s="50">
        <v>37.5</v>
      </c>
      <c r="AF325" s="17">
        <v>48.35</v>
      </c>
      <c r="AG325" s="17"/>
      <c r="AH325" s="17">
        <v>49.44</v>
      </c>
      <c r="AI325" s="17">
        <v>1.1950000000000001</v>
      </c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t="s">
        <v>493</v>
      </c>
    </row>
    <row r="326" spans="1:46" x14ac:dyDescent="0.2">
      <c r="A326" s="115">
        <v>324.99999999999932</v>
      </c>
      <c r="B326" s="3" t="s">
        <v>565</v>
      </c>
      <c r="C326" s="4">
        <v>21.324999999999999</v>
      </c>
      <c r="D326" s="131"/>
      <c r="F326" s="17"/>
      <c r="G326" s="17"/>
      <c r="H326" s="17"/>
      <c r="I326" s="82">
        <v>44315</v>
      </c>
      <c r="J326" s="16" t="s">
        <v>492</v>
      </c>
      <c r="K326" s="17" t="s">
        <v>203</v>
      </c>
      <c r="L326" s="56"/>
      <c r="M326" s="56"/>
      <c r="N326" s="17">
        <v>190.53</v>
      </c>
      <c r="O326" s="17">
        <v>164.98</v>
      </c>
      <c r="P326" s="17">
        <v>168.94</v>
      </c>
      <c r="Q326" s="17">
        <v>38.49</v>
      </c>
      <c r="R326" s="17">
        <v>16.649999999999999</v>
      </c>
      <c r="S326" s="17">
        <v>115</v>
      </c>
      <c r="T326" s="17">
        <v>92.52</v>
      </c>
      <c r="U326" s="50">
        <v>63.49</v>
      </c>
      <c r="V326" s="50">
        <v>53.27</v>
      </c>
      <c r="W326" s="50">
        <v>67.77</v>
      </c>
      <c r="X326" s="50">
        <v>77.06</v>
      </c>
      <c r="Y326" s="50">
        <v>40.76</v>
      </c>
      <c r="Z326" s="50">
        <v>80.900000000000006</v>
      </c>
      <c r="AA326" s="50">
        <v>63.98</v>
      </c>
      <c r="AB326" s="50">
        <v>64.28</v>
      </c>
      <c r="AC326" s="50">
        <v>14.57</v>
      </c>
      <c r="AD326" s="50">
        <v>49.62</v>
      </c>
      <c r="AE326" s="50">
        <v>31.81</v>
      </c>
      <c r="AF326" s="17">
        <v>29.63</v>
      </c>
      <c r="AG326" s="17">
        <v>29.79</v>
      </c>
      <c r="AH326" s="17">
        <v>40.380000000000003</v>
      </c>
      <c r="AI326" s="17">
        <v>1.2729999999999999</v>
      </c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t="s">
        <v>493</v>
      </c>
    </row>
    <row r="327" spans="1:46" x14ac:dyDescent="0.2">
      <c r="A327" s="115">
        <v>326.00000000000051</v>
      </c>
      <c r="B327" s="3" t="s">
        <v>249</v>
      </c>
      <c r="C327" s="4">
        <v>21.326000000000001</v>
      </c>
      <c r="D327" s="131"/>
      <c r="F327" s="17"/>
      <c r="G327" s="17"/>
      <c r="H327" s="17"/>
      <c r="I327" s="82">
        <v>44392</v>
      </c>
      <c r="J327" s="16" t="s">
        <v>492</v>
      </c>
      <c r="K327" s="17" t="s">
        <v>203</v>
      </c>
      <c r="L327" s="56"/>
      <c r="M327" s="56"/>
      <c r="N327" s="17">
        <v>226.01</v>
      </c>
      <c r="O327" s="17">
        <v>172.24</v>
      </c>
      <c r="P327" s="17">
        <v>183.32</v>
      </c>
      <c r="Q327" s="17">
        <v>40.049999999999997</v>
      </c>
      <c r="R327" s="17">
        <v>19.05</v>
      </c>
      <c r="S327" s="17">
        <v>118</v>
      </c>
      <c r="T327" s="17">
        <v>94.02</v>
      </c>
      <c r="U327" s="50">
        <v>62.88</v>
      </c>
      <c r="V327" s="50">
        <v>50.34</v>
      </c>
      <c r="W327" s="50">
        <v>66.489999999999995</v>
      </c>
      <c r="X327" s="50">
        <v>83.9</v>
      </c>
      <c r="Y327" s="50">
        <v>37.29</v>
      </c>
      <c r="Z327" s="50">
        <v>95.44</v>
      </c>
      <c r="AA327" s="50">
        <v>75.540000000000006</v>
      </c>
      <c r="AB327" s="50">
        <v>79.069999999999993</v>
      </c>
      <c r="AC327" s="50">
        <v>17.5</v>
      </c>
      <c r="AD327" s="50">
        <v>57.8</v>
      </c>
      <c r="AE327" s="50">
        <v>33.799999999999997</v>
      </c>
      <c r="AF327" s="17">
        <v>43.34</v>
      </c>
      <c r="AG327" s="17">
        <v>42.36</v>
      </c>
      <c r="AH327" s="17">
        <v>46.22</v>
      </c>
      <c r="AI327" s="17">
        <v>1.6020000000000001</v>
      </c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t="s">
        <v>493</v>
      </c>
    </row>
    <row r="328" spans="1:46" x14ac:dyDescent="0.2">
      <c r="A328" s="115">
        <v>327.00000000000171</v>
      </c>
      <c r="B328" s="3" t="s">
        <v>566</v>
      </c>
      <c r="C328" s="4">
        <v>21.327000000000002</v>
      </c>
      <c r="D328" s="131"/>
      <c r="F328" s="17"/>
      <c r="G328" s="17"/>
      <c r="H328" s="17"/>
      <c r="I328" s="82">
        <v>44343</v>
      </c>
      <c r="J328" s="16" t="s">
        <v>492</v>
      </c>
      <c r="K328" s="17" t="s">
        <v>235</v>
      </c>
      <c r="L328" s="56"/>
      <c r="M328" s="56"/>
      <c r="N328" s="17">
        <v>284.82</v>
      </c>
      <c r="O328" s="17">
        <v>171.66</v>
      </c>
      <c r="P328" s="17">
        <v>182.65</v>
      </c>
      <c r="Q328" s="17">
        <v>36.229999999999997</v>
      </c>
      <c r="R328" s="17">
        <v>19.899999999999999</v>
      </c>
      <c r="S328" s="17">
        <v>123.18</v>
      </c>
      <c r="T328" s="17">
        <v>96.32</v>
      </c>
      <c r="U328" s="50">
        <v>62.7</v>
      </c>
      <c r="V328" s="50">
        <v>50.97</v>
      </c>
      <c r="W328" s="50">
        <v>65.36</v>
      </c>
      <c r="X328" s="50">
        <v>83.06</v>
      </c>
      <c r="Y328" s="50">
        <v>35.19</v>
      </c>
      <c r="Z328" s="50">
        <v>96.23</v>
      </c>
      <c r="AA328" s="50">
        <v>80.319999999999993</v>
      </c>
      <c r="AB328" s="50">
        <v>81.11</v>
      </c>
      <c r="AC328" s="50">
        <v>11.48</v>
      </c>
      <c r="AD328" s="50">
        <v>62.89</v>
      </c>
      <c r="AE328" s="50">
        <v>34.85</v>
      </c>
      <c r="AF328" s="17">
        <v>42.93</v>
      </c>
      <c r="AG328" s="17">
        <v>39.799999999999997</v>
      </c>
      <c r="AH328" s="17">
        <v>44.53</v>
      </c>
      <c r="AI328" s="17">
        <v>1.0209999999999999</v>
      </c>
      <c r="AJ328" s="17">
        <v>36.979999999999997</v>
      </c>
      <c r="AK328" s="17"/>
      <c r="AL328" s="17"/>
      <c r="AM328" s="17"/>
      <c r="AN328" s="17"/>
      <c r="AO328" s="17"/>
      <c r="AP328" s="17"/>
      <c r="AQ328" s="17"/>
      <c r="AR328" s="17"/>
      <c r="AS328" s="17"/>
      <c r="AT328" t="s">
        <v>493</v>
      </c>
    </row>
    <row r="329" spans="1:46" x14ac:dyDescent="0.2">
      <c r="A329" s="115">
        <v>327.99999999999943</v>
      </c>
      <c r="B329" s="3" t="s">
        <v>566</v>
      </c>
      <c r="C329" s="4">
        <v>21.327999999999999</v>
      </c>
      <c r="D329" s="131"/>
      <c r="F329" s="17"/>
      <c r="G329" s="17"/>
      <c r="H329" s="17"/>
      <c r="I329" s="82">
        <v>44343</v>
      </c>
      <c r="J329" s="16" t="s">
        <v>492</v>
      </c>
      <c r="K329" s="17" t="s">
        <v>235</v>
      </c>
      <c r="L329" s="56"/>
      <c r="M329" s="56"/>
      <c r="N329" s="17">
        <v>266.62</v>
      </c>
      <c r="O329" s="17">
        <v>165.81</v>
      </c>
      <c r="P329" s="17">
        <v>172.22</v>
      </c>
      <c r="Q329" s="17">
        <v>37.65</v>
      </c>
      <c r="R329" s="17">
        <v>16.899999999999999</v>
      </c>
      <c r="S329" s="17">
        <v>115.24</v>
      </c>
      <c r="T329" s="17">
        <v>93.29</v>
      </c>
      <c r="U329" s="50">
        <v>63.95</v>
      </c>
      <c r="V329" s="50">
        <v>53.13</v>
      </c>
      <c r="W329" s="50">
        <v>68.09</v>
      </c>
      <c r="X329" s="50">
        <v>81.06</v>
      </c>
      <c r="Y329" s="50">
        <v>36.54</v>
      </c>
      <c r="Z329" s="50">
        <v>93.69</v>
      </c>
      <c r="AA329" s="50">
        <v>75.75</v>
      </c>
      <c r="AB329" s="50">
        <v>77.260000000000005</v>
      </c>
      <c r="AC329" s="50">
        <v>11.92</v>
      </c>
      <c r="AD329" s="50">
        <v>56.55</v>
      </c>
      <c r="AE329" s="17">
        <v>30.97</v>
      </c>
      <c r="AF329" s="17">
        <v>41.24</v>
      </c>
      <c r="AG329" s="17">
        <v>39.04</v>
      </c>
      <c r="AH329" s="17"/>
      <c r="AI329" s="17">
        <v>1.0820000000000001</v>
      </c>
      <c r="AJ329" s="17">
        <v>20.41</v>
      </c>
      <c r="AK329" s="17"/>
      <c r="AL329" s="17"/>
      <c r="AM329" s="17"/>
      <c r="AN329" s="17"/>
      <c r="AO329" s="17"/>
      <c r="AP329" s="17"/>
      <c r="AQ329" s="17"/>
      <c r="AR329" s="17"/>
      <c r="AS329" s="17"/>
      <c r="AT329" t="s">
        <v>493</v>
      </c>
    </row>
    <row r="330" spans="1:46" x14ac:dyDescent="0.2">
      <c r="A330" s="115">
        <v>329.00000000000063</v>
      </c>
      <c r="B330" s="3" t="s">
        <v>566</v>
      </c>
      <c r="C330" s="4">
        <v>21.329000000000001</v>
      </c>
      <c r="D330" s="131"/>
      <c r="F330" s="17"/>
      <c r="G330" s="17"/>
      <c r="H330" s="17"/>
      <c r="I330" s="82">
        <v>44343</v>
      </c>
      <c r="J330" s="16" t="s">
        <v>492</v>
      </c>
      <c r="K330" s="17" t="s">
        <v>235</v>
      </c>
      <c r="L330" s="56"/>
      <c r="M330" s="56"/>
      <c r="N330" s="17">
        <v>237.72</v>
      </c>
      <c r="O330" s="17">
        <v>180.13</v>
      </c>
      <c r="P330" s="17">
        <v>187.46</v>
      </c>
      <c r="Q330" s="17">
        <v>41.89</v>
      </c>
      <c r="R330" s="17">
        <v>21.99</v>
      </c>
      <c r="S330" s="17">
        <v>122.14</v>
      </c>
      <c r="T330" s="17">
        <v>94.84</v>
      </c>
      <c r="U330" s="50">
        <v>59.96</v>
      </c>
      <c r="V330" s="50">
        <v>49.75</v>
      </c>
      <c r="W330" s="50">
        <v>64.3</v>
      </c>
      <c r="X330" s="50">
        <v>84.93</v>
      </c>
      <c r="Y330" s="50">
        <v>37.76</v>
      </c>
      <c r="Z330" s="50">
        <v>97.47</v>
      </c>
      <c r="AA330" s="50">
        <v>79.59</v>
      </c>
      <c r="AB330" s="50">
        <v>78</v>
      </c>
      <c r="AC330" s="50">
        <v>21.29</v>
      </c>
      <c r="AD330" s="50">
        <v>57.98</v>
      </c>
      <c r="AE330" s="17">
        <v>37.46</v>
      </c>
      <c r="AF330" s="17">
        <v>45.2</v>
      </c>
      <c r="AG330" s="17">
        <v>42.31</v>
      </c>
      <c r="AH330" s="17">
        <v>44.99</v>
      </c>
      <c r="AI330" s="17">
        <v>1.054</v>
      </c>
      <c r="AJ330" s="17">
        <v>48.61</v>
      </c>
      <c r="AK330" s="17"/>
      <c r="AL330" s="17"/>
      <c r="AM330" s="17"/>
      <c r="AN330" s="17"/>
      <c r="AO330" s="17"/>
      <c r="AP330" s="17"/>
      <c r="AQ330" s="17"/>
      <c r="AR330" s="17"/>
      <c r="AS330" s="17"/>
      <c r="AT330" t="s">
        <v>493</v>
      </c>
    </row>
    <row r="331" spans="1:46" x14ac:dyDescent="0.2">
      <c r="A331" s="115">
        <v>329.99999999999829</v>
      </c>
      <c r="B331" s="3">
        <v>96</v>
      </c>
      <c r="C331" s="2" t="s">
        <v>567</v>
      </c>
      <c r="D331" s="129" t="s">
        <v>140</v>
      </c>
      <c r="E331" t="s">
        <v>141</v>
      </c>
      <c r="F331" s="3" t="s">
        <v>497</v>
      </c>
      <c r="G331" s="17"/>
      <c r="H331" s="17"/>
      <c r="I331" s="82">
        <v>44370</v>
      </c>
      <c r="J331" s="16" t="s">
        <v>142</v>
      </c>
      <c r="K331" s="17" t="s">
        <v>203</v>
      </c>
      <c r="L331" s="56"/>
      <c r="M331" s="17">
        <v>259.8</v>
      </c>
      <c r="N331" s="17">
        <v>264.83</v>
      </c>
      <c r="O331" s="17">
        <v>208</v>
      </c>
      <c r="P331" s="17">
        <v>212</v>
      </c>
      <c r="Q331" s="17">
        <v>50.82</v>
      </c>
      <c r="R331" s="17">
        <v>28.81</v>
      </c>
      <c r="S331" s="17">
        <v>132.19999999999999</v>
      </c>
      <c r="T331" s="17">
        <v>104.81</v>
      </c>
      <c r="U331" s="50">
        <v>65.72</v>
      </c>
      <c r="V331" s="50">
        <v>55.11</v>
      </c>
      <c r="W331" s="50">
        <v>76.17</v>
      </c>
      <c r="X331" s="50">
        <v>93.57</v>
      </c>
      <c r="Y331" s="50">
        <v>41.51</v>
      </c>
      <c r="Z331" s="50">
        <v>102.8</v>
      </c>
      <c r="AA331" s="50">
        <v>77.84</v>
      </c>
      <c r="AB331" s="50">
        <v>82.22</v>
      </c>
      <c r="AC331" s="50">
        <v>13.6</v>
      </c>
      <c r="AD331" s="50">
        <v>48.2</v>
      </c>
      <c r="AE331" s="50">
        <v>40.44</v>
      </c>
      <c r="AF331" s="17">
        <v>44.07</v>
      </c>
      <c r="AG331" s="17">
        <v>39.479999999999997</v>
      </c>
      <c r="AH331" s="17">
        <v>48.86</v>
      </c>
      <c r="AI331" s="17">
        <v>1.7250000000000001</v>
      </c>
      <c r="AJ331" s="17"/>
      <c r="AK331" s="17"/>
      <c r="AL331" s="17">
        <v>11.8</v>
      </c>
      <c r="AM331" s="17"/>
      <c r="AN331" s="17"/>
      <c r="AO331" s="17">
        <v>16.190000000000001</v>
      </c>
      <c r="AP331" s="17">
        <v>95.33</v>
      </c>
      <c r="AQ331" s="17">
        <v>77.81</v>
      </c>
      <c r="AR331" s="17">
        <v>58.93</v>
      </c>
      <c r="AS331" s="17">
        <v>23.855</v>
      </c>
      <c r="AT331" t="s">
        <v>146</v>
      </c>
    </row>
    <row r="332" spans="1:46" x14ac:dyDescent="0.2">
      <c r="A332" s="115">
        <v>330.99999999999955</v>
      </c>
      <c r="B332" s="3">
        <v>92</v>
      </c>
      <c r="C332" s="4">
        <v>21.331</v>
      </c>
      <c r="D332" s="129" t="s">
        <v>140</v>
      </c>
      <c r="E332" t="s">
        <v>141</v>
      </c>
      <c r="F332" s="3" t="s">
        <v>497</v>
      </c>
      <c r="G332" s="17"/>
      <c r="H332" s="17"/>
      <c r="I332" s="82">
        <v>44360</v>
      </c>
      <c r="J332" s="16" t="s">
        <v>142</v>
      </c>
      <c r="K332" s="17" t="s">
        <v>203</v>
      </c>
      <c r="L332" s="56"/>
      <c r="M332" s="17">
        <v>221.6</v>
      </c>
      <c r="N332" s="17">
        <v>231.21</v>
      </c>
      <c r="O332" s="17">
        <v>187.52</v>
      </c>
      <c r="P332" s="17">
        <v>200.15</v>
      </c>
      <c r="Q332" s="17">
        <v>44.42</v>
      </c>
      <c r="R332" s="17">
        <v>19.62</v>
      </c>
      <c r="S332" s="17">
        <v>124.86</v>
      </c>
      <c r="T332" s="17">
        <v>98.98</v>
      </c>
      <c r="U332" s="50">
        <v>72.5</v>
      </c>
      <c r="V332" s="50">
        <v>61.9</v>
      </c>
      <c r="W332" s="50">
        <v>74.430000000000007</v>
      </c>
      <c r="X332" s="50">
        <v>88.08</v>
      </c>
      <c r="Y332" s="50">
        <v>39.1</v>
      </c>
      <c r="Z332" s="50">
        <v>101.51</v>
      </c>
      <c r="AA332" s="50">
        <v>73.989999999999995</v>
      </c>
      <c r="AB332" s="50">
        <v>76.959999999999994</v>
      </c>
      <c r="AC332" s="50">
        <v>11.35</v>
      </c>
      <c r="AD332" s="50">
        <v>46.84</v>
      </c>
      <c r="AE332" s="50">
        <v>27.59</v>
      </c>
      <c r="AF332" s="17">
        <v>44.8</v>
      </c>
      <c r="AG332" s="17">
        <v>38.57</v>
      </c>
      <c r="AH332" s="17">
        <v>44</v>
      </c>
      <c r="AI332" s="17">
        <v>1.518</v>
      </c>
      <c r="AJ332" s="17"/>
      <c r="AK332" s="17"/>
      <c r="AL332" s="17"/>
      <c r="AM332" s="17"/>
      <c r="AN332" s="17"/>
      <c r="AO332" s="17">
        <v>12.07</v>
      </c>
      <c r="AP332" s="17">
        <v>54.59</v>
      </c>
      <c r="AQ332" s="17">
        <v>115.78</v>
      </c>
      <c r="AR332" s="17">
        <v>45.68</v>
      </c>
      <c r="AS332" s="17">
        <v>17.731000000000002</v>
      </c>
      <c r="AT332" t="s">
        <v>146</v>
      </c>
    </row>
    <row r="333" spans="1:46" x14ac:dyDescent="0.2">
      <c r="A333" s="115">
        <v>332.00000000000074</v>
      </c>
      <c r="B333" s="3">
        <v>150</v>
      </c>
      <c r="C333" s="4">
        <v>21.332000000000001</v>
      </c>
      <c r="D333" s="126" t="s">
        <v>168</v>
      </c>
      <c r="E333" t="s">
        <v>169</v>
      </c>
      <c r="F333" s="17" t="s">
        <v>170</v>
      </c>
      <c r="G333" s="17"/>
      <c r="H333" s="3" t="s">
        <v>177</v>
      </c>
      <c r="I333" s="82">
        <v>44399</v>
      </c>
      <c r="J333" s="16" t="s">
        <v>142</v>
      </c>
      <c r="K333" s="16" t="s">
        <v>235</v>
      </c>
      <c r="L333" s="56"/>
      <c r="M333" s="56"/>
      <c r="N333" s="17">
        <v>300.89</v>
      </c>
      <c r="O333" s="17">
        <v>194.36</v>
      </c>
      <c r="P333" s="17">
        <v>202.64</v>
      </c>
      <c r="Q333" s="17">
        <v>32.770000000000003</v>
      </c>
      <c r="R333" s="17">
        <v>33.229999999999997</v>
      </c>
      <c r="S333" s="17">
        <v>130.33000000000001</v>
      </c>
      <c r="T333" s="17">
        <v>103.29</v>
      </c>
      <c r="U333" s="50">
        <v>74.209999999999994</v>
      </c>
      <c r="V333" s="50">
        <v>56.75</v>
      </c>
      <c r="W333" s="50">
        <v>77.73</v>
      </c>
      <c r="X333" s="50">
        <v>92.91</v>
      </c>
      <c r="Y333" s="50">
        <v>40.69</v>
      </c>
      <c r="Z333" s="50">
        <v>104.16</v>
      </c>
      <c r="AA333" s="50">
        <v>87.01</v>
      </c>
      <c r="AB333" s="50">
        <v>83.72</v>
      </c>
      <c r="AC333" s="50">
        <v>6</v>
      </c>
      <c r="AD333" s="50">
        <v>54.24</v>
      </c>
      <c r="AE333" s="50">
        <v>32.46</v>
      </c>
      <c r="AF333" s="17">
        <v>36.950000000000003</v>
      </c>
      <c r="AG333" s="17">
        <v>38.4</v>
      </c>
      <c r="AH333" s="17">
        <v>37.83</v>
      </c>
      <c r="AI333" s="17">
        <v>1.071</v>
      </c>
      <c r="AJ333" s="17"/>
      <c r="AK333" s="17"/>
      <c r="AL333" s="17"/>
      <c r="AM333" s="17"/>
      <c r="AN333" s="17">
        <v>121</v>
      </c>
      <c r="AO333" s="17"/>
      <c r="AP333" s="17"/>
      <c r="AQ333" s="17"/>
      <c r="AR333" s="17"/>
      <c r="AS333" s="17"/>
      <c r="AT333" t="s">
        <v>146</v>
      </c>
    </row>
    <row r="334" spans="1:46" x14ac:dyDescent="0.2">
      <c r="A334" s="115">
        <v>332.99999999999841</v>
      </c>
      <c r="B334" s="3">
        <v>151</v>
      </c>
      <c r="C334" s="4">
        <v>21.332999999999998</v>
      </c>
      <c r="D334" s="126" t="s">
        <v>168</v>
      </c>
      <c r="E334" t="s">
        <v>169</v>
      </c>
      <c r="F334" s="17" t="s">
        <v>170</v>
      </c>
      <c r="H334" s="3" t="s">
        <v>177</v>
      </c>
      <c r="I334" s="82">
        <v>44399</v>
      </c>
      <c r="J334" s="16" t="s">
        <v>142</v>
      </c>
      <c r="K334" s="16" t="s">
        <v>235</v>
      </c>
      <c r="L334" s="56"/>
      <c r="M334" s="56"/>
      <c r="N334" s="17">
        <v>302.52</v>
      </c>
      <c r="O334" s="17">
        <v>194.34</v>
      </c>
      <c r="P334" s="17">
        <v>201.02</v>
      </c>
      <c r="Q334" s="17">
        <v>35.020000000000003</v>
      </c>
      <c r="R334" s="17">
        <v>31.41</v>
      </c>
      <c r="S334" s="17">
        <v>132.62</v>
      </c>
      <c r="T334" s="17">
        <v>107.13</v>
      </c>
      <c r="U334" s="50">
        <v>76.17</v>
      </c>
      <c r="V334" s="50">
        <v>57.55</v>
      </c>
      <c r="W334" s="50">
        <v>76.489999999999995</v>
      </c>
      <c r="X334" s="50">
        <v>96.84</v>
      </c>
      <c r="Y334" s="50">
        <v>42.36</v>
      </c>
      <c r="Z334" s="50">
        <v>104.54</v>
      </c>
      <c r="AA334" s="50">
        <v>85.69</v>
      </c>
      <c r="AB334" s="50">
        <v>85.61</v>
      </c>
      <c r="AC334" s="50">
        <v>7</v>
      </c>
      <c r="AD334" s="50">
        <v>51.56</v>
      </c>
      <c r="AE334" s="50">
        <v>35.090000000000003</v>
      </c>
      <c r="AF334" s="17">
        <v>38.76</v>
      </c>
      <c r="AG334" s="17">
        <v>36.6</v>
      </c>
      <c r="AH334" s="17">
        <v>36.24</v>
      </c>
      <c r="AI334" s="17">
        <v>1.0740000000000001</v>
      </c>
      <c r="AJ334" s="17">
        <v>63.48</v>
      </c>
      <c r="AK334" s="17"/>
      <c r="AL334" s="17"/>
      <c r="AM334" s="17"/>
      <c r="AN334" s="17">
        <v>104</v>
      </c>
      <c r="AO334" s="17"/>
      <c r="AP334" s="17"/>
      <c r="AQ334" s="17"/>
      <c r="AR334" s="17"/>
      <c r="AS334" s="17"/>
      <c r="AT334" t="s">
        <v>146</v>
      </c>
    </row>
    <row r="335" spans="1:46" x14ac:dyDescent="0.2">
      <c r="A335" s="115">
        <v>333.99999999999966</v>
      </c>
      <c r="B335" s="3">
        <v>153</v>
      </c>
      <c r="C335" s="4">
        <v>21.334</v>
      </c>
      <c r="D335" s="126" t="s">
        <v>168</v>
      </c>
      <c r="E335" t="s">
        <v>169</v>
      </c>
      <c r="F335" s="17" t="s">
        <v>170</v>
      </c>
      <c r="H335" s="3" t="s">
        <v>177</v>
      </c>
      <c r="I335" s="82">
        <v>44399</v>
      </c>
      <c r="J335" s="16" t="s">
        <v>142</v>
      </c>
      <c r="K335" s="16" t="s">
        <v>235</v>
      </c>
      <c r="L335" s="56"/>
      <c r="M335" s="56"/>
      <c r="N335" s="17">
        <v>301.79000000000002</v>
      </c>
      <c r="O335" s="17">
        <v>189.21</v>
      </c>
      <c r="P335" s="17">
        <v>187.79</v>
      </c>
      <c r="Q335" s="17">
        <v>34.880000000000003</v>
      </c>
      <c r="R335" s="17">
        <v>22.81</v>
      </c>
      <c r="S335" s="17">
        <v>129.25</v>
      </c>
      <c r="T335" s="17">
        <v>104.1</v>
      </c>
      <c r="U335" s="50">
        <v>74.819999999999993</v>
      </c>
      <c r="V335" s="50">
        <v>55.43</v>
      </c>
      <c r="W335" s="50">
        <v>78.52</v>
      </c>
      <c r="X335" s="50">
        <v>95.09</v>
      </c>
      <c r="Y335" s="50">
        <v>42.26</v>
      </c>
      <c r="Z335" s="50">
        <v>105.13</v>
      </c>
      <c r="AA335" s="50">
        <v>87.97</v>
      </c>
      <c r="AB335" s="50">
        <v>84.39</v>
      </c>
      <c r="AC335" s="50">
        <v>7.87</v>
      </c>
      <c r="AD335" s="50">
        <v>54.76</v>
      </c>
      <c r="AE335" s="50">
        <v>28.22</v>
      </c>
      <c r="AF335" s="17">
        <v>40.340000000000003</v>
      </c>
      <c r="AG335" s="17">
        <v>34.270000000000003</v>
      </c>
      <c r="AH335" s="17">
        <v>37.130000000000003</v>
      </c>
      <c r="AI335" s="17">
        <v>1.016</v>
      </c>
      <c r="AJ335" s="17">
        <v>58.32</v>
      </c>
      <c r="AK335" s="17"/>
      <c r="AL335" s="17"/>
      <c r="AM335" s="17"/>
      <c r="AN335" s="17">
        <v>125</v>
      </c>
      <c r="AO335" s="17"/>
      <c r="AP335" s="17"/>
      <c r="AQ335" s="17"/>
      <c r="AR335" s="17"/>
      <c r="AS335" s="17"/>
      <c r="AT335" t="s">
        <v>146</v>
      </c>
    </row>
    <row r="336" spans="1:46" x14ac:dyDescent="0.2">
      <c r="A336" s="115">
        <v>335.00000000000085</v>
      </c>
      <c r="B336" s="3">
        <v>152</v>
      </c>
      <c r="C336" s="4">
        <v>21.335000000000001</v>
      </c>
      <c r="D336" s="126" t="s">
        <v>168</v>
      </c>
      <c r="E336" t="s">
        <v>169</v>
      </c>
      <c r="F336" s="17" t="s">
        <v>170</v>
      </c>
      <c r="G336" s="3" t="s">
        <v>30</v>
      </c>
      <c r="I336" s="82">
        <v>44399</v>
      </c>
      <c r="J336" s="16" t="s">
        <v>142</v>
      </c>
      <c r="K336" s="16" t="s">
        <v>235</v>
      </c>
      <c r="L336" s="56"/>
      <c r="M336" s="56"/>
      <c r="N336" s="17">
        <v>304.37</v>
      </c>
      <c r="O336" s="17">
        <v>186.39</v>
      </c>
      <c r="P336" s="17">
        <v>190.75</v>
      </c>
      <c r="Q336" s="17">
        <v>32.76</v>
      </c>
      <c r="R336" s="17">
        <v>24.66</v>
      </c>
      <c r="S336" s="17">
        <v>126.64</v>
      </c>
      <c r="T336" s="17">
        <v>104.32</v>
      </c>
      <c r="U336" s="50">
        <v>69.19</v>
      </c>
      <c r="V336" s="50">
        <v>58.62</v>
      </c>
      <c r="W336" s="50">
        <v>75.599999999999994</v>
      </c>
      <c r="X336" s="50">
        <v>88.33</v>
      </c>
      <c r="Y336" s="50">
        <v>42.37</v>
      </c>
      <c r="Z336" s="50">
        <v>102.85</v>
      </c>
      <c r="AA336" s="50">
        <v>86.5</v>
      </c>
      <c r="AB336" s="50">
        <v>82.06</v>
      </c>
      <c r="AC336" s="50">
        <v>7.32</v>
      </c>
      <c r="AD336" s="50">
        <v>54.97</v>
      </c>
      <c r="AE336" s="50">
        <v>28.13</v>
      </c>
      <c r="AF336" s="17">
        <v>41.24</v>
      </c>
      <c r="AG336" s="17">
        <v>32.65</v>
      </c>
      <c r="AH336" s="17">
        <v>39.51</v>
      </c>
      <c r="AI336" s="17">
        <v>1.0429999999999999</v>
      </c>
      <c r="AJ336" s="17">
        <v>58.29</v>
      </c>
      <c r="AK336" s="17"/>
      <c r="AL336" s="17"/>
      <c r="AM336" s="17"/>
      <c r="AN336" s="17">
        <v>155</v>
      </c>
      <c r="AO336" s="17"/>
      <c r="AP336" s="17"/>
      <c r="AQ336" s="17"/>
      <c r="AR336" s="17"/>
      <c r="AS336" s="17"/>
      <c r="AT336" t="s">
        <v>146</v>
      </c>
    </row>
    <row r="337" spans="1:46" x14ac:dyDescent="0.2">
      <c r="A337" s="115">
        <v>335.99999999999852</v>
      </c>
      <c r="B337" s="3">
        <v>149</v>
      </c>
      <c r="C337" s="4">
        <v>21.335999999999999</v>
      </c>
      <c r="D337" s="126" t="s">
        <v>168</v>
      </c>
      <c r="E337" t="s">
        <v>169</v>
      </c>
      <c r="F337" s="17" t="s">
        <v>170</v>
      </c>
      <c r="G337" s="3" t="s">
        <v>30</v>
      </c>
      <c r="I337" s="82">
        <v>44399</v>
      </c>
      <c r="J337" s="16" t="s">
        <v>142</v>
      </c>
      <c r="K337" s="16" t="s">
        <v>235</v>
      </c>
      <c r="L337" s="56"/>
      <c r="M337" s="56"/>
      <c r="N337" s="17">
        <v>294</v>
      </c>
      <c r="O337" s="17">
        <v>183.61</v>
      </c>
      <c r="P337" s="17">
        <v>189.32</v>
      </c>
      <c r="Q337" s="17">
        <v>32.17</v>
      </c>
      <c r="R337" s="17">
        <v>26.4</v>
      </c>
      <c r="S337" s="17">
        <v>128.63999999999999</v>
      </c>
      <c r="T337" s="17">
        <v>105.22</v>
      </c>
      <c r="U337" s="50">
        <v>70.31</v>
      </c>
      <c r="V337" s="50">
        <v>58.14</v>
      </c>
      <c r="W337" s="50">
        <v>75.55</v>
      </c>
      <c r="X337" s="50">
        <v>93.7</v>
      </c>
      <c r="Y337" s="50">
        <v>43.53</v>
      </c>
      <c r="Z337" s="50">
        <v>103.21</v>
      </c>
      <c r="AA337" s="50">
        <v>87.43</v>
      </c>
      <c r="AB337" s="50">
        <v>84.28</v>
      </c>
      <c r="AC337" s="50">
        <v>12.38</v>
      </c>
      <c r="AD337" s="50">
        <v>51.74</v>
      </c>
      <c r="AE337" s="50">
        <v>28.81</v>
      </c>
      <c r="AF337" s="17">
        <v>36.020000000000003</v>
      </c>
      <c r="AG337" s="17">
        <v>33.81</v>
      </c>
      <c r="AH337" s="17">
        <v>37.840000000000003</v>
      </c>
      <c r="AI337" s="17">
        <v>1.1040000000000001</v>
      </c>
      <c r="AJ337" s="17">
        <v>59.37</v>
      </c>
      <c r="AK337" s="17"/>
      <c r="AL337" s="17"/>
      <c r="AM337" s="17"/>
      <c r="AN337" s="17">
        <v>133</v>
      </c>
      <c r="AO337" s="17"/>
      <c r="AP337" s="17"/>
      <c r="AQ337" s="17"/>
      <c r="AR337" s="17"/>
      <c r="AS337" s="17"/>
      <c r="AT337" t="s">
        <v>146</v>
      </c>
    </row>
    <row r="338" spans="1:46" x14ac:dyDescent="0.2">
      <c r="A338" s="115">
        <v>336.99999999999977</v>
      </c>
      <c r="B338" s="3">
        <v>154</v>
      </c>
      <c r="C338" s="4">
        <v>21.337</v>
      </c>
      <c r="D338" s="126" t="s">
        <v>168</v>
      </c>
      <c r="E338" t="s">
        <v>169</v>
      </c>
      <c r="F338" s="17" t="s">
        <v>170</v>
      </c>
      <c r="G338" s="3" t="s">
        <v>30</v>
      </c>
      <c r="I338" s="82">
        <v>44399</v>
      </c>
      <c r="J338" s="16" t="s">
        <v>142</v>
      </c>
      <c r="K338" s="16" t="s">
        <v>235</v>
      </c>
      <c r="L338" s="56"/>
      <c r="M338" s="56"/>
      <c r="N338" s="17">
        <v>299.24</v>
      </c>
      <c r="O338" s="17">
        <v>184.85</v>
      </c>
      <c r="P338" s="17">
        <v>187.22</v>
      </c>
      <c r="Q338" s="17">
        <v>32.82</v>
      </c>
      <c r="R338" s="17">
        <v>23.09</v>
      </c>
      <c r="S338" s="17">
        <v>128.01</v>
      </c>
      <c r="T338" s="17">
        <v>104.45</v>
      </c>
      <c r="U338" s="50">
        <v>76.66</v>
      </c>
      <c r="V338" s="50">
        <v>57.96</v>
      </c>
      <c r="W338" s="50">
        <v>78.94</v>
      </c>
      <c r="X338" s="50">
        <v>98</v>
      </c>
      <c r="Y338" s="50">
        <v>43.52</v>
      </c>
      <c r="Z338" s="50">
        <v>107.35</v>
      </c>
      <c r="AA338" s="50">
        <v>88.91</v>
      </c>
      <c r="AB338" s="50">
        <v>84.43</v>
      </c>
      <c r="AC338" s="50">
        <v>7.55</v>
      </c>
      <c r="AD338" s="50">
        <v>52.06</v>
      </c>
      <c r="AE338" s="50">
        <v>26.18</v>
      </c>
      <c r="AF338" s="17">
        <v>39.93</v>
      </c>
      <c r="AG338" s="17">
        <v>35.19</v>
      </c>
      <c r="AH338" s="17">
        <v>41.69</v>
      </c>
      <c r="AI338" s="17">
        <v>1.101</v>
      </c>
      <c r="AJ338" s="17">
        <v>56.64</v>
      </c>
      <c r="AK338" s="17"/>
      <c r="AL338" s="17"/>
      <c r="AM338" s="17"/>
      <c r="AN338" s="17">
        <v>140</v>
      </c>
      <c r="AO338" s="17"/>
      <c r="AP338" s="17"/>
      <c r="AQ338" s="17"/>
      <c r="AR338" s="17"/>
      <c r="AS338" s="17"/>
      <c r="AT338" t="s">
        <v>146</v>
      </c>
    </row>
    <row r="339" spans="1:46" x14ac:dyDescent="0.2">
      <c r="A339" s="115">
        <v>338.00000000000097</v>
      </c>
      <c r="B339" s="3">
        <v>116</v>
      </c>
      <c r="C339" s="4">
        <v>21.338000000000001</v>
      </c>
      <c r="D339" s="126" t="s">
        <v>168</v>
      </c>
      <c r="E339" t="s">
        <v>232</v>
      </c>
      <c r="F339" s="3" t="s">
        <v>251</v>
      </c>
      <c r="H339" s="3" t="s">
        <v>275</v>
      </c>
      <c r="I339" s="82">
        <v>44397</v>
      </c>
      <c r="J339" s="16" t="s">
        <v>142</v>
      </c>
      <c r="K339" s="16" t="s">
        <v>235</v>
      </c>
      <c r="L339" s="56"/>
      <c r="M339" s="56"/>
      <c r="N339" s="17">
        <v>195.44</v>
      </c>
      <c r="O339" s="17">
        <v>152.31</v>
      </c>
      <c r="P339" s="17">
        <v>155.84</v>
      </c>
      <c r="Q339" s="17">
        <v>32.33</v>
      </c>
      <c r="R339" s="17">
        <v>8.36</v>
      </c>
      <c r="S339" s="17">
        <v>108.85</v>
      </c>
      <c r="T339" s="17">
        <v>91.07</v>
      </c>
      <c r="U339" s="50">
        <v>59.53</v>
      </c>
      <c r="V339" s="50">
        <v>48.82</v>
      </c>
      <c r="W339" s="50">
        <v>62.71</v>
      </c>
      <c r="X339" s="50">
        <v>76.17</v>
      </c>
      <c r="Y339" s="50">
        <v>36.14</v>
      </c>
      <c r="Z339" s="50">
        <v>87.27</v>
      </c>
      <c r="AA339" s="50">
        <v>73.69</v>
      </c>
      <c r="AB339" s="50">
        <v>67.290000000000006</v>
      </c>
      <c r="AC339" s="50">
        <v>14.5</v>
      </c>
      <c r="AD339" s="50">
        <v>48.85</v>
      </c>
      <c r="AE339" s="50">
        <v>24.93</v>
      </c>
      <c r="AF339" s="17">
        <v>28.61</v>
      </c>
      <c r="AG339" s="17">
        <v>32.409999999999997</v>
      </c>
      <c r="AH339" s="17">
        <v>30.85</v>
      </c>
      <c r="AI339" s="17">
        <v>1.276</v>
      </c>
      <c r="AJ339" s="17">
        <v>28.27</v>
      </c>
      <c r="AK339" s="17"/>
      <c r="AL339" s="17"/>
      <c r="AM339" s="17">
        <v>11</v>
      </c>
      <c r="AN339" s="17">
        <v>82</v>
      </c>
      <c r="AO339" s="17"/>
      <c r="AP339" s="17"/>
      <c r="AQ339" s="17"/>
      <c r="AR339" s="17"/>
      <c r="AS339" s="17"/>
      <c r="AT339" t="s">
        <v>146</v>
      </c>
    </row>
    <row r="340" spans="1:46" x14ac:dyDescent="0.2">
      <c r="A340" s="115">
        <v>338.99999999999864</v>
      </c>
      <c r="B340" s="3">
        <v>117</v>
      </c>
      <c r="C340" s="4">
        <v>21.338999999999999</v>
      </c>
      <c r="D340" s="126" t="s">
        <v>168</v>
      </c>
      <c r="E340" t="s">
        <v>232</v>
      </c>
      <c r="F340" s="3" t="s">
        <v>251</v>
      </c>
      <c r="H340" s="3" t="s">
        <v>275</v>
      </c>
      <c r="I340" s="82">
        <v>44397</v>
      </c>
      <c r="J340" s="16" t="s">
        <v>142</v>
      </c>
      <c r="K340" s="16" t="s">
        <v>235</v>
      </c>
      <c r="L340" s="56"/>
      <c r="M340" s="56"/>
      <c r="N340" s="17">
        <v>190.39</v>
      </c>
      <c r="O340" s="17">
        <v>158.44999999999999</v>
      </c>
      <c r="P340" s="17">
        <v>161.76</v>
      </c>
      <c r="Q340" s="17">
        <v>33.33</v>
      </c>
      <c r="R340" s="17">
        <v>14.59</v>
      </c>
      <c r="S340" s="17">
        <v>111.14</v>
      </c>
      <c r="T340" s="17">
        <v>89.25</v>
      </c>
      <c r="U340" s="50">
        <v>63.43</v>
      </c>
      <c r="V340" s="50">
        <v>51.22</v>
      </c>
      <c r="W340" s="50">
        <v>66.59</v>
      </c>
      <c r="X340" s="50">
        <v>79.16</v>
      </c>
      <c r="Y340" s="50">
        <v>40.020000000000003</v>
      </c>
      <c r="Z340" s="50">
        <v>88.32</v>
      </c>
      <c r="AA340" s="50">
        <v>73.91</v>
      </c>
      <c r="AB340" s="50">
        <v>68.36</v>
      </c>
      <c r="AC340" s="50">
        <v>14.99</v>
      </c>
      <c r="AD340" s="50">
        <v>48.13</v>
      </c>
      <c r="AE340" s="50">
        <v>28.88</v>
      </c>
      <c r="AF340" s="17">
        <v>28.01</v>
      </c>
      <c r="AG340" s="17">
        <v>34</v>
      </c>
      <c r="AH340" s="17">
        <v>29.39</v>
      </c>
      <c r="AI340" s="17">
        <v>1.2809999999999999</v>
      </c>
      <c r="AJ340" s="17">
        <v>30.87</v>
      </c>
      <c r="AK340" s="17"/>
      <c r="AL340" s="17"/>
      <c r="AM340" s="17">
        <v>24</v>
      </c>
      <c r="AN340" s="17">
        <v>68</v>
      </c>
      <c r="AO340" s="17"/>
      <c r="AP340" s="17"/>
      <c r="AQ340" s="17"/>
      <c r="AR340" s="17"/>
      <c r="AS340" s="17"/>
      <c r="AT340" t="s">
        <v>146</v>
      </c>
    </row>
    <row r="341" spans="1:46" x14ac:dyDescent="0.2">
      <c r="A341" s="115">
        <v>339.99999999999989</v>
      </c>
      <c r="B341" s="3">
        <v>118</v>
      </c>
      <c r="C341" s="2" t="s">
        <v>23</v>
      </c>
      <c r="D341" s="126" t="s">
        <v>168</v>
      </c>
      <c r="E341" t="s">
        <v>232</v>
      </c>
      <c r="F341" s="3" t="s">
        <v>251</v>
      </c>
      <c r="H341" s="3" t="s">
        <v>275</v>
      </c>
      <c r="I341" s="82">
        <v>44397</v>
      </c>
      <c r="J341" s="16" t="s">
        <v>142</v>
      </c>
      <c r="K341" s="16" t="s">
        <v>235</v>
      </c>
      <c r="L341" s="56"/>
      <c r="M341" s="56"/>
      <c r="N341" s="17">
        <v>190.58</v>
      </c>
      <c r="O341" s="17">
        <v>154.54</v>
      </c>
      <c r="P341" s="17">
        <v>157.46</v>
      </c>
      <c r="Q341" s="17">
        <v>31.58</v>
      </c>
      <c r="R341" s="17">
        <v>11.39</v>
      </c>
      <c r="S341" s="17">
        <v>109.35</v>
      </c>
      <c r="T341" s="17">
        <v>90.62</v>
      </c>
      <c r="U341" s="50">
        <v>62.13</v>
      </c>
      <c r="V341" s="50">
        <v>49.39</v>
      </c>
      <c r="W341" s="50">
        <v>67.010000000000005</v>
      </c>
      <c r="X341" s="50">
        <v>80.69</v>
      </c>
      <c r="Y341" s="50">
        <v>38.9</v>
      </c>
      <c r="Z341" s="50">
        <v>90.61</v>
      </c>
      <c r="AA341" s="50">
        <v>75.180000000000007</v>
      </c>
      <c r="AB341" s="50">
        <v>67.02</v>
      </c>
      <c r="AC341" s="50">
        <v>13.42</v>
      </c>
      <c r="AD341" s="50">
        <v>47.65</v>
      </c>
      <c r="AE341" s="50">
        <v>26.17</v>
      </c>
      <c r="AF341" s="17">
        <v>25.58</v>
      </c>
      <c r="AG341" s="17">
        <v>30.83</v>
      </c>
      <c r="AH341" s="17">
        <v>27.78</v>
      </c>
      <c r="AI341" s="17">
        <v>1.2050000000000001</v>
      </c>
      <c r="AJ341" s="17">
        <v>28.78</v>
      </c>
      <c r="AK341" s="17"/>
      <c r="AL341" s="17"/>
      <c r="AM341" s="17"/>
      <c r="AN341" s="17">
        <v>91</v>
      </c>
      <c r="AO341" s="17"/>
      <c r="AP341" s="17"/>
      <c r="AQ341" s="17"/>
      <c r="AR341" s="17"/>
      <c r="AS341" s="17"/>
      <c r="AT341" t="s">
        <v>146</v>
      </c>
    </row>
    <row r="342" spans="1:46" x14ac:dyDescent="0.2">
      <c r="A342" s="115">
        <v>341.00000000000108</v>
      </c>
      <c r="B342" s="3">
        <v>119</v>
      </c>
      <c r="C342" s="4">
        <v>21.341000000000001</v>
      </c>
      <c r="D342" s="126" t="s">
        <v>168</v>
      </c>
      <c r="E342" t="s">
        <v>232</v>
      </c>
      <c r="F342" s="3" t="s">
        <v>251</v>
      </c>
      <c r="H342" s="3" t="s">
        <v>275</v>
      </c>
      <c r="I342" s="82">
        <v>44397</v>
      </c>
      <c r="J342" s="16" t="s">
        <v>142</v>
      </c>
      <c r="K342" s="16" t="s">
        <v>235</v>
      </c>
      <c r="L342" s="56"/>
      <c r="M342" s="56"/>
      <c r="N342" s="17">
        <v>196.92</v>
      </c>
      <c r="O342" s="17">
        <v>155.01</v>
      </c>
      <c r="P342" s="17">
        <v>158.86000000000001</v>
      </c>
      <c r="Q342" s="17">
        <v>34.340000000000003</v>
      </c>
      <c r="R342" s="17">
        <v>11.29</v>
      </c>
      <c r="S342" s="17">
        <v>108.1</v>
      </c>
      <c r="T342" s="17">
        <v>90.43</v>
      </c>
      <c r="U342" s="50">
        <v>58.83</v>
      </c>
      <c r="V342" s="50">
        <v>47.32</v>
      </c>
      <c r="W342" s="50">
        <v>62.88</v>
      </c>
      <c r="X342" s="50">
        <v>78.61</v>
      </c>
      <c r="Y342" s="50">
        <v>36.31</v>
      </c>
      <c r="Z342" s="50">
        <v>89.62</v>
      </c>
      <c r="AA342" s="50">
        <v>74.67</v>
      </c>
      <c r="AB342" s="50">
        <v>65.819999999999993</v>
      </c>
      <c r="AC342" s="50">
        <v>11.31</v>
      </c>
      <c r="AD342" s="50">
        <v>48.22</v>
      </c>
      <c r="AE342" s="50">
        <v>28.06</v>
      </c>
      <c r="AF342" s="17">
        <v>25.5</v>
      </c>
      <c r="AG342" s="17">
        <v>29.26</v>
      </c>
      <c r="AH342" s="17">
        <v>26.27</v>
      </c>
      <c r="AI342" s="17">
        <v>1.214</v>
      </c>
      <c r="AJ342" s="17">
        <v>30.89</v>
      </c>
      <c r="AK342" s="17"/>
      <c r="AL342" s="17"/>
      <c r="AM342" s="17"/>
      <c r="AN342" s="17">
        <v>91</v>
      </c>
      <c r="AO342" s="17"/>
      <c r="AP342" s="17"/>
      <c r="AQ342" s="17"/>
      <c r="AR342" s="17"/>
      <c r="AS342" s="17"/>
      <c r="AT342" t="s">
        <v>146</v>
      </c>
    </row>
    <row r="343" spans="1:46" x14ac:dyDescent="0.2">
      <c r="A343" s="115">
        <v>341.99999999999875</v>
      </c>
      <c r="B343" s="3">
        <v>120</v>
      </c>
      <c r="C343" s="4">
        <v>21.341999999999999</v>
      </c>
      <c r="D343" s="126" t="s">
        <v>168</v>
      </c>
      <c r="E343" t="s">
        <v>232</v>
      </c>
      <c r="F343" s="3" t="s">
        <v>251</v>
      </c>
      <c r="H343" s="3" t="s">
        <v>275</v>
      </c>
      <c r="I343" s="82">
        <v>44397</v>
      </c>
      <c r="J343" s="16" t="s">
        <v>142</v>
      </c>
      <c r="K343" s="16" t="s">
        <v>235</v>
      </c>
      <c r="L343" s="56"/>
      <c r="M343" s="56"/>
      <c r="N343" s="17">
        <v>181.95</v>
      </c>
      <c r="O343" s="17">
        <v>149.72999999999999</v>
      </c>
      <c r="P343" s="17">
        <v>150.37</v>
      </c>
      <c r="Q343" s="17">
        <v>31.75</v>
      </c>
      <c r="R343" s="17">
        <v>9.5500000000000007</v>
      </c>
      <c r="S343" s="17">
        <v>106.4</v>
      </c>
      <c r="T343" s="17">
        <v>88.03</v>
      </c>
      <c r="U343" s="50">
        <v>63.73</v>
      </c>
      <c r="V343" s="50">
        <v>50.24</v>
      </c>
      <c r="W343" s="50">
        <v>66.900000000000006</v>
      </c>
      <c r="X343" s="50">
        <v>78.92</v>
      </c>
      <c r="Y343" s="50">
        <v>38.69</v>
      </c>
      <c r="Z343" s="50">
        <v>87.89</v>
      </c>
      <c r="AA343" s="50">
        <v>73.8</v>
      </c>
      <c r="AB343" s="50">
        <v>66.489999999999995</v>
      </c>
      <c r="AC343" s="50">
        <v>14.41</v>
      </c>
      <c r="AD343" s="50">
        <v>48.16</v>
      </c>
      <c r="AE343" s="50">
        <v>25.54</v>
      </c>
      <c r="AF343" s="17">
        <v>26.62</v>
      </c>
      <c r="AG343" s="17">
        <v>31.93</v>
      </c>
      <c r="AH343" s="17">
        <v>27.6</v>
      </c>
      <c r="AI343" s="17">
        <v>1.365</v>
      </c>
      <c r="AJ343" s="17">
        <v>28.98</v>
      </c>
      <c r="AK343" s="17"/>
      <c r="AL343" s="17"/>
      <c r="AM343" s="17">
        <v>28</v>
      </c>
      <c r="AN343" s="17">
        <v>50</v>
      </c>
      <c r="AO343" s="17"/>
      <c r="AP343" s="17"/>
      <c r="AQ343" s="17"/>
      <c r="AR343" s="17"/>
      <c r="AS343" s="17"/>
      <c r="AT343" t="s">
        <v>146</v>
      </c>
    </row>
    <row r="344" spans="1:46" x14ac:dyDescent="0.2">
      <c r="A344" s="115">
        <v>343</v>
      </c>
      <c r="B344" s="3">
        <v>216</v>
      </c>
      <c r="C344" s="4">
        <v>21.343</v>
      </c>
      <c r="D344" s="64" t="s">
        <v>223</v>
      </c>
      <c r="E344" s="11" t="s">
        <v>223</v>
      </c>
      <c r="F344" s="3" t="s">
        <v>73</v>
      </c>
      <c r="G344" s="3" t="s">
        <v>73</v>
      </c>
      <c r="I344" s="82">
        <v>44366</v>
      </c>
      <c r="J344" s="16" t="s">
        <v>142</v>
      </c>
      <c r="K344" s="16" t="s">
        <v>235</v>
      </c>
      <c r="L344" s="56"/>
      <c r="M344" s="56"/>
      <c r="N344" s="17">
        <v>293.58999999999997</v>
      </c>
      <c r="O344" s="17">
        <v>172.78</v>
      </c>
      <c r="P344" s="17">
        <v>171.6</v>
      </c>
      <c r="Q344" s="17">
        <v>35.49</v>
      </c>
      <c r="R344" s="17">
        <v>16.95</v>
      </c>
      <c r="S344" s="17">
        <v>113.48</v>
      </c>
      <c r="T344" s="17">
        <v>93.81</v>
      </c>
      <c r="U344" s="50">
        <v>72</v>
      </c>
      <c r="V344" s="50">
        <v>51.25</v>
      </c>
      <c r="W344" s="50">
        <v>75.58</v>
      </c>
      <c r="X344" s="50">
        <v>90.78</v>
      </c>
      <c r="Y344" s="50">
        <v>40.81</v>
      </c>
      <c r="Z344" s="50">
        <v>106.73</v>
      </c>
      <c r="AA344" s="50">
        <v>87.15</v>
      </c>
      <c r="AB344" s="50">
        <v>80.97</v>
      </c>
      <c r="AC344" s="50">
        <v>17.579999999999998</v>
      </c>
      <c r="AD344" s="50">
        <v>56.62</v>
      </c>
      <c r="AE344" s="50">
        <v>30.82</v>
      </c>
      <c r="AF344" s="17">
        <v>38.25</v>
      </c>
      <c r="AG344" s="17">
        <v>35.549999999999997</v>
      </c>
      <c r="AH344" s="17">
        <v>34.61</v>
      </c>
      <c r="AI344" s="17">
        <v>1.319</v>
      </c>
      <c r="AJ344" s="17">
        <v>39.36</v>
      </c>
      <c r="AK344" s="17"/>
      <c r="AL344" s="17"/>
      <c r="AM344" s="17"/>
      <c r="AN344" s="17">
        <v>170</v>
      </c>
      <c r="AO344" s="17"/>
      <c r="AP344" s="17"/>
      <c r="AQ344" s="17"/>
      <c r="AR344" s="17"/>
      <c r="AS344" s="17"/>
      <c r="AT344" t="s">
        <v>146</v>
      </c>
    </row>
    <row r="345" spans="1:46" x14ac:dyDescent="0.2">
      <c r="A345" s="115">
        <v>344.00000000000119</v>
      </c>
      <c r="B345" s="3">
        <v>218</v>
      </c>
      <c r="C345" s="4">
        <v>21.344000000000001</v>
      </c>
      <c r="D345" s="64" t="s">
        <v>223</v>
      </c>
      <c r="E345" s="11" t="s">
        <v>223</v>
      </c>
      <c r="F345" s="3" t="s">
        <v>73</v>
      </c>
      <c r="G345" s="3" t="s">
        <v>73</v>
      </c>
      <c r="I345" s="82">
        <v>44366</v>
      </c>
      <c r="J345" s="16" t="s">
        <v>142</v>
      </c>
      <c r="K345" s="16" t="s">
        <v>235</v>
      </c>
      <c r="L345" s="56"/>
      <c r="M345" s="56"/>
      <c r="N345" s="17">
        <v>295.2</v>
      </c>
      <c r="O345" s="17">
        <v>171.97</v>
      </c>
      <c r="P345" s="17">
        <v>171.94</v>
      </c>
      <c r="Q345" s="17">
        <v>38.07</v>
      </c>
      <c r="R345" s="17">
        <v>14.54</v>
      </c>
      <c r="S345" s="17">
        <v>111.4</v>
      </c>
      <c r="T345" s="17">
        <v>91.25</v>
      </c>
      <c r="U345" s="50">
        <v>73.94</v>
      </c>
      <c r="V345" s="50">
        <v>54.92</v>
      </c>
      <c r="W345" s="50">
        <v>76.209999999999994</v>
      </c>
      <c r="X345" s="50">
        <v>89.58</v>
      </c>
      <c r="Y345" s="50">
        <v>41.39</v>
      </c>
      <c r="Z345" s="50">
        <v>104.42</v>
      </c>
      <c r="AA345" s="50">
        <v>83.74</v>
      </c>
      <c r="AB345" s="50">
        <v>80.67</v>
      </c>
      <c r="AC345" s="50">
        <v>16.61</v>
      </c>
      <c r="AD345" s="50">
        <v>58.53</v>
      </c>
      <c r="AE345" s="50">
        <v>31.53</v>
      </c>
      <c r="AF345" s="17">
        <v>41.46</v>
      </c>
      <c r="AG345" s="17">
        <v>37.04</v>
      </c>
      <c r="AH345" s="17">
        <v>37.08</v>
      </c>
      <c r="AI345" s="17">
        <v>1.605</v>
      </c>
      <c r="AJ345" s="17">
        <v>41.78</v>
      </c>
      <c r="AK345" s="17"/>
      <c r="AL345" s="17"/>
      <c r="AM345" s="17"/>
      <c r="AN345" s="17">
        <v>145</v>
      </c>
      <c r="AO345" s="17"/>
      <c r="AP345" s="17"/>
      <c r="AQ345" s="17"/>
      <c r="AR345" s="17"/>
      <c r="AS345" s="17"/>
      <c r="AT345" t="s">
        <v>146</v>
      </c>
    </row>
    <row r="346" spans="1:46" x14ac:dyDescent="0.2">
      <c r="A346" s="115">
        <v>344.99999999999886</v>
      </c>
      <c r="B346" s="3">
        <v>215</v>
      </c>
      <c r="C346" s="4">
        <v>21.344999999999999</v>
      </c>
      <c r="D346" s="64" t="s">
        <v>223</v>
      </c>
      <c r="E346" s="11" t="s">
        <v>223</v>
      </c>
      <c r="F346" s="3" t="s">
        <v>73</v>
      </c>
      <c r="G346" s="3" t="s">
        <v>73</v>
      </c>
      <c r="I346" s="82">
        <v>44366</v>
      </c>
      <c r="J346" s="16" t="s">
        <v>142</v>
      </c>
      <c r="K346" s="16" t="s">
        <v>235</v>
      </c>
      <c r="L346" s="56"/>
      <c r="M346" s="56"/>
      <c r="N346" s="17">
        <v>280.3</v>
      </c>
      <c r="O346" s="17">
        <v>195.22</v>
      </c>
      <c r="P346" s="17">
        <v>193.73</v>
      </c>
      <c r="Q346" s="17">
        <v>30.64</v>
      </c>
      <c r="R346" s="17">
        <v>17</v>
      </c>
      <c r="S346" s="17">
        <v>112.64</v>
      </c>
      <c r="T346" s="17">
        <v>93.35</v>
      </c>
      <c r="U346" s="50">
        <v>73.099999999999994</v>
      </c>
      <c r="V346" s="50">
        <v>54.42</v>
      </c>
      <c r="W346" s="50">
        <v>77.66</v>
      </c>
      <c r="X346" s="50">
        <v>88.46</v>
      </c>
      <c r="Y346" s="50">
        <v>42.19</v>
      </c>
      <c r="Z346" s="50">
        <v>100.09</v>
      </c>
      <c r="AA346" s="50">
        <v>82.73</v>
      </c>
      <c r="AB346" s="50">
        <v>82.87</v>
      </c>
      <c r="AC346" s="50">
        <v>21.73</v>
      </c>
      <c r="AD346" s="50">
        <v>59.13</v>
      </c>
      <c r="AE346" s="50">
        <v>32.729999999999997</v>
      </c>
      <c r="AF346" s="17">
        <v>35.69</v>
      </c>
      <c r="AG346" s="17">
        <v>38.25</v>
      </c>
      <c r="AH346" s="17">
        <v>33.97</v>
      </c>
      <c r="AI346" s="17">
        <v>1.357</v>
      </c>
      <c r="AJ346" s="17">
        <v>38.770000000000003</v>
      </c>
      <c r="AK346" s="17"/>
      <c r="AL346" s="17"/>
      <c r="AM346" s="17"/>
      <c r="AN346" s="17">
        <v>144</v>
      </c>
      <c r="AO346" s="17"/>
      <c r="AP346" s="17"/>
      <c r="AQ346" s="17"/>
      <c r="AR346" s="17"/>
      <c r="AS346" s="17"/>
      <c r="AT346" t="s">
        <v>146</v>
      </c>
    </row>
    <row r="347" spans="1:46" x14ac:dyDescent="0.2">
      <c r="A347" s="115">
        <v>346.00000000000011</v>
      </c>
      <c r="B347" s="3">
        <v>217</v>
      </c>
      <c r="C347" s="4">
        <v>21.346</v>
      </c>
      <c r="D347" s="64" t="s">
        <v>223</v>
      </c>
      <c r="E347" s="11" t="s">
        <v>223</v>
      </c>
      <c r="F347" s="3" t="s">
        <v>73</v>
      </c>
      <c r="G347" s="3" t="s">
        <v>73</v>
      </c>
      <c r="I347" s="82">
        <v>44366</v>
      </c>
      <c r="J347" s="16" t="s">
        <v>142</v>
      </c>
      <c r="K347" s="16" t="s">
        <v>235</v>
      </c>
      <c r="L347" s="56"/>
      <c r="M347" s="56"/>
      <c r="N347" s="17">
        <v>274.73</v>
      </c>
      <c r="O347" s="17">
        <v>165.9</v>
      </c>
      <c r="P347" s="17">
        <v>167.79</v>
      </c>
      <c r="Q347" s="17">
        <v>35.659999999999997</v>
      </c>
      <c r="R347" s="17">
        <v>15.89</v>
      </c>
      <c r="S347" s="17">
        <v>112.61</v>
      </c>
      <c r="T347" s="17">
        <v>92</v>
      </c>
      <c r="U347" s="50">
        <v>73.069999999999993</v>
      </c>
      <c r="V347" s="50">
        <v>59.08</v>
      </c>
      <c r="W347" s="50">
        <v>76.25</v>
      </c>
      <c r="X347" s="50">
        <v>89.13</v>
      </c>
      <c r="Y347" s="50">
        <v>42.23</v>
      </c>
      <c r="Z347" s="50">
        <v>103.25</v>
      </c>
      <c r="AA347" s="50">
        <v>85.36</v>
      </c>
      <c r="AB347" s="50">
        <v>83.31</v>
      </c>
      <c r="AC347" s="50">
        <v>22.73</v>
      </c>
      <c r="AD347" s="50">
        <v>57.06</v>
      </c>
      <c r="AE347" s="50">
        <v>36.69</v>
      </c>
      <c r="AF347" s="17">
        <v>38.39</v>
      </c>
      <c r="AG347" s="17">
        <v>33.94</v>
      </c>
      <c r="AH347" s="17">
        <v>36.479999999999997</v>
      </c>
      <c r="AI347" s="17">
        <v>1.369</v>
      </c>
      <c r="AJ347" s="17">
        <v>38.79</v>
      </c>
      <c r="AK347" s="17"/>
      <c r="AL347" s="17"/>
      <c r="AM347" s="17"/>
      <c r="AN347" s="17">
        <v>160</v>
      </c>
      <c r="AO347" s="17"/>
      <c r="AP347" s="17"/>
      <c r="AQ347" s="17"/>
      <c r="AR347" s="17"/>
      <c r="AS347" s="17"/>
      <c r="AT347" t="s">
        <v>146</v>
      </c>
    </row>
    <row r="348" spans="1:46" x14ac:dyDescent="0.2">
      <c r="A348" s="115">
        <v>347.00000000000131</v>
      </c>
      <c r="B348" s="3">
        <v>25</v>
      </c>
      <c r="C348" s="4">
        <v>21.347000000000001</v>
      </c>
      <c r="D348" s="131" t="s">
        <v>151</v>
      </c>
      <c r="E348" s="11" t="s">
        <v>162</v>
      </c>
      <c r="F348" s="3" t="s">
        <v>88</v>
      </c>
      <c r="G348" s="3" t="s">
        <v>88</v>
      </c>
      <c r="I348" s="82">
        <v>44364</v>
      </c>
      <c r="J348" s="9" t="s">
        <v>142</v>
      </c>
      <c r="K348" s="3" t="s">
        <v>235</v>
      </c>
      <c r="L348" s="81"/>
      <c r="M348" s="81"/>
      <c r="N348" s="3">
        <v>307.39999999999998</v>
      </c>
      <c r="O348" s="3">
        <v>183.67</v>
      </c>
      <c r="P348" s="3">
        <v>189.22</v>
      </c>
      <c r="Q348" s="3">
        <v>38.42</v>
      </c>
      <c r="R348" s="3">
        <v>17.32</v>
      </c>
      <c r="S348" s="3">
        <v>127.3</v>
      </c>
      <c r="T348" s="3">
        <v>103.15</v>
      </c>
      <c r="U348" s="6">
        <v>64.540000000000006</v>
      </c>
      <c r="V348" s="6">
        <v>55.21</v>
      </c>
      <c r="W348" s="6">
        <v>70.05</v>
      </c>
      <c r="X348" s="6">
        <v>94.31</v>
      </c>
      <c r="Y348" s="6">
        <v>44.37</v>
      </c>
      <c r="Z348" s="6">
        <v>106.05</v>
      </c>
      <c r="AA348" s="6">
        <v>88.36</v>
      </c>
      <c r="AB348" s="6">
        <v>85.54</v>
      </c>
      <c r="AC348" s="6">
        <v>13.64</v>
      </c>
      <c r="AD348" s="6">
        <v>54.17</v>
      </c>
      <c r="AE348" s="6">
        <v>31.85</v>
      </c>
      <c r="AF348" s="3">
        <v>38.159999999999997</v>
      </c>
      <c r="AG348" s="3">
        <v>36.25</v>
      </c>
      <c r="AH348" s="3">
        <v>41.32</v>
      </c>
      <c r="AI348" s="3">
        <v>1.524</v>
      </c>
      <c r="AJ348" s="3">
        <v>55.49</v>
      </c>
      <c r="AN348" s="3">
        <v>149</v>
      </c>
      <c r="AT348" t="s">
        <v>146</v>
      </c>
    </row>
    <row r="349" spans="1:46" x14ac:dyDescent="0.2">
      <c r="A349" s="115">
        <v>347.99999999999898</v>
      </c>
      <c r="B349" s="3">
        <v>19</v>
      </c>
      <c r="C349" s="4">
        <v>21.347999999999999</v>
      </c>
      <c r="D349" s="131" t="s">
        <v>151</v>
      </c>
      <c r="E349" s="11" t="s">
        <v>152</v>
      </c>
      <c r="F349" s="3" t="s">
        <v>227</v>
      </c>
      <c r="H349" s="3" t="s">
        <v>90</v>
      </c>
      <c r="I349" s="82">
        <v>44326</v>
      </c>
      <c r="J349" s="9" t="s">
        <v>142</v>
      </c>
      <c r="K349" s="3" t="s">
        <v>235</v>
      </c>
      <c r="L349" s="81"/>
      <c r="M349" s="81"/>
      <c r="N349" s="3">
        <v>282.56</v>
      </c>
      <c r="O349" s="3">
        <v>182.07</v>
      </c>
      <c r="P349" s="3">
        <v>189.62</v>
      </c>
      <c r="Q349" s="3">
        <v>39</v>
      </c>
      <c r="R349" s="3">
        <v>17.05</v>
      </c>
      <c r="S349" s="3">
        <v>122.31</v>
      </c>
      <c r="T349" s="3">
        <v>99</v>
      </c>
      <c r="U349" s="6">
        <v>68.62</v>
      </c>
      <c r="V349" s="6">
        <v>56.45</v>
      </c>
      <c r="W349" s="6">
        <v>70.72</v>
      </c>
      <c r="X349" s="6">
        <v>94.02</v>
      </c>
      <c r="Y349" s="6">
        <v>39.909999999999997</v>
      </c>
      <c r="Z349" s="6">
        <v>105.19</v>
      </c>
      <c r="AA349" s="6">
        <v>89.15</v>
      </c>
      <c r="AB349" s="6">
        <v>81.680000000000007</v>
      </c>
      <c r="AC349" s="6">
        <v>13.49</v>
      </c>
      <c r="AD349" s="6">
        <v>54.18</v>
      </c>
      <c r="AE349" s="6">
        <v>27.08</v>
      </c>
      <c r="AF349" s="3">
        <v>37.81</v>
      </c>
      <c r="AG349" s="3">
        <v>34.35</v>
      </c>
      <c r="AH349" s="3">
        <v>42.48</v>
      </c>
      <c r="AI349" s="3">
        <v>1.5980000000000001</v>
      </c>
      <c r="AJ349" s="3">
        <v>61.05</v>
      </c>
      <c r="AN349" s="3">
        <v>135</v>
      </c>
      <c r="AT349" t="s">
        <v>146</v>
      </c>
    </row>
    <row r="350" spans="1:46" x14ac:dyDescent="0.2">
      <c r="A350" s="115">
        <v>349.00000000000023</v>
      </c>
      <c r="B350" s="3">
        <v>20</v>
      </c>
      <c r="C350" s="4">
        <v>21.349</v>
      </c>
      <c r="D350" s="131" t="s">
        <v>151</v>
      </c>
      <c r="E350" s="11" t="s">
        <v>162</v>
      </c>
      <c r="F350" s="3" t="s">
        <v>88</v>
      </c>
      <c r="G350" s="3" t="s">
        <v>88</v>
      </c>
      <c r="I350" s="82">
        <v>44333</v>
      </c>
      <c r="J350" s="9" t="s">
        <v>142</v>
      </c>
      <c r="K350" s="3" t="s">
        <v>235</v>
      </c>
      <c r="L350" s="81"/>
      <c r="M350" s="81"/>
      <c r="N350" s="3">
        <v>303.69</v>
      </c>
      <c r="O350" s="3">
        <v>181.42</v>
      </c>
      <c r="P350" s="3">
        <v>193.76</v>
      </c>
      <c r="Q350" s="3">
        <v>37.72</v>
      </c>
      <c r="R350" s="3">
        <v>18.61</v>
      </c>
      <c r="S350" s="3">
        <v>131.27000000000001</v>
      </c>
      <c r="T350" s="3">
        <v>105.95</v>
      </c>
      <c r="U350" s="6">
        <v>65.849999999999994</v>
      </c>
      <c r="V350" s="6">
        <v>54.37</v>
      </c>
      <c r="W350" s="6">
        <v>68.650000000000006</v>
      </c>
      <c r="X350" s="6">
        <v>91.86</v>
      </c>
      <c r="Y350" s="6">
        <v>43.04</v>
      </c>
      <c r="Z350" s="6">
        <v>102.24</v>
      </c>
      <c r="AA350" s="6">
        <v>82.96</v>
      </c>
      <c r="AB350" s="6">
        <v>83.15</v>
      </c>
      <c r="AC350" s="6">
        <v>11.77</v>
      </c>
      <c r="AD350" s="6">
        <v>54.41</v>
      </c>
      <c r="AE350" s="6">
        <v>33.47</v>
      </c>
      <c r="AF350" s="3">
        <v>37.49</v>
      </c>
      <c r="AG350" s="3">
        <v>39.58</v>
      </c>
      <c r="AH350" s="3">
        <v>41.26</v>
      </c>
      <c r="AI350" s="3">
        <v>1.617</v>
      </c>
      <c r="AJ350" s="3">
        <v>67.48</v>
      </c>
      <c r="AN350" s="3">
        <v>133</v>
      </c>
      <c r="AT350" t="s">
        <v>146</v>
      </c>
    </row>
    <row r="351" spans="1:46" x14ac:dyDescent="0.2">
      <c r="A351" s="115">
        <v>350.00000000000142</v>
      </c>
      <c r="B351" s="3">
        <v>21</v>
      </c>
      <c r="C351" s="2" t="s">
        <v>85</v>
      </c>
      <c r="D351" s="131" t="s">
        <v>151</v>
      </c>
      <c r="E351" s="11" t="s">
        <v>162</v>
      </c>
      <c r="F351" s="3" t="s">
        <v>88</v>
      </c>
      <c r="G351" s="3" t="s">
        <v>88</v>
      </c>
      <c r="I351" s="82">
        <v>44333</v>
      </c>
      <c r="J351" s="9" t="s">
        <v>142</v>
      </c>
      <c r="K351" s="3" t="s">
        <v>235</v>
      </c>
      <c r="L351" s="81"/>
      <c r="M351" s="81"/>
      <c r="N351" s="3">
        <v>287.89</v>
      </c>
      <c r="O351" s="3">
        <v>207.25</v>
      </c>
      <c r="P351" s="3">
        <v>191.51</v>
      </c>
      <c r="Q351" s="3">
        <v>39.86</v>
      </c>
      <c r="R351" s="3">
        <v>17</v>
      </c>
      <c r="S351" s="3">
        <v>128.25</v>
      </c>
      <c r="T351" s="3">
        <v>100.03</v>
      </c>
      <c r="U351" s="6">
        <v>64.88</v>
      </c>
      <c r="V351" s="6">
        <v>55.41</v>
      </c>
      <c r="W351" s="6">
        <v>69.39</v>
      </c>
      <c r="X351" s="6">
        <v>91.13</v>
      </c>
      <c r="Y351" s="6">
        <v>42.79</v>
      </c>
      <c r="Z351" s="6">
        <v>103.59</v>
      </c>
      <c r="AA351" s="6">
        <v>86.51</v>
      </c>
      <c r="AB351" s="6">
        <v>84.67</v>
      </c>
      <c r="AC351" s="6">
        <v>9.68</v>
      </c>
      <c r="AD351" s="6">
        <v>52.67</v>
      </c>
      <c r="AE351" s="6">
        <v>30.86</v>
      </c>
      <c r="AF351" s="3">
        <v>41.11</v>
      </c>
      <c r="AG351" s="3">
        <v>37.119999999999997</v>
      </c>
      <c r="AH351" s="3">
        <v>43.76</v>
      </c>
      <c r="AI351" s="3">
        <v>1.4139999999999999</v>
      </c>
      <c r="AJ351" s="3">
        <v>53.03</v>
      </c>
      <c r="AN351" s="3">
        <v>136</v>
      </c>
      <c r="AT351" t="s">
        <v>146</v>
      </c>
    </row>
    <row r="352" spans="1:46" x14ac:dyDescent="0.2">
      <c r="A352" s="115">
        <v>350.99999999999909</v>
      </c>
      <c r="B352" s="3">
        <v>16</v>
      </c>
      <c r="C352" s="4">
        <v>21.350999999999999</v>
      </c>
      <c r="D352" s="131" t="s">
        <v>151</v>
      </c>
      <c r="E352" s="11" t="s">
        <v>162</v>
      </c>
      <c r="F352" s="3" t="s">
        <v>88</v>
      </c>
      <c r="G352" s="3" t="s">
        <v>88</v>
      </c>
      <c r="I352" s="82">
        <v>44320</v>
      </c>
      <c r="J352" s="9" t="s">
        <v>142</v>
      </c>
      <c r="K352" s="3" t="s">
        <v>235</v>
      </c>
      <c r="L352" s="81"/>
      <c r="M352" s="81"/>
      <c r="N352" s="3">
        <v>300.68</v>
      </c>
      <c r="O352" s="3">
        <v>186.53</v>
      </c>
      <c r="P352" s="3">
        <v>194.23</v>
      </c>
      <c r="Q352" s="3">
        <v>41.87</v>
      </c>
      <c r="R352" s="3">
        <v>18.690000000000001</v>
      </c>
      <c r="S352" s="3">
        <v>127.15</v>
      </c>
      <c r="T352" s="3">
        <v>106.48</v>
      </c>
      <c r="U352" s="6">
        <v>64.19</v>
      </c>
      <c r="V352" s="6">
        <v>52.86</v>
      </c>
      <c r="W352" s="6">
        <v>68.42</v>
      </c>
      <c r="X352" s="6">
        <v>90.64</v>
      </c>
      <c r="Y352" s="6">
        <v>43.39</v>
      </c>
      <c r="Z352" s="6">
        <v>103.61</v>
      </c>
      <c r="AA352" s="6">
        <v>86.88</v>
      </c>
      <c r="AB352" s="6">
        <v>83.8</v>
      </c>
      <c r="AC352" s="6">
        <v>11.07</v>
      </c>
      <c r="AD352" s="6">
        <v>54.9</v>
      </c>
      <c r="AE352" s="6">
        <v>32.6</v>
      </c>
      <c r="AF352" s="3">
        <v>41.12</v>
      </c>
      <c r="AG352" s="3">
        <v>36.01</v>
      </c>
      <c r="AH352" s="3">
        <v>43.87</v>
      </c>
      <c r="AI352" s="3">
        <v>1.431</v>
      </c>
      <c r="AJ352" s="3">
        <v>54.25</v>
      </c>
      <c r="AN352" s="3">
        <v>154</v>
      </c>
      <c r="AT352" t="s">
        <v>146</v>
      </c>
    </row>
    <row r="353" spans="1:47" x14ac:dyDescent="0.2">
      <c r="A353" s="115">
        <v>352.00000000000034</v>
      </c>
      <c r="B353" s="3">
        <v>17</v>
      </c>
      <c r="C353" s="4">
        <v>21.352</v>
      </c>
      <c r="D353" s="131" t="s">
        <v>151</v>
      </c>
      <c r="E353" s="11" t="s">
        <v>162</v>
      </c>
      <c r="F353" s="3" t="s">
        <v>88</v>
      </c>
      <c r="G353" s="3" t="s">
        <v>88</v>
      </c>
      <c r="I353" s="82">
        <v>44320</v>
      </c>
      <c r="J353" s="9" t="s">
        <v>142</v>
      </c>
      <c r="K353" s="3" t="s">
        <v>235</v>
      </c>
      <c r="L353" s="81"/>
      <c r="M353" s="81"/>
      <c r="N353" s="3">
        <v>303.07</v>
      </c>
      <c r="O353" s="3">
        <v>263.58999999999997</v>
      </c>
      <c r="P353" s="3">
        <v>192.62</v>
      </c>
      <c r="Q353" s="3">
        <v>43.2</v>
      </c>
      <c r="R353" s="3">
        <v>19.43</v>
      </c>
      <c r="S353" s="3">
        <v>127.52</v>
      </c>
      <c r="T353" s="3">
        <v>99.9</v>
      </c>
      <c r="U353" s="6">
        <v>62.6</v>
      </c>
      <c r="V353" s="6">
        <v>55.31</v>
      </c>
      <c r="W353" s="6">
        <v>67.22</v>
      </c>
      <c r="X353" s="6">
        <v>91.01</v>
      </c>
      <c r="Y353" s="6">
        <v>42.5</v>
      </c>
      <c r="Z353" s="6">
        <v>104.26</v>
      </c>
      <c r="AA353" s="6">
        <v>86.76</v>
      </c>
      <c r="AB353" s="6">
        <v>84.31</v>
      </c>
      <c r="AC353" s="6">
        <v>14.57</v>
      </c>
      <c r="AD353" s="6">
        <v>53.95</v>
      </c>
      <c r="AE353" s="6">
        <v>33.47</v>
      </c>
      <c r="AF353" s="3">
        <v>41.11</v>
      </c>
      <c r="AG353" s="3">
        <v>37.15</v>
      </c>
      <c r="AH353" s="3">
        <v>43.57</v>
      </c>
      <c r="AI353" s="3">
        <v>1.522</v>
      </c>
      <c r="AJ353" s="3">
        <v>53.88</v>
      </c>
      <c r="AT353" t="s">
        <v>146</v>
      </c>
    </row>
    <row r="354" spans="1:47" x14ac:dyDescent="0.2">
      <c r="A354" s="115">
        <v>353.00000000000153</v>
      </c>
      <c r="B354" s="3">
        <v>110</v>
      </c>
      <c r="C354" s="4">
        <v>21.353000000000002</v>
      </c>
      <c r="D354" s="129" t="s">
        <v>140</v>
      </c>
      <c r="E354" t="s">
        <v>141</v>
      </c>
      <c r="F354" s="3" t="s">
        <v>60</v>
      </c>
      <c r="H354" s="3" t="s">
        <v>60</v>
      </c>
      <c r="I354" s="82">
        <v>44416</v>
      </c>
      <c r="J354" s="16" t="s">
        <v>142</v>
      </c>
      <c r="K354" s="17" t="s">
        <v>203</v>
      </c>
      <c r="L354" s="56"/>
      <c r="M354">
        <v>195.2</v>
      </c>
      <c r="N354" s="17"/>
      <c r="O354" s="17">
        <v>148.08000000000001</v>
      </c>
      <c r="P354" s="17">
        <v>154.28</v>
      </c>
      <c r="Q354" s="17">
        <v>27.15</v>
      </c>
      <c r="R354" s="17">
        <v>13.34</v>
      </c>
      <c r="S354" s="17">
        <v>106.58</v>
      </c>
      <c r="T354" s="17">
        <v>89.26</v>
      </c>
      <c r="U354" s="50">
        <v>66.89</v>
      </c>
      <c r="V354" s="50">
        <v>52.74</v>
      </c>
      <c r="W354" s="50">
        <v>69.010000000000005</v>
      </c>
      <c r="X354" s="50">
        <v>81.13</v>
      </c>
      <c r="Y354" s="50">
        <v>39.619999999999997</v>
      </c>
      <c r="Z354" s="50">
        <v>87.86</v>
      </c>
      <c r="AA354" s="50">
        <v>69.69</v>
      </c>
      <c r="AB354" s="50">
        <v>71.930000000000007</v>
      </c>
      <c r="AC354" s="50">
        <v>9.39</v>
      </c>
      <c r="AD354" s="50">
        <v>48.54</v>
      </c>
      <c r="AE354" s="50">
        <v>28.53</v>
      </c>
      <c r="AF354" s="17">
        <v>38.450000000000003</v>
      </c>
      <c r="AG354" s="17">
        <v>45.73</v>
      </c>
      <c r="AH354" s="17">
        <v>43.06</v>
      </c>
      <c r="AI354" s="17">
        <v>1.964</v>
      </c>
      <c r="AJ354" s="17"/>
      <c r="AK354" s="17"/>
      <c r="AL354" s="17">
        <v>29.5</v>
      </c>
      <c r="AM354" s="17"/>
      <c r="AN354" s="17"/>
      <c r="AO354" s="17">
        <v>12.12</v>
      </c>
      <c r="AP354" s="17">
        <v>100.69</v>
      </c>
      <c r="AQ354" s="17">
        <v>6.15</v>
      </c>
      <c r="AR354" s="17">
        <v>47.23</v>
      </c>
      <c r="AS354" s="17">
        <v>22.047999999999998</v>
      </c>
      <c r="AT354" t="s">
        <v>146</v>
      </c>
    </row>
    <row r="355" spans="1:47" x14ac:dyDescent="0.2">
      <c r="A355" s="115">
        <v>353.9999999999992</v>
      </c>
      <c r="B355" s="3">
        <v>113</v>
      </c>
      <c r="C355" s="4">
        <v>21.353999999999999</v>
      </c>
      <c r="D355" s="129" t="s">
        <v>140</v>
      </c>
      <c r="E355" t="s">
        <v>141</v>
      </c>
      <c r="F355" s="3" t="s">
        <v>60</v>
      </c>
      <c r="H355" s="3" t="s">
        <v>60</v>
      </c>
      <c r="I355" s="82">
        <v>44417</v>
      </c>
      <c r="J355" s="16" t="s">
        <v>142</v>
      </c>
      <c r="K355" s="17" t="s">
        <v>203</v>
      </c>
      <c r="L355" s="56"/>
      <c r="M355">
        <v>204</v>
      </c>
      <c r="N355" s="17">
        <v>207.11</v>
      </c>
      <c r="O355" s="17">
        <v>181.13</v>
      </c>
      <c r="P355" s="17">
        <v>277.48</v>
      </c>
      <c r="Q355" s="17">
        <v>29.05</v>
      </c>
      <c r="R355" s="17">
        <v>23.2</v>
      </c>
      <c r="S355" s="17">
        <v>111.08</v>
      </c>
      <c r="T355" s="17">
        <v>94.05</v>
      </c>
      <c r="U355" s="50">
        <v>60.25</v>
      </c>
      <c r="V355" s="50">
        <v>51.65</v>
      </c>
      <c r="W355" s="50">
        <v>69.72</v>
      </c>
      <c r="X355" s="50">
        <v>84.61</v>
      </c>
      <c r="Y355" s="50">
        <v>41.91</v>
      </c>
      <c r="Z355" s="50">
        <v>93.29</v>
      </c>
      <c r="AA355" s="50">
        <v>73.36</v>
      </c>
      <c r="AB355" s="50">
        <v>73.91</v>
      </c>
      <c r="AC355" s="50">
        <v>12.53</v>
      </c>
      <c r="AD355" s="50">
        <v>47.36</v>
      </c>
      <c r="AE355" s="50">
        <v>33.89</v>
      </c>
      <c r="AF355" s="17">
        <v>36.76</v>
      </c>
      <c r="AG355" s="17">
        <v>32.51</v>
      </c>
      <c r="AH355" s="17">
        <v>36.03</v>
      </c>
      <c r="AI355" s="17">
        <v>1.9059999999999999</v>
      </c>
      <c r="AJ355" s="17"/>
      <c r="AK355" s="17"/>
      <c r="AL355" s="17">
        <v>22.8</v>
      </c>
      <c r="AM355" s="17"/>
      <c r="AN355" s="17"/>
      <c r="AO355" s="17">
        <v>11.83</v>
      </c>
      <c r="AP355" s="17">
        <v>102.33</v>
      </c>
      <c r="AQ355" s="17">
        <v>15.8</v>
      </c>
      <c r="AR355" s="17">
        <v>49.54</v>
      </c>
      <c r="AS355" s="17">
        <v>21.544</v>
      </c>
      <c r="AT355" t="s">
        <v>146</v>
      </c>
    </row>
    <row r="356" spans="1:47" x14ac:dyDescent="0.2">
      <c r="A356" s="115">
        <v>355.00000000000045</v>
      </c>
      <c r="B356" s="3">
        <v>111</v>
      </c>
      <c r="C356" s="4">
        <v>21.355</v>
      </c>
      <c r="D356" s="129" t="s">
        <v>140</v>
      </c>
      <c r="E356" t="s">
        <v>141</v>
      </c>
      <c r="F356" s="3" t="s">
        <v>60</v>
      </c>
      <c r="H356" s="3" t="s">
        <v>60</v>
      </c>
      <c r="I356" s="82">
        <v>44417</v>
      </c>
      <c r="J356" s="16" t="s">
        <v>142</v>
      </c>
      <c r="K356" s="17" t="s">
        <v>203</v>
      </c>
      <c r="L356" s="56"/>
      <c r="M356">
        <v>191.7</v>
      </c>
      <c r="N356" s="17">
        <v>194.58</v>
      </c>
      <c r="O356" s="17">
        <v>155.13</v>
      </c>
      <c r="P356" s="17">
        <v>167.85</v>
      </c>
      <c r="Q356" s="17">
        <v>27.15</v>
      </c>
      <c r="R356" s="17">
        <v>22.51</v>
      </c>
      <c r="S356" s="17">
        <v>111.18</v>
      </c>
      <c r="T356" s="17">
        <v>93.24</v>
      </c>
      <c r="U356" s="50">
        <v>62.95</v>
      </c>
      <c r="V356" s="50">
        <v>53.5</v>
      </c>
      <c r="W356" s="50">
        <v>70</v>
      </c>
      <c r="X356" s="50">
        <v>81.75</v>
      </c>
      <c r="Y356" s="50">
        <v>40.86</v>
      </c>
      <c r="Z356" s="50">
        <v>92.09</v>
      </c>
      <c r="AA356" s="50">
        <v>75.3</v>
      </c>
      <c r="AB356" s="50">
        <v>72.930000000000007</v>
      </c>
      <c r="AC356" s="50">
        <v>15.44</v>
      </c>
      <c r="AD356" s="50">
        <v>46.87</v>
      </c>
      <c r="AE356" s="50">
        <v>30.22</v>
      </c>
      <c r="AF356" s="17">
        <v>32.22</v>
      </c>
      <c r="AG356" s="17">
        <v>33.729999999999997</v>
      </c>
      <c r="AH356" s="17">
        <v>33.880000000000003</v>
      </c>
      <c r="AI356" s="17">
        <v>1.8320000000000001</v>
      </c>
      <c r="AJ356" s="17"/>
      <c r="AK356" s="17"/>
      <c r="AL356" s="17">
        <v>18.2</v>
      </c>
      <c r="AM356" s="17"/>
      <c r="AN356" s="17"/>
      <c r="AO356" s="17">
        <v>11.02</v>
      </c>
      <c r="AP356" s="17">
        <v>92.19</v>
      </c>
      <c r="AQ356" s="17">
        <v>25.44</v>
      </c>
      <c r="AR356" s="17">
        <v>44.61</v>
      </c>
      <c r="AS356" s="17">
        <v>18.620999999999999</v>
      </c>
      <c r="AT356" t="s">
        <v>146</v>
      </c>
    </row>
    <row r="357" spans="1:47" x14ac:dyDescent="0.2">
      <c r="A357" s="115">
        <v>356.00000000000165</v>
      </c>
      <c r="B357" s="3">
        <v>112</v>
      </c>
      <c r="C357" s="4">
        <v>21.356000000000002</v>
      </c>
      <c r="D357" s="129" t="s">
        <v>140</v>
      </c>
      <c r="E357" t="s">
        <v>141</v>
      </c>
      <c r="F357" s="3" t="s">
        <v>60</v>
      </c>
      <c r="G357"/>
      <c r="H357" s="3" t="s">
        <v>60</v>
      </c>
      <c r="I357" s="82">
        <v>44417</v>
      </c>
      <c r="J357" s="16" t="s">
        <v>142</v>
      </c>
      <c r="K357" s="17" t="s">
        <v>203</v>
      </c>
      <c r="L357" s="56"/>
      <c r="M357">
        <v>190.7</v>
      </c>
      <c r="N357" s="17">
        <v>192.12</v>
      </c>
      <c r="O357" s="17">
        <v>150.72</v>
      </c>
      <c r="P357" s="17">
        <v>162.54</v>
      </c>
      <c r="Q357" s="17">
        <v>25.55</v>
      </c>
      <c r="R357" s="17">
        <v>20.48</v>
      </c>
      <c r="S357" s="17">
        <v>111.17</v>
      </c>
      <c r="T357" s="17">
        <v>92.65</v>
      </c>
      <c r="U357" s="50">
        <v>63.45</v>
      </c>
      <c r="V357" s="50">
        <v>50.45</v>
      </c>
      <c r="W357" s="50">
        <v>68.58</v>
      </c>
      <c r="X357" s="50">
        <v>79.72</v>
      </c>
      <c r="Y357" s="50">
        <v>38.380000000000003</v>
      </c>
      <c r="Z357" s="50">
        <v>88.12</v>
      </c>
      <c r="AA357" s="50">
        <v>73.040000000000006</v>
      </c>
      <c r="AB357" s="50">
        <v>72.069999999999993</v>
      </c>
      <c r="AC357" s="50">
        <v>10.84</v>
      </c>
      <c r="AD357" s="50">
        <v>47.41</v>
      </c>
      <c r="AE357" s="50">
        <v>34.26</v>
      </c>
      <c r="AF357" s="17">
        <v>36.75</v>
      </c>
      <c r="AG357" s="17">
        <v>39.39</v>
      </c>
      <c r="AH357" s="17">
        <v>32.39</v>
      </c>
      <c r="AI357" s="17">
        <v>1.784</v>
      </c>
      <c r="AJ357" s="17"/>
      <c r="AK357" s="17"/>
      <c r="AL357" s="17">
        <v>22.6</v>
      </c>
      <c r="AM357" s="17"/>
      <c r="AN357" s="17"/>
      <c r="AO357" s="17">
        <v>15.8</v>
      </c>
      <c r="AP357" s="17">
        <v>78.099999999999994</v>
      </c>
      <c r="AQ357" s="17">
        <v>31.97</v>
      </c>
      <c r="AR357" s="17">
        <v>43.51</v>
      </c>
      <c r="AS357" s="130">
        <v>19.41</v>
      </c>
      <c r="AT357" t="s">
        <v>146</v>
      </c>
    </row>
    <row r="358" spans="1:47" x14ac:dyDescent="0.2">
      <c r="A358" s="115">
        <v>356.99999999999932</v>
      </c>
      <c r="B358" s="3">
        <v>100</v>
      </c>
      <c r="C358" s="4">
        <v>21.356999999999999</v>
      </c>
      <c r="D358" s="129" t="s">
        <v>140</v>
      </c>
      <c r="E358" t="s">
        <v>141</v>
      </c>
      <c r="F358" s="3" t="s">
        <v>62</v>
      </c>
      <c r="G358" s="3" t="s">
        <v>62</v>
      </c>
      <c r="H358" s="3" t="s">
        <v>62</v>
      </c>
      <c r="I358" s="82">
        <v>44374</v>
      </c>
      <c r="J358" s="16" t="s">
        <v>142</v>
      </c>
      <c r="K358" s="16" t="s">
        <v>235</v>
      </c>
      <c r="L358" s="68"/>
      <c r="M358" s="17">
        <v>285</v>
      </c>
      <c r="N358" s="17">
        <v>299.48</v>
      </c>
      <c r="O358" s="17">
        <v>207.67</v>
      </c>
      <c r="P358" s="17">
        <v>216.42</v>
      </c>
      <c r="Q358" s="17">
        <v>53.1</v>
      </c>
      <c r="R358" s="17">
        <v>29.8</v>
      </c>
      <c r="S358" s="17">
        <v>129.1</v>
      </c>
      <c r="T358" s="17">
        <v>107.62</v>
      </c>
      <c r="U358" s="50">
        <v>67.040000000000006</v>
      </c>
      <c r="V358" s="50">
        <v>57.25</v>
      </c>
      <c r="W358" s="50">
        <v>73.16</v>
      </c>
      <c r="X358" s="50">
        <v>89.97</v>
      </c>
      <c r="Y358" s="50">
        <v>39.57</v>
      </c>
      <c r="Z358" s="50">
        <v>104.58</v>
      </c>
      <c r="AA358" s="50">
        <v>86.02</v>
      </c>
      <c r="AB358" s="50">
        <v>80.22</v>
      </c>
      <c r="AC358" s="50">
        <v>13.64</v>
      </c>
      <c r="AD358" s="50">
        <v>54.22</v>
      </c>
      <c r="AE358" s="50">
        <v>40.270000000000003</v>
      </c>
      <c r="AF358" s="17">
        <v>46.24</v>
      </c>
      <c r="AG358" s="17">
        <v>36.630000000000003</v>
      </c>
      <c r="AH358" s="17">
        <v>49.47</v>
      </c>
      <c r="AI358" s="17">
        <v>1.571</v>
      </c>
      <c r="AJ358" s="17">
        <v>54.79</v>
      </c>
      <c r="AK358" s="17"/>
      <c r="AL358" s="17"/>
      <c r="AM358" s="17"/>
      <c r="AN358" s="17">
        <v>138</v>
      </c>
      <c r="AO358" s="17"/>
      <c r="AP358" s="17"/>
      <c r="AQ358" s="17"/>
      <c r="AR358" s="17"/>
      <c r="AS358" s="17"/>
      <c r="AT358" t="s">
        <v>146</v>
      </c>
    </row>
    <row r="359" spans="1:47" x14ac:dyDescent="0.2">
      <c r="A359" s="115">
        <v>358.00000000000057</v>
      </c>
      <c r="B359" s="3">
        <v>101</v>
      </c>
      <c r="C359" s="4">
        <v>21.358000000000001</v>
      </c>
      <c r="D359" s="129" t="s">
        <v>140</v>
      </c>
      <c r="E359" t="s">
        <v>141</v>
      </c>
      <c r="F359" s="3" t="s">
        <v>62</v>
      </c>
      <c r="G359" t="s">
        <v>62</v>
      </c>
      <c r="H359" s="3" t="s">
        <v>62</v>
      </c>
      <c r="I359" s="82">
        <v>44375</v>
      </c>
      <c r="J359" s="16" t="s">
        <v>142</v>
      </c>
      <c r="K359" s="16" t="s">
        <v>235</v>
      </c>
      <c r="L359" s="68"/>
      <c r="M359" s="17">
        <v>282.8</v>
      </c>
      <c r="N359" s="17">
        <v>299.8</v>
      </c>
      <c r="O359" s="17">
        <v>197.27</v>
      </c>
      <c r="P359" s="17">
        <v>217.41</v>
      </c>
      <c r="Q359" s="17">
        <v>49.01</v>
      </c>
      <c r="R359" s="17">
        <v>29.38</v>
      </c>
      <c r="S359" s="17">
        <v>135.75</v>
      </c>
      <c r="T359" s="17">
        <v>105.96</v>
      </c>
      <c r="U359" s="50">
        <v>66.94</v>
      </c>
      <c r="V359" s="50">
        <v>59.07</v>
      </c>
      <c r="W359" s="50">
        <v>73.17</v>
      </c>
      <c r="X359" s="50">
        <v>89.45</v>
      </c>
      <c r="Y359" s="50">
        <v>41.8</v>
      </c>
      <c r="Z359" s="50">
        <v>105.47</v>
      </c>
      <c r="AA359" s="50">
        <v>85.19</v>
      </c>
      <c r="AB359" s="50">
        <v>77.510000000000005</v>
      </c>
      <c r="AC359" s="50">
        <v>13.82</v>
      </c>
      <c r="AD359" s="50">
        <v>54.15</v>
      </c>
      <c r="AE359" s="50">
        <v>31.71</v>
      </c>
      <c r="AF359" s="17">
        <v>41.29</v>
      </c>
      <c r="AG359" s="17">
        <v>41.81</v>
      </c>
      <c r="AH359" s="17">
        <v>51.42</v>
      </c>
      <c r="AI359" s="17">
        <v>1.5820000000000001</v>
      </c>
      <c r="AJ359" s="17">
        <v>55.95</v>
      </c>
      <c r="AK359" s="17"/>
      <c r="AL359" s="17"/>
      <c r="AM359" s="17"/>
      <c r="AN359" s="17">
        <v>139</v>
      </c>
      <c r="AO359" s="17"/>
      <c r="AP359" s="17"/>
      <c r="AQ359" s="17"/>
      <c r="AR359" s="17"/>
      <c r="AS359" s="17"/>
      <c r="AT359" t="s">
        <v>146</v>
      </c>
    </row>
    <row r="360" spans="1:47" x14ac:dyDescent="0.2">
      <c r="A360" s="115">
        <v>359.00000000000176</v>
      </c>
      <c r="B360" s="3">
        <v>95</v>
      </c>
      <c r="C360" s="4">
        <v>21.359000000000002</v>
      </c>
      <c r="D360" s="129" t="s">
        <v>140</v>
      </c>
      <c r="E360" t="s">
        <v>141</v>
      </c>
      <c r="F360" s="3" t="s">
        <v>62</v>
      </c>
      <c r="H360" s="3" t="s">
        <v>62</v>
      </c>
      <c r="I360" s="82">
        <v>44360</v>
      </c>
      <c r="J360" s="16" t="s">
        <v>142</v>
      </c>
      <c r="K360" s="16" t="s">
        <v>235</v>
      </c>
      <c r="L360" s="56"/>
      <c r="M360" s="17">
        <v>284.89999999999998</v>
      </c>
      <c r="N360" s="17">
        <v>307.83</v>
      </c>
      <c r="O360" s="17">
        <v>217.78</v>
      </c>
      <c r="P360" s="17">
        <v>230.35</v>
      </c>
      <c r="Q360" s="17">
        <v>47.13</v>
      </c>
      <c r="R360" s="17">
        <v>37.49</v>
      </c>
      <c r="S360" s="17">
        <v>138.59</v>
      </c>
      <c r="T360" s="17">
        <v>107.95</v>
      </c>
      <c r="U360" s="50">
        <v>65.87</v>
      </c>
      <c r="V360" s="50">
        <v>55.03</v>
      </c>
      <c r="W360" s="50">
        <v>73.3</v>
      </c>
      <c r="X360" s="50">
        <v>92.34</v>
      </c>
      <c r="Y360" s="50">
        <v>40.98</v>
      </c>
      <c r="Z360" s="50">
        <v>102.55</v>
      </c>
      <c r="AA360" s="50">
        <v>85.25</v>
      </c>
      <c r="AB360" s="50">
        <v>81.33</v>
      </c>
      <c r="AC360" s="50">
        <v>12.89</v>
      </c>
      <c r="AD360" s="50">
        <v>54.95</v>
      </c>
      <c r="AE360" s="50">
        <v>38.53</v>
      </c>
      <c r="AF360" s="17">
        <v>44.48</v>
      </c>
      <c r="AG360" s="17">
        <v>41.53</v>
      </c>
      <c r="AH360" s="17">
        <v>47.34</v>
      </c>
      <c r="AI360" s="17">
        <v>1.196</v>
      </c>
      <c r="AJ360" s="17">
        <v>55.21</v>
      </c>
      <c r="AK360" s="17"/>
      <c r="AL360" s="17"/>
      <c r="AM360" s="17"/>
      <c r="AN360" s="17">
        <v>157</v>
      </c>
      <c r="AO360" s="17"/>
      <c r="AP360" s="17"/>
      <c r="AQ360" s="17"/>
      <c r="AR360" s="17"/>
      <c r="AS360" s="17"/>
      <c r="AT360" t="s">
        <v>146</v>
      </c>
    </row>
    <row r="361" spans="1:47" x14ac:dyDescent="0.2">
      <c r="A361" s="115">
        <v>359.99999999999943</v>
      </c>
      <c r="B361" s="3">
        <v>68</v>
      </c>
      <c r="C361" s="2" t="s">
        <v>568</v>
      </c>
      <c r="D361" s="129" t="s">
        <v>140</v>
      </c>
      <c r="E361" t="s">
        <v>141</v>
      </c>
      <c r="F361" s="3" t="s">
        <v>62</v>
      </c>
      <c r="H361" s="3" t="s">
        <v>62</v>
      </c>
      <c r="I361" s="82">
        <v>44307</v>
      </c>
      <c r="J361" s="16" t="s">
        <v>142</v>
      </c>
      <c r="K361" s="17" t="s">
        <v>203</v>
      </c>
      <c r="L361" s="56"/>
      <c r="M361" s="17">
        <v>246.6</v>
      </c>
      <c r="N361" s="17">
        <v>249.44</v>
      </c>
      <c r="O361" s="17">
        <v>203.36</v>
      </c>
      <c r="P361" s="17">
        <v>209.71</v>
      </c>
      <c r="Q361" s="17">
        <v>44.9</v>
      </c>
      <c r="R361" s="17">
        <v>33.14</v>
      </c>
      <c r="S361" s="17">
        <v>129.62</v>
      </c>
      <c r="T361" s="17">
        <v>105.32</v>
      </c>
      <c r="U361" s="50">
        <v>68.09</v>
      </c>
      <c r="V361" s="50">
        <v>58.7</v>
      </c>
      <c r="W361" s="50">
        <v>75.52</v>
      </c>
      <c r="X361" s="50">
        <v>92.16</v>
      </c>
      <c r="Y361" s="50">
        <v>42.53</v>
      </c>
      <c r="Z361" s="50">
        <v>103.45</v>
      </c>
      <c r="AA361" s="50">
        <v>79.45</v>
      </c>
      <c r="AB361" s="50">
        <v>81.12</v>
      </c>
      <c r="AC361" s="50">
        <v>12.33</v>
      </c>
      <c r="AD361" s="50">
        <v>49.1</v>
      </c>
      <c r="AE361" s="50">
        <v>39.97</v>
      </c>
      <c r="AF361" s="17">
        <v>44.55</v>
      </c>
      <c r="AG361" s="17">
        <v>41.93</v>
      </c>
      <c r="AH361" s="17">
        <v>45.94</v>
      </c>
      <c r="AI361" s="17">
        <v>1.6060000000000001</v>
      </c>
      <c r="AJ361" s="17"/>
      <c r="AK361" s="17"/>
      <c r="AL361" s="17"/>
      <c r="AM361" s="17"/>
      <c r="AN361" s="17"/>
      <c r="AO361" s="17">
        <v>8.6300000000000008</v>
      </c>
      <c r="AP361" s="17">
        <v>50.56</v>
      </c>
      <c r="AQ361" s="17">
        <v>128.94999999999999</v>
      </c>
      <c r="AR361" s="17">
        <v>50.6</v>
      </c>
      <c r="AS361" s="17">
        <v>20.242999999999999</v>
      </c>
      <c r="AT361" t="s">
        <v>146</v>
      </c>
    </row>
    <row r="362" spans="1:47" x14ac:dyDescent="0.2">
      <c r="A362" s="115">
        <v>361.00000000000068</v>
      </c>
      <c r="B362" s="3">
        <v>64</v>
      </c>
      <c r="C362" s="4">
        <v>21.361000000000001</v>
      </c>
      <c r="D362" s="129" t="s">
        <v>140</v>
      </c>
      <c r="E362" t="s">
        <v>141</v>
      </c>
      <c r="F362" s="3" t="s">
        <v>61</v>
      </c>
      <c r="H362" s="3" t="s">
        <v>61</v>
      </c>
      <c r="I362" s="82">
        <v>44307</v>
      </c>
      <c r="J362" s="16" t="s">
        <v>142</v>
      </c>
      <c r="K362" s="17" t="s">
        <v>203</v>
      </c>
      <c r="L362"/>
      <c r="M362">
        <v>206.1</v>
      </c>
      <c r="N362" s="17">
        <v>206.1</v>
      </c>
      <c r="O362" s="17">
        <v>191.42</v>
      </c>
      <c r="P362" s="17">
        <v>194.99</v>
      </c>
      <c r="Q362" s="17">
        <v>44.2</v>
      </c>
      <c r="R362" s="17">
        <v>28.76</v>
      </c>
      <c r="S362" s="17">
        <v>119.65</v>
      </c>
      <c r="T362" s="17">
        <v>96.28</v>
      </c>
      <c r="U362" s="50">
        <v>54.61</v>
      </c>
      <c r="V362" s="50">
        <v>44.72</v>
      </c>
      <c r="W362" s="50">
        <v>63.32</v>
      </c>
      <c r="X362" s="50">
        <v>81.25</v>
      </c>
      <c r="Y362" s="50">
        <v>35.880000000000003</v>
      </c>
      <c r="Z362" s="50">
        <v>88.77</v>
      </c>
      <c r="AA362" s="50">
        <v>70.430000000000007</v>
      </c>
      <c r="AB362" s="50">
        <v>66.739999999999995</v>
      </c>
      <c r="AC362" s="50">
        <v>14.79</v>
      </c>
      <c r="AD362" s="50">
        <v>49.91</v>
      </c>
      <c r="AE362" s="50">
        <v>42.54</v>
      </c>
      <c r="AF362" s="17">
        <v>37.4</v>
      </c>
      <c r="AG362" s="17">
        <v>38.020000000000003</v>
      </c>
      <c r="AH362" s="17">
        <v>36.869999999999997</v>
      </c>
      <c r="AI362" s="17">
        <v>1.5089999999999999</v>
      </c>
      <c r="AJ362" s="17"/>
      <c r="AK362" s="17"/>
      <c r="AL362" s="17"/>
      <c r="AM362" s="17"/>
      <c r="AN362" s="17"/>
      <c r="AO362" s="17">
        <v>8.85</v>
      </c>
      <c r="AP362" s="17">
        <v>64.05</v>
      </c>
      <c r="AQ362" s="17">
        <v>82.65</v>
      </c>
      <c r="AR362" s="17">
        <v>47.4</v>
      </c>
      <c r="AS362" s="130">
        <v>18.59</v>
      </c>
      <c r="AT362" t="s">
        <v>146</v>
      </c>
    </row>
    <row r="363" spans="1:47" x14ac:dyDescent="0.2">
      <c r="A363" s="115">
        <v>361.99999999999829</v>
      </c>
      <c r="B363" s="3">
        <v>219</v>
      </c>
      <c r="C363" s="4">
        <v>21.361999999999998</v>
      </c>
      <c r="D363" s="64" t="s">
        <v>223</v>
      </c>
      <c r="E363" s="11" t="s">
        <v>223</v>
      </c>
      <c r="F363" s="3" t="s">
        <v>73</v>
      </c>
      <c r="G363" s="3" t="s">
        <v>73</v>
      </c>
      <c r="H363"/>
      <c r="I363" s="82">
        <v>44366</v>
      </c>
      <c r="J363" s="16" t="s">
        <v>142</v>
      </c>
      <c r="K363" s="16" t="s">
        <v>235</v>
      </c>
      <c r="L363" s="56"/>
      <c r="M363" s="56"/>
      <c r="N363" s="17">
        <v>288.29000000000002</v>
      </c>
      <c r="O363" s="17">
        <v>172.25</v>
      </c>
      <c r="P363" s="17">
        <v>177.18</v>
      </c>
      <c r="Q363" s="17">
        <v>38.06</v>
      </c>
      <c r="R363" s="17">
        <v>17.11</v>
      </c>
      <c r="S363" s="17">
        <v>111.22</v>
      </c>
      <c r="T363" s="17">
        <v>91.59</v>
      </c>
      <c r="U363" s="50">
        <v>75.180000000000007</v>
      </c>
      <c r="V363" s="50">
        <v>57.93</v>
      </c>
      <c r="W363" s="50">
        <v>79.94</v>
      </c>
      <c r="X363" s="50">
        <v>92.58</v>
      </c>
      <c r="Y363" s="50">
        <v>41.86</v>
      </c>
      <c r="Z363" s="50">
        <v>105</v>
      </c>
      <c r="AA363" s="50">
        <v>83.83</v>
      </c>
      <c r="AB363" s="50">
        <v>80.28</v>
      </c>
      <c r="AC363" s="50">
        <v>15.72</v>
      </c>
      <c r="AD363" s="50">
        <v>57.59</v>
      </c>
      <c r="AE363" s="50">
        <v>38.46</v>
      </c>
      <c r="AF363" s="17">
        <v>40.03</v>
      </c>
      <c r="AG363" s="17">
        <v>33.89</v>
      </c>
      <c r="AH363" s="17">
        <v>39.19</v>
      </c>
      <c r="AI363" s="17">
        <v>1.589</v>
      </c>
      <c r="AJ363" s="17">
        <v>40.56</v>
      </c>
      <c r="AK363" s="17"/>
      <c r="AL363" s="17"/>
      <c r="AM363" s="17"/>
      <c r="AN363" s="17">
        <v>143</v>
      </c>
      <c r="AO363" s="17"/>
      <c r="AP363" s="17"/>
      <c r="AQ363" s="17"/>
      <c r="AR363" s="17"/>
      <c r="AS363" s="17"/>
      <c r="AT363" t="s">
        <v>146</v>
      </c>
    </row>
    <row r="364" spans="1:47" x14ac:dyDescent="0.2">
      <c r="A364" s="115">
        <v>362.99999999999955</v>
      </c>
      <c r="B364" s="3">
        <v>220</v>
      </c>
      <c r="C364" s="4">
        <v>21.363</v>
      </c>
      <c r="D364" s="64" t="s">
        <v>223</v>
      </c>
      <c r="E364" s="11" t="s">
        <v>223</v>
      </c>
      <c r="F364" s="3" t="s">
        <v>73</v>
      </c>
      <c r="G364" s="3" t="s">
        <v>73</v>
      </c>
      <c r="H364"/>
      <c r="I364" s="82">
        <v>44366</v>
      </c>
      <c r="J364" s="16" t="s">
        <v>142</v>
      </c>
      <c r="K364" s="16" t="s">
        <v>235</v>
      </c>
      <c r="L364" s="56"/>
      <c r="M364" s="56"/>
      <c r="N364" s="17">
        <v>289.02</v>
      </c>
      <c r="O364" s="17">
        <v>194.21</v>
      </c>
      <c r="P364" s="17">
        <v>199.61</v>
      </c>
      <c r="Q364" s="17">
        <v>35.56</v>
      </c>
      <c r="R364" s="17">
        <v>18.55</v>
      </c>
      <c r="S364" s="17">
        <v>116.22</v>
      </c>
      <c r="T364" s="17">
        <v>96.49</v>
      </c>
      <c r="U364" s="50">
        <v>71.349999999999994</v>
      </c>
      <c r="V364" s="50">
        <v>56.15</v>
      </c>
      <c r="W364" s="50">
        <v>75.66</v>
      </c>
      <c r="X364" s="50">
        <v>91.69</v>
      </c>
      <c r="Y364" s="50">
        <v>40.409999999999997</v>
      </c>
      <c r="Z364" s="50">
        <v>105.18</v>
      </c>
      <c r="AA364" s="50">
        <v>85.04</v>
      </c>
      <c r="AB364" s="50">
        <v>81.84</v>
      </c>
      <c r="AC364" s="50">
        <v>18.28</v>
      </c>
      <c r="AD364" s="50">
        <v>56.92</v>
      </c>
      <c r="AE364" s="50">
        <v>38.270000000000003</v>
      </c>
      <c r="AF364" s="17">
        <v>34.71</v>
      </c>
      <c r="AG364" s="17">
        <v>35.65</v>
      </c>
      <c r="AH364" s="17">
        <v>37.549999999999997</v>
      </c>
      <c r="AI364" s="17">
        <v>1.3720000000000001</v>
      </c>
      <c r="AJ364" s="17">
        <v>38.11</v>
      </c>
      <c r="AK364" s="17"/>
      <c r="AL364" s="17"/>
      <c r="AM364" s="17"/>
      <c r="AN364" s="17">
        <v>162</v>
      </c>
      <c r="AO364" s="17"/>
      <c r="AP364" s="17"/>
      <c r="AQ364" s="17"/>
      <c r="AR364" s="17"/>
      <c r="AS364" s="17"/>
      <c r="AT364" t="s">
        <v>146</v>
      </c>
    </row>
    <row r="365" spans="1:47" x14ac:dyDescent="0.2">
      <c r="A365" s="115">
        <v>364.0000000000008</v>
      </c>
      <c r="B365" s="3" t="s">
        <v>569</v>
      </c>
      <c r="C365" s="4">
        <v>21.364000000000001</v>
      </c>
      <c r="D365" s="125" t="s">
        <v>156</v>
      </c>
      <c r="E365" t="s">
        <v>491</v>
      </c>
      <c r="F365" s="3" t="s">
        <v>77</v>
      </c>
      <c r="G365" s="3" t="s">
        <v>77</v>
      </c>
      <c r="I365" s="82">
        <v>44386</v>
      </c>
      <c r="J365" s="16" t="s">
        <v>492</v>
      </c>
      <c r="K365" s="17" t="s">
        <v>203</v>
      </c>
      <c r="L365" s="56"/>
      <c r="M365" s="56"/>
      <c r="N365" s="17"/>
      <c r="O365" s="17">
        <v>162.1</v>
      </c>
      <c r="P365" s="17">
        <v>168.05</v>
      </c>
      <c r="Q365" s="17">
        <v>30.21</v>
      </c>
      <c r="R365" s="17">
        <v>20.309999999999999</v>
      </c>
      <c r="S365" s="17">
        <v>112.28</v>
      </c>
      <c r="T365" s="17">
        <v>87.33</v>
      </c>
      <c r="U365" s="50">
        <v>60.48</v>
      </c>
      <c r="V365" s="50">
        <v>47.07</v>
      </c>
      <c r="W365" s="50">
        <v>66.05</v>
      </c>
      <c r="X365" s="50">
        <v>77.03</v>
      </c>
      <c r="Y365" s="50">
        <v>37.42</v>
      </c>
      <c r="Z365" s="50">
        <v>83.8</v>
      </c>
      <c r="AA365" s="50">
        <v>70.599999999999994</v>
      </c>
      <c r="AB365" s="50">
        <v>71.98</v>
      </c>
      <c r="AC365" s="50">
        <v>16.61</v>
      </c>
      <c r="AD365" s="50">
        <v>42.87</v>
      </c>
      <c r="AE365" s="50">
        <v>41.6</v>
      </c>
      <c r="AF365" s="17">
        <v>35.57</v>
      </c>
      <c r="AG365" s="17">
        <v>38.22</v>
      </c>
      <c r="AH365" s="17">
        <v>38.08</v>
      </c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38" t="s">
        <v>570</v>
      </c>
      <c r="AU365" s="138"/>
    </row>
    <row r="366" spans="1:47" x14ac:dyDescent="0.2">
      <c r="A366" s="115">
        <v>364.99999999999841</v>
      </c>
      <c r="B366" s="3" t="s">
        <v>571</v>
      </c>
      <c r="C366" s="4">
        <v>21.364999999999998</v>
      </c>
      <c r="D366" s="125" t="s">
        <v>156</v>
      </c>
      <c r="E366" t="s">
        <v>491</v>
      </c>
      <c r="F366" s="3" t="s">
        <v>77</v>
      </c>
      <c r="G366" s="3" t="s">
        <v>77</v>
      </c>
      <c r="I366" s="82">
        <v>44386</v>
      </c>
      <c r="J366" s="16" t="s">
        <v>492</v>
      </c>
      <c r="K366" s="17" t="s">
        <v>203</v>
      </c>
      <c r="L366" s="56"/>
      <c r="M366" s="56"/>
      <c r="N366" s="17">
        <v>196</v>
      </c>
      <c r="O366" s="17">
        <v>151.97999999999999</v>
      </c>
      <c r="P366" s="17">
        <v>162.58000000000001</v>
      </c>
      <c r="Q366" s="17">
        <v>28.15</v>
      </c>
      <c r="R366" s="17">
        <v>18.43</v>
      </c>
      <c r="S366" s="17">
        <v>112.57</v>
      </c>
      <c r="T366" s="17">
        <v>93.77</v>
      </c>
      <c r="U366" s="50">
        <v>57.58</v>
      </c>
      <c r="V366" s="50">
        <v>48.84</v>
      </c>
      <c r="W366" s="50">
        <v>64.239999999999995</v>
      </c>
      <c r="X366" s="50">
        <v>77.66</v>
      </c>
      <c r="Y366" s="50">
        <v>36.25</v>
      </c>
      <c r="Z366" s="50">
        <v>86.12</v>
      </c>
      <c r="AA366" s="50">
        <v>71.489999999999995</v>
      </c>
      <c r="AB366" s="50">
        <v>73.52</v>
      </c>
      <c r="AC366" s="50">
        <v>11.52</v>
      </c>
      <c r="AD366" s="50">
        <v>47.09</v>
      </c>
      <c r="AE366" s="50">
        <v>23.23</v>
      </c>
      <c r="AF366" s="17">
        <v>32.35</v>
      </c>
      <c r="AG366" s="17">
        <v>25.97</v>
      </c>
      <c r="AH366" s="17">
        <v>35.93</v>
      </c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38" t="s">
        <v>570</v>
      </c>
      <c r="AU366" s="138"/>
    </row>
    <row r="367" spans="1:47" x14ac:dyDescent="0.2">
      <c r="A367" s="115">
        <v>365.99999999999966</v>
      </c>
      <c r="B367" s="3" t="s">
        <v>572</v>
      </c>
      <c r="C367" s="4">
        <v>21.366</v>
      </c>
      <c r="D367" s="125" t="s">
        <v>156</v>
      </c>
      <c r="E367" t="s">
        <v>491</v>
      </c>
      <c r="F367" s="3" t="s">
        <v>77</v>
      </c>
      <c r="G367" s="3" t="s">
        <v>77</v>
      </c>
      <c r="I367" s="82">
        <v>44386</v>
      </c>
      <c r="J367" s="16" t="s">
        <v>492</v>
      </c>
      <c r="K367" s="17" t="s">
        <v>203</v>
      </c>
      <c r="L367" s="56"/>
      <c r="M367" s="56"/>
      <c r="N367" s="17">
        <v>192.23</v>
      </c>
      <c r="O367" s="17">
        <v>156.16999999999999</v>
      </c>
      <c r="P367" s="17">
        <v>164.37</v>
      </c>
      <c r="Q367" s="17">
        <v>28.87</v>
      </c>
      <c r="R367" s="17">
        <v>17.21</v>
      </c>
      <c r="S367" s="17">
        <v>111.18</v>
      </c>
      <c r="T367" s="17">
        <v>88.17</v>
      </c>
      <c r="U367" s="50">
        <v>57.96</v>
      </c>
      <c r="V367" s="50">
        <v>45.67</v>
      </c>
      <c r="W367" s="50">
        <v>63.01</v>
      </c>
      <c r="X367" s="50">
        <v>73.7</v>
      </c>
      <c r="Y367" s="50">
        <v>36.229999999999997</v>
      </c>
      <c r="Z367" s="50">
        <v>81.69</v>
      </c>
      <c r="AA367" s="50">
        <v>69.25</v>
      </c>
      <c r="AB367" s="50">
        <v>67.11</v>
      </c>
      <c r="AC367" s="50">
        <v>13.41</v>
      </c>
      <c r="AD367" s="50">
        <v>45.21</v>
      </c>
      <c r="AE367" s="50">
        <v>25.42</v>
      </c>
      <c r="AF367" s="17">
        <v>26.44</v>
      </c>
      <c r="AG367" s="17">
        <v>29.13</v>
      </c>
      <c r="AH367" s="17">
        <v>32.04</v>
      </c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38" t="s">
        <v>570</v>
      </c>
      <c r="AU367" s="138"/>
    </row>
    <row r="368" spans="1:47" x14ac:dyDescent="0.2">
      <c r="A368" s="115">
        <v>367.00000000000091</v>
      </c>
      <c r="B368" s="3" t="s">
        <v>573</v>
      </c>
      <c r="C368" s="4">
        <v>21.367000000000001</v>
      </c>
      <c r="D368" s="125" t="s">
        <v>156</v>
      </c>
      <c r="E368" t="s">
        <v>491</v>
      </c>
      <c r="F368" s="3" t="s">
        <v>77</v>
      </c>
      <c r="G368" s="3" t="s">
        <v>77</v>
      </c>
      <c r="H368" s="18"/>
      <c r="I368" s="82">
        <v>44386</v>
      </c>
      <c r="J368" s="16" t="s">
        <v>492</v>
      </c>
      <c r="K368" s="17" t="s">
        <v>203</v>
      </c>
      <c r="L368" s="56"/>
      <c r="M368" s="17"/>
      <c r="N368" s="17">
        <v>198.73</v>
      </c>
      <c r="O368" s="17">
        <v>153.13999999999999</v>
      </c>
      <c r="P368" s="17">
        <v>165.09</v>
      </c>
      <c r="Q368" s="17">
        <v>32.11</v>
      </c>
      <c r="R368" s="17">
        <v>16.43</v>
      </c>
      <c r="S368" s="17">
        <v>115.8</v>
      </c>
      <c r="T368" s="17">
        <v>92.31</v>
      </c>
      <c r="U368" s="50">
        <v>58.76</v>
      </c>
      <c r="V368" s="50">
        <v>49.88</v>
      </c>
      <c r="W368" s="50">
        <v>62.77</v>
      </c>
      <c r="X368" s="50">
        <v>79.650000000000006</v>
      </c>
      <c r="Y368" s="50">
        <v>38.29</v>
      </c>
      <c r="Z368" s="50">
        <v>86.44</v>
      </c>
      <c r="AA368" s="50">
        <v>72.84</v>
      </c>
      <c r="AB368" s="50">
        <v>71.989999999999995</v>
      </c>
      <c r="AC368" s="50">
        <v>15.06</v>
      </c>
      <c r="AD368" s="50">
        <v>48</v>
      </c>
      <c r="AE368" s="50">
        <v>27.4</v>
      </c>
      <c r="AF368" s="17">
        <v>33.71</v>
      </c>
      <c r="AG368" s="17">
        <v>30.29</v>
      </c>
      <c r="AH368" s="17">
        <v>37.450000000000003</v>
      </c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38" t="s">
        <v>570</v>
      </c>
      <c r="AU368" s="138"/>
    </row>
    <row r="369" spans="1:47" x14ac:dyDescent="0.2">
      <c r="A369" s="115">
        <v>367.99999999999852</v>
      </c>
      <c r="B369" s="3" t="s">
        <v>574</v>
      </c>
      <c r="C369" s="4">
        <v>21.367999999999999</v>
      </c>
      <c r="D369" s="125" t="s">
        <v>156</v>
      </c>
      <c r="E369" t="s">
        <v>491</v>
      </c>
      <c r="F369" s="3" t="s">
        <v>77</v>
      </c>
      <c r="G369" s="3" t="s">
        <v>77</v>
      </c>
      <c r="I369" s="82">
        <v>44386</v>
      </c>
      <c r="J369" s="16" t="s">
        <v>492</v>
      </c>
      <c r="K369" s="17" t="s">
        <v>203</v>
      </c>
      <c r="L369" s="56"/>
      <c r="M369" s="56"/>
      <c r="N369" s="17">
        <v>192.76</v>
      </c>
      <c r="O369" s="17">
        <v>152.13999999999999</v>
      </c>
      <c r="P369" s="17">
        <v>166.05</v>
      </c>
      <c r="Q369" s="17">
        <v>29.25</v>
      </c>
      <c r="R369" s="17">
        <v>17.72</v>
      </c>
      <c r="S369" s="17">
        <v>112.81</v>
      </c>
      <c r="T369" s="17">
        <v>90.68</v>
      </c>
      <c r="U369" s="50">
        <v>59.12</v>
      </c>
      <c r="V369" s="50">
        <v>45.47</v>
      </c>
      <c r="W369" s="50">
        <v>63.11</v>
      </c>
      <c r="X369" s="50">
        <v>74.209999999999994</v>
      </c>
      <c r="Y369" s="50">
        <v>35.57</v>
      </c>
      <c r="Z369" s="50">
        <v>83.15</v>
      </c>
      <c r="AA369" s="50">
        <v>70.22</v>
      </c>
      <c r="AB369" s="50">
        <v>71.849999999999994</v>
      </c>
      <c r="AC369" s="50">
        <v>15.83</v>
      </c>
      <c r="AD369" s="50">
        <v>47.37</v>
      </c>
      <c r="AE369" s="50">
        <v>27.31</v>
      </c>
      <c r="AF369" s="17">
        <v>30.57</v>
      </c>
      <c r="AG369" s="17">
        <v>33.35</v>
      </c>
      <c r="AH369" s="17">
        <v>34.130000000000003</v>
      </c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38" t="s">
        <v>570</v>
      </c>
      <c r="AU369" s="138"/>
    </row>
    <row r="370" spans="1:47" x14ac:dyDescent="0.2">
      <c r="A370" s="115">
        <v>368.99999999999977</v>
      </c>
      <c r="B370" s="3" t="s">
        <v>575</v>
      </c>
      <c r="C370" s="4">
        <v>21.369</v>
      </c>
      <c r="D370" s="139" t="s">
        <v>179</v>
      </c>
      <c r="E370" t="s">
        <v>180</v>
      </c>
      <c r="F370" s="3" t="s">
        <v>576</v>
      </c>
      <c r="H370" s="3" t="s">
        <v>280</v>
      </c>
      <c r="I370" s="82">
        <v>44374</v>
      </c>
      <c r="J370" s="16" t="s">
        <v>492</v>
      </c>
      <c r="K370" s="17" t="s">
        <v>203</v>
      </c>
      <c r="L370"/>
      <c r="M370" s="17">
        <v>215</v>
      </c>
      <c r="N370" s="17">
        <v>186.16</v>
      </c>
      <c r="O370" s="17">
        <v>177.52</v>
      </c>
      <c r="P370" s="17">
        <v>186.8</v>
      </c>
      <c r="Q370" s="17">
        <v>37.979999999999997</v>
      </c>
      <c r="R370" s="17">
        <v>26.6</v>
      </c>
      <c r="S370" s="17">
        <v>120.89</v>
      </c>
      <c r="T370" s="17">
        <v>102.55</v>
      </c>
      <c r="U370" s="50">
        <v>59.15</v>
      </c>
      <c r="V370" s="50">
        <v>48.34</v>
      </c>
      <c r="W370" s="50">
        <v>66.790000000000006</v>
      </c>
      <c r="X370" s="50">
        <v>77.95</v>
      </c>
      <c r="Y370" s="50">
        <v>38</v>
      </c>
      <c r="Z370" s="50">
        <v>84.22</v>
      </c>
      <c r="AA370" s="50">
        <v>71.36</v>
      </c>
      <c r="AB370" s="50">
        <v>69.05</v>
      </c>
      <c r="AC370" s="50">
        <v>8.56</v>
      </c>
      <c r="AD370" s="50">
        <v>46.75</v>
      </c>
      <c r="AE370" s="50">
        <v>34.47</v>
      </c>
      <c r="AF370" s="17">
        <v>38.950000000000003</v>
      </c>
      <c r="AG370" s="17">
        <v>36.11</v>
      </c>
      <c r="AH370" s="17">
        <v>43.18</v>
      </c>
      <c r="AI370" s="17">
        <v>1.4119999999999999</v>
      </c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t="s">
        <v>493</v>
      </c>
    </row>
    <row r="371" spans="1:47" x14ac:dyDescent="0.2">
      <c r="A371" s="115">
        <v>370.00000000000102</v>
      </c>
      <c r="B371" s="3" t="s">
        <v>250</v>
      </c>
      <c r="C371" s="2" t="s">
        <v>577</v>
      </c>
      <c r="D371" s="139" t="s">
        <v>179</v>
      </c>
      <c r="E371" t="s">
        <v>180</v>
      </c>
      <c r="F371" s="3" t="s">
        <v>576</v>
      </c>
      <c r="H371" s="3" t="s">
        <v>182</v>
      </c>
      <c r="I371" s="82">
        <v>44403</v>
      </c>
      <c r="J371" s="16" t="s">
        <v>492</v>
      </c>
      <c r="K371" s="17" t="s">
        <v>203</v>
      </c>
      <c r="L371"/>
      <c r="M371" s="17">
        <v>240</v>
      </c>
      <c r="N371">
        <v>232.48</v>
      </c>
      <c r="O371" s="17">
        <v>203.6</v>
      </c>
      <c r="P371" s="17">
        <v>211.72</v>
      </c>
      <c r="Q371" s="17">
        <v>58.54</v>
      </c>
      <c r="R371" s="17">
        <v>22.83</v>
      </c>
      <c r="S371" s="17">
        <v>125.82</v>
      </c>
      <c r="T371" s="17">
        <v>105.28</v>
      </c>
      <c r="U371" s="17">
        <v>54.29</v>
      </c>
      <c r="V371" s="17">
        <v>44.22</v>
      </c>
      <c r="W371" s="17">
        <v>63.17</v>
      </c>
      <c r="X371" s="17">
        <v>72.849999999999994</v>
      </c>
      <c r="Y371"/>
      <c r="Z371" s="17">
        <v>81.98</v>
      </c>
      <c r="AA371" s="17">
        <v>66.37</v>
      </c>
      <c r="AB371" s="17">
        <v>59.86</v>
      </c>
      <c r="AC371" s="17">
        <v>13.74</v>
      </c>
      <c r="AD371" s="17">
        <v>53.65</v>
      </c>
      <c r="AE371" s="17">
        <v>35.18</v>
      </c>
      <c r="AF371" s="17">
        <v>38.909999999999997</v>
      </c>
      <c r="AG371" s="17">
        <v>39.96</v>
      </c>
      <c r="AH371" s="17">
        <v>42.58</v>
      </c>
      <c r="AI371" s="17">
        <v>1.2170000000000001</v>
      </c>
      <c r="AJ371"/>
      <c r="AK371"/>
      <c r="AL371"/>
      <c r="AM371"/>
      <c r="AN371"/>
      <c r="AO371"/>
      <c r="AP371"/>
      <c r="AQ371"/>
      <c r="AR371"/>
      <c r="AS371"/>
      <c r="AT371" t="s">
        <v>493</v>
      </c>
    </row>
    <row r="372" spans="1:47" x14ac:dyDescent="0.2">
      <c r="A372" s="115">
        <v>370.99999999999864</v>
      </c>
      <c r="B372" s="95"/>
      <c r="C372" s="4">
        <v>21.370999999999999</v>
      </c>
      <c r="D372" s="139" t="s">
        <v>179</v>
      </c>
      <c r="E372" t="s">
        <v>180</v>
      </c>
      <c r="F372" s="3" t="s">
        <v>576</v>
      </c>
      <c r="I372" s="140"/>
      <c r="J372" s="16" t="s">
        <v>492</v>
      </c>
      <c r="K372" s="17" t="s">
        <v>203</v>
      </c>
      <c r="L372"/>
      <c r="M372" s="17"/>
      <c r="N372">
        <v>196.28</v>
      </c>
      <c r="O372" s="17">
        <v>175.11</v>
      </c>
      <c r="P372" s="17">
        <v>184.94</v>
      </c>
      <c r="Q372" s="17">
        <v>35.93</v>
      </c>
      <c r="R372" s="17">
        <v>19.12</v>
      </c>
      <c r="S372" s="17">
        <v>123.45</v>
      </c>
      <c r="T372" s="17">
        <v>98.56</v>
      </c>
      <c r="U372" s="17">
        <v>63.23</v>
      </c>
      <c r="V372" s="17">
        <v>54.06</v>
      </c>
      <c r="W372" s="17">
        <v>66.5</v>
      </c>
      <c r="X372" s="17">
        <v>81.44</v>
      </c>
      <c r="Y372" s="17"/>
      <c r="Z372" s="17">
        <v>85.19</v>
      </c>
      <c r="AA372" s="17">
        <v>73.209999999999994</v>
      </c>
      <c r="AB372" s="17">
        <v>68.97</v>
      </c>
      <c r="AC372" s="17">
        <v>10.08</v>
      </c>
      <c r="AD372" s="17">
        <v>47.4</v>
      </c>
      <c r="AE372" s="17">
        <v>34.15</v>
      </c>
      <c r="AF372" s="17">
        <v>36.68</v>
      </c>
      <c r="AG372" s="17">
        <v>36.65</v>
      </c>
      <c r="AH372" s="17">
        <v>37.130000000000003</v>
      </c>
      <c r="AI372" s="17">
        <v>1.3859999999999999</v>
      </c>
      <c r="AJ372"/>
      <c r="AK372"/>
      <c r="AL372"/>
      <c r="AM372"/>
      <c r="AN372"/>
      <c r="AO372"/>
      <c r="AP372"/>
      <c r="AQ372"/>
      <c r="AR372"/>
      <c r="AS372"/>
      <c r="AT372" t="s">
        <v>493</v>
      </c>
    </row>
    <row r="373" spans="1:47" x14ac:dyDescent="0.2">
      <c r="A373" s="115">
        <v>371.99999999999989</v>
      </c>
      <c r="B373" s="3" t="s">
        <v>578</v>
      </c>
      <c r="C373" s="4">
        <v>21.372</v>
      </c>
      <c r="D373" s="139" t="s">
        <v>179</v>
      </c>
      <c r="E373" t="s">
        <v>180</v>
      </c>
      <c r="F373" s="3" t="s">
        <v>576</v>
      </c>
      <c r="H373" s="3" t="s">
        <v>280</v>
      </c>
      <c r="I373" s="82">
        <v>44374</v>
      </c>
      <c r="J373" s="16" t="s">
        <v>492</v>
      </c>
      <c r="K373" s="17" t="s">
        <v>203</v>
      </c>
      <c r="L373"/>
      <c r="M373" s="17">
        <v>210</v>
      </c>
      <c r="N373" s="17">
        <v>184.78</v>
      </c>
      <c r="O373" s="17">
        <v>174.68</v>
      </c>
      <c r="P373" s="17">
        <v>185.05</v>
      </c>
      <c r="Q373" s="17">
        <v>35.85</v>
      </c>
      <c r="R373" s="17">
        <v>19.45</v>
      </c>
      <c r="S373" s="17">
        <v>120.2</v>
      </c>
      <c r="T373" s="17">
        <v>93.51</v>
      </c>
      <c r="U373" s="17">
        <v>61.72</v>
      </c>
      <c r="V373" s="17">
        <v>48.41</v>
      </c>
      <c r="W373" s="17">
        <v>66.11</v>
      </c>
      <c r="X373" s="17">
        <v>76.14</v>
      </c>
      <c r="Y373"/>
      <c r="Z373" s="17">
        <v>87.2</v>
      </c>
      <c r="AA373" s="17">
        <v>74.239999999999995</v>
      </c>
      <c r="AB373" s="17">
        <v>71.28</v>
      </c>
      <c r="AC373" s="17">
        <v>11.15</v>
      </c>
      <c r="AD373" s="17">
        <v>46.18</v>
      </c>
      <c r="AE373" s="17">
        <v>30.43</v>
      </c>
      <c r="AF373" s="17">
        <v>37.72</v>
      </c>
      <c r="AG373" s="17">
        <v>27.13</v>
      </c>
      <c r="AH373" s="17">
        <v>35.61</v>
      </c>
      <c r="AI373" s="17">
        <v>1.262</v>
      </c>
      <c r="AJ373"/>
      <c r="AK373"/>
      <c r="AL373"/>
      <c r="AM373"/>
      <c r="AN373"/>
      <c r="AO373"/>
      <c r="AP373"/>
      <c r="AQ373"/>
      <c r="AR373"/>
      <c r="AS373"/>
      <c r="AT373" t="s">
        <v>493</v>
      </c>
    </row>
    <row r="374" spans="1:47" x14ac:dyDescent="0.2">
      <c r="A374" s="115">
        <v>373.00000000000114</v>
      </c>
      <c r="B374" s="3" t="s">
        <v>579</v>
      </c>
      <c r="C374" s="4">
        <v>21.373000000000001</v>
      </c>
      <c r="D374" s="139" t="s">
        <v>179</v>
      </c>
      <c r="E374" t="s">
        <v>180</v>
      </c>
      <c r="F374" s="3" t="s">
        <v>576</v>
      </c>
      <c r="H374" s="3" t="s">
        <v>182</v>
      </c>
      <c r="I374" s="82">
        <v>44393</v>
      </c>
      <c r="J374" s="16" t="s">
        <v>492</v>
      </c>
      <c r="K374" s="17" t="s">
        <v>203</v>
      </c>
      <c r="L374"/>
      <c r="M374" s="17">
        <v>215</v>
      </c>
      <c r="N374" s="17">
        <v>200.01</v>
      </c>
      <c r="O374" s="17">
        <v>167.9</v>
      </c>
      <c r="P374" s="17">
        <v>175.85</v>
      </c>
      <c r="Q374" s="17">
        <v>35.03</v>
      </c>
      <c r="R374" s="17">
        <v>11.88</v>
      </c>
      <c r="S374" s="17">
        <v>117.75</v>
      </c>
      <c r="T374" s="17">
        <v>90.66</v>
      </c>
      <c r="U374" s="17">
        <v>64.569999999999993</v>
      </c>
      <c r="V374" s="17">
        <v>46.93</v>
      </c>
      <c r="W374" s="17">
        <v>67</v>
      </c>
      <c r="X374" s="17">
        <v>80.069999999999993</v>
      </c>
      <c r="Y374"/>
      <c r="Z374" s="17">
        <v>83.27</v>
      </c>
      <c r="AA374" s="17">
        <v>70.2</v>
      </c>
      <c r="AB374" s="17">
        <v>65.66</v>
      </c>
      <c r="AC374" s="17">
        <v>11.6</v>
      </c>
      <c r="AD374" s="17">
        <v>48.33</v>
      </c>
      <c r="AE374" s="17">
        <v>27.83</v>
      </c>
      <c r="AF374" s="17">
        <v>36.56</v>
      </c>
      <c r="AG374" s="17">
        <v>32.090000000000003</v>
      </c>
      <c r="AH374" s="17">
        <v>40.590000000000003</v>
      </c>
      <c r="AI374" s="17">
        <v>1.8080000000000001</v>
      </c>
      <c r="AJ374"/>
      <c r="AK374"/>
      <c r="AL374"/>
      <c r="AM374"/>
      <c r="AN374"/>
      <c r="AO374"/>
      <c r="AP374"/>
      <c r="AQ374"/>
      <c r="AR374"/>
      <c r="AS374"/>
      <c r="AT374" t="s">
        <v>493</v>
      </c>
    </row>
    <row r="375" spans="1:47" x14ac:dyDescent="0.2">
      <c r="A375" s="115">
        <v>373.99999999999875</v>
      </c>
      <c r="B375" s="3" t="s">
        <v>240</v>
      </c>
      <c r="C375" s="4">
        <v>21.373999999999999</v>
      </c>
      <c r="D375" s="139" t="s">
        <v>179</v>
      </c>
      <c r="E375" t="s">
        <v>180</v>
      </c>
      <c r="F375" s="3" t="s">
        <v>576</v>
      </c>
      <c r="H375" s="3" t="s">
        <v>268</v>
      </c>
      <c r="I375" s="82">
        <v>44403</v>
      </c>
      <c r="J375" s="16" t="s">
        <v>492</v>
      </c>
      <c r="K375" s="17" t="s">
        <v>203</v>
      </c>
      <c r="L375"/>
      <c r="M375" s="17">
        <v>210</v>
      </c>
      <c r="N375" s="17">
        <v>204.12</v>
      </c>
      <c r="O375" s="17">
        <v>180.04</v>
      </c>
      <c r="P375" s="17">
        <v>187.36</v>
      </c>
      <c r="Q375" s="17">
        <v>37.83</v>
      </c>
      <c r="R375" s="17">
        <v>20.58</v>
      </c>
      <c r="S375" s="17">
        <v>123.03</v>
      </c>
      <c r="T375" s="17">
        <v>97.17</v>
      </c>
      <c r="U375" s="17">
        <v>62.71</v>
      </c>
      <c r="V375" s="17">
        <v>51.44</v>
      </c>
      <c r="W375" s="17">
        <v>66.459999999999994</v>
      </c>
      <c r="X375" s="17">
        <v>77.2</v>
      </c>
      <c r="Y375"/>
      <c r="Z375" s="17">
        <v>83.04</v>
      </c>
      <c r="AA375" s="17">
        <v>70.11</v>
      </c>
      <c r="AB375" s="17">
        <v>68.59</v>
      </c>
      <c r="AC375" s="17">
        <v>14.07</v>
      </c>
      <c r="AD375" s="17">
        <v>46.48</v>
      </c>
      <c r="AE375" s="17">
        <v>35.630000000000003</v>
      </c>
      <c r="AF375" s="17">
        <v>39.409999999999997</v>
      </c>
      <c r="AG375" s="17">
        <v>38.21</v>
      </c>
      <c r="AH375" s="17">
        <v>45.35</v>
      </c>
      <c r="AI375" s="17">
        <v>1.9119999999999999</v>
      </c>
      <c r="AJ375"/>
      <c r="AK375"/>
      <c r="AL375"/>
      <c r="AM375"/>
      <c r="AN375"/>
      <c r="AO375"/>
      <c r="AP375"/>
      <c r="AQ375"/>
      <c r="AR375"/>
      <c r="AS375"/>
      <c r="AT375" t="s">
        <v>493</v>
      </c>
    </row>
    <row r="376" spans="1:47" x14ac:dyDescent="0.2">
      <c r="A376" s="115">
        <v>375</v>
      </c>
      <c r="B376" s="3" t="s">
        <v>580</v>
      </c>
      <c r="C376" s="4">
        <v>21.375</v>
      </c>
      <c r="D376" s="139" t="s">
        <v>179</v>
      </c>
      <c r="E376" t="s">
        <v>180</v>
      </c>
      <c r="F376" s="3" t="s">
        <v>576</v>
      </c>
      <c r="H376" s="3" t="s">
        <v>199</v>
      </c>
      <c r="I376" s="82">
        <v>44377</v>
      </c>
      <c r="J376" s="16" t="s">
        <v>492</v>
      </c>
      <c r="K376" s="17" t="s">
        <v>203</v>
      </c>
      <c r="L376"/>
      <c r="M376" s="17">
        <v>235</v>
      </c>
      <c r="N376" s="17">
        <v>226.09</v>
      </c>
      <c r="O376" s="17">
        <v>187</v>
      </c>
      <c r="P376" s="17">
        <v>198.94</v>
      </c>
      <c r="Q376" s="17">
        <v>49.23</v>
      </c>
      <c r="R376" s="17">
        <v>19.88</v>
      </c>
      <c r="S376" s="17">
        <v>127.52</v>
      </c>
      <c r="T376" s="17">
        <v>105.23</v>
      </c>
      <c r="U376" s="17">
        <v>62.88</v>
      </c>
      <c r="V376" s="17">
        <v>52.33</v>
      </c>
      <c r="W376" s="17">
        <v>65.53</v>
      </c>
      <c r="X376" s="17">
        <v>81.27</v>
      </c>
      <c r="Y376"/>
      <c r="Z376" s="17">
        <v>84.16</v>
      </c>
      <c r="AA376" s="17">
        <v>69.66</v>
      </c>
      <c r="AB376" s="17">
        <v>64.08</v>
      </c>
      <c r="AC376" s="17">
        <v>18.13</v>
      </c>
      <c r="AD376" s="17">
        <v>52.11</v>
      </c>
      <c r="AE376" s="17">
        <v>30.77</v>
      </c>
      <c r="AF376" s="17">
        <v>35.58</v>
      </c>
      <c r="AG376" s="17">
        <v>34.17</v>
      </c>
      <c r="AH376" s="17">
        <v>35.6</v>
      </c>
      <c r="AI376" s="17">
        <v>1.4370000000000001</v>
      </c>
      <c r="AJ376"/>
      <c r="AK376"/>
      <c r="AL376"/>
      <c r="AM376"/>
      <c r="AN376"/>
      <c r="AO376"/>
      <c r="AP376"/>
      <c r="AQ376"/>
      <c r="AR376"/>
      <c r="AS376"/>
      <c r="AT376" t="s">
        <v>493</v>
      </c>
    </row>
    <row r="377" spans="1:47" x14ac:dyDescent="0.2">
      <c r="A377" s="115">
        <v>376.00000000000125</v>
      </c>
      <c r="B377" s="3" t="s">
        <v>581</v>
      </c>
      <c r="C377" s="4">
        <v>21.376000000000001</v>
      </c>
      <c r="D377" s="139" t="s">
        <v>179</v>
      </c>
      <c r="E377" t="s">
        <v>180</v>
      </c>
      <c r="F377" s="3" t="s">
        <v>576</v>
      </c>
      <c r="H377" s="3" t="s">
        <v>182</v>
      </c>
      <c r="I377" s="82">
        <v>44395</v>
      </c>
      <c r="J377" s="16" t="s">
        <v>492</v>
      </c>
      <c r="K377" s="17" t="s">
        <v>203</v>
      </c>
      <c r="L377"/>
      <c r="M377" s="17">
        <v>240</v>
      </c>
      <c r="N377" s="17">
        <v>228.71</v>
      </c>
      <c r="O377" s="17">
        <v>196.69</v>
      </c>
      <c r="P377" s="17">
        <v>206.66</v>
      </c>
      <c r="Q377" s="17">
        <v>53.72</v>
      </c>
      <c r="R377" s="17">
        <v>21.04</v>
      </c>
      <c r="S377" s="17">
        <v>124.96</v>
      </c>
      <c r="T377" s="17">
        <v>102.63</v>
      </c>
      <c r="U377" s="17">
        <v>57.44</v>
      </c>
      <c r="V377" s="17">
        <v>45.99</v>
      </c>
      <c r="W377" s="17">
        <v>62.37</v>
      </c>
      <c r="X377" s="17">
        <v>75.27</v>
      </c>
      <c r="Y377" s="17">
        <v>36.44</v>
      </c>
      <c r="Z377" s="17">
        <v>83.53</v>
      </c>
      <c r="AA377" s="17">
        <v>66.459999999999994</v>
      </c>
      <c r="AB377" s="17">
        <v>63.44</v>
      </c>
      <c r="AC377" s="17">
        <v>22.78</v>
      </c>
      <c r="AD377" s="17">
        <v>52.93</v>
      </c>
      <c r="AE377" s="17">
        <v>38.78</v>
      </c>
      <c r="AF377" s="17">
        <v>32.54</v>
      </c>
      <c r="AG377" s="17">
        <v>35.520000000000003</v>
      </c>
      <c r="AH377" s="17">
        <v>38.479999999999997</v>
      </c>
      <c r="AI377" s="17">
        <v>1.2829999999999999</v>
      </c>
      <c r="AJ377"/>
      <c r="AK377"/>
      <c r="AL377"/>
      <c r="AM377"/>
      <c r="AN377"/>
      <c r="AO377"/>
      <c r="AP377"/>
      <c r="AQ377"/>
      <c r="AR377"/>
      <c r="AS377"/>
      <c r="AT377" t="s">
        <v>493</v>
      </c>
    </row>
    <row r="378" spans="1:47" x14ac:dyDescent="0.2">
      <c r="A378" s="115">
        <v>376.99999999999886</v>
      </c>
      <c r="B378" s="3" t="s">
        <v>255</v>
      </c>
      <c r="C378" s="4">
        <v>21.376999999999999</v>
      </c>
      <c r="D378" s="139" t="s">
        <v>179</v>
      </c>
      <c r="E378" t="s">
        <v>180</v>
      </c>
      <c r="F378" s="3" t="s">
        <v>576</v>
      </c>
      <c r="H378" s="3" t="s">
        <v>268</v>
      </c>
      <c r="I378" s="82">
        <v>44403</v>
      </c>
      <c r="J378" s="16" t="s">
        <v>492</v>
      </c>
      <c r="K378" s="17" t="s">
        <v>203</v>
      </c>
      <c r="L378"/>
      <c r="M378" s="17">
        <v>215</v>
      </c>
      <c r="N378" s="17">
        <v>205.17</v>
      </c>
      <c r="O378" s="17">
        <v>177</v>
      </c>
      <c r="P378" s="17">
        <v>184.6</v>
      </c>
      <c r="Q378" s="17">
        <v>31.58</v>
      </c>
      <c r="R378" s="17">
        <v>16.12</v>
      </c>
      <c r="S378" s="17">
        <v>121.06</v>
      </c>
      <c r="T378" s="17">
        <v>94.73</v>
      </c>
      <c r="U378" s="17">
        <v>59.81</v>
      </c>
      <c r="V378" s="17">
        <v>46.4</v>
      </c>
      <c r="W378" s="17">
        <v>64.75</v>
      </c>
      <c r="X378" s="17">
        <v>78.61</v>
      </c>
      <c r="Y378" s="17">
        <v>36.49</v>
      </c>
      <c r="Z378" s="17">
        <v>84.11</v>
      </c>
      <c r="AA378" s="17">
        <v>71.81</v>
      </c>
      <c r="AB378" s="17">
        <v>66.95</v>
      </c>
      <c r="AC378" s="17">
        <v>15.23</v>
      </c>
      <c r="AD378" s="17">
        <v>48.4</v>
      </c>
      <c r="AE378" s="17">
        <v>31.81</v>
      </c>
      <c r="AF378" s="17">
        <v>40.630000000000003</v>
      </c>
      <c r="AG378" s="17">
        <v>35.229999999999997</v>
      </c>
      <c r="AH378" s="17">
        <v>43.72</v>
      </c>
      <c r="AI378" s="17">
        <v>1.242</v>
      </c>
      <c r="AJ378"/>
      <c r="AK378"/>
      <c r="AL378"/>
      <c r="AM378"/>
      <c r="AN378"/>
      <c r="AO378"/>
      <c r="AP378"/>
      <c r="AQ378"/>
      <c r="AR378"/>
      <c r="AS378"/>
      <c r="AT378" t="s">
        <v>493</v>
      </c>
    </row>
    <row r="379" spans="1:47" x14ac:dyDescent="0.2">
      <c r="A379" s="115">
        <v>378.00000000000011</v>
      </c>
      <c r="B379" s="3" t="s">
        <v>260</v>
      </c>
      <c r="C379" s="4">
        <v>21.378</v>
      </c>
      <c r="D379" s="139" t="s">
        <v>179</v>
      </c>
      <c r="E379" t="s">
        <v>180</v>
      </c>
      <c r="F379" s="3" t="s">
        <v>576</v>
      </c>
      <c r="H379" s="3" t="s">
        <v>268</v>
      </c>
      <c r="I379" s="82">
        <v>44403</v>
      </c>
      <c r="J379" s="16" t="s">
        <v>492</v>
      </c>
      <c r="K379" s="17" t="s">
        <v>203</v>
      </c>
      <c r="L379"/>
      <c r="M379" s="17">
        <v>220</v>
      </c>
      <c r="N379" s="17">
        <v>206.61</v>
      </c>
      <c r="O379" s="17">
        <v>181.25</v>
      </c>
      <c r="P379" s="17">
        <v>188.06</v>
      </c>
      <c r="Q379" s="17">
        <v>41.63</v>
      </c>
      <c r="R379" s="17">
        <v>23.41</v>
      </c>
      <c r="S379" s="17">
        <v>123.57</v>
      </c>
      <c r="T379" s="17">
        <v>93.22</v>
      </c>
      <c r="U379" s="17">
        <v>62.48</v>
      </c>
      <c r="V379" s="17">
        <v>48.4</v>
      </c>
      <c r="W379" s="17">
        <v>66.66</v>
      </c>
      <c r="X379" s="17">
        <v>80.89</v>
      </c>
      <c r="Y379" s="17">
        <v>35.93</v>
      </c>
      <c r="Z379" s="17">
        <v>86.81</v>
      </c>
      <c r="AA379" s="17">
        <v>72.05</v>
      </c>
      <c r="AB379" s="17">
        <v>73.84</v>
      </c>
      <c r="AC379" s="17">
        <v>14.93</v>
      </c>
      <c r="AD379" s="17">
        <v>47.5</v>
      </c>
      <c r="AE379" s="17">
        <v>35.549999999999997</v>
      </c>
      <c r="AF379" s="17">
        <v>41.19</v>
      </c>
      <c r="AG379" s="17">
        <v>37.44</v>
      </c>
      <c r="AH379" s="17">
        <v>44.43</v>
      </c>
      <c r="AI379" s="17">
        <v>1.274</v>
      </c>
      <c r="AJ379"/>
      <c r="AK379"/>
      <c r="AL379"/>
      <c r="AM379"/>
      <c r="AN379"/>
      <c r="AO379"/>
      <c r="AP379"/>
      <c r="AQ379"/>
      <c r="AR379"/>
      <c r="AS379"/>
      <c r="AT379" t="s">
        <v>493</v>
      </c>
    </row>
    <row r="380" spans="1:47" x14ac:dyDescent="0.2">
      <c r="A380" s="115">
        <v>379.00000000000136</v>
      </c>
      <c r="B380" s="3" t="s">
        <v>582</v>
      </c>
      <c r="C380" s="4">
        <v>21.379000000000001</v>
      </c>
      <c r="D380" s="139" t="s">
        <v>179</v>
      </c>
      <c r="E380" t="s">
        <v>180</v>
      </c>
      <c r="F380" s="3" t="s">
        <v>576</v>
      </c>
      <c r="H380" s="3" t="s">
        <v>182</v>
      </c>
      <c r="I380" s="82">
        <v>44393</v>
      </c>
      <c r="J380" s="16" t="s">
        <v>492</v>
      </c>
      <c r="K380" s="17" t="s">
        <v>203</v>
      </c>
      <c r="L380"/>
      <c r="M380" s="17">
        <v>210</v>
      </c>
      <c r="N380" s="17">
        <v>198.69</v>
      </c>
      <c r="O380" s="17">
        <v>178.75</v>
      </c>
      <c r="P380" s="17">
        <v>186.22</v>
      </c>
      <c r="Q380" s="17">
        <v>37.94</v>
      </c>
      <c r="R380" s="17">
        <v>25.45</v>
      </c>
      <c r="S380" s="17">
        <v>120.32</v>
      </c>
      <c r="T380" s="17">
        <v>93.54</v>
      </c>
      <c r="U380" s="17">
        <v>65.41</v>
      </c>
      <c r="V380" s="17">
        <v>53.28</v>
      </c>
      <c r="W380" s="17">
        <v>67.23</v>
      </c>
      <c r="X380" s="17">
        <v>81.239999999999995</v>
      </c>
      <c r="Y380" s="17">
        <v>37.76</v>
      </c>
      <c r="Z380" s="17">
        <v>85.46</v>
      </c>
      <c r="AA380" s="17">
        <v>70.34</v>
      </c>
      <c r="AB380" s="17">
        <v>71.86</v>
      </c>
      <c r="AC380" s="17">
        <v>12.71</v>
      </c>
      <c r="AD380" s="17">
        <v>49.2</v>
      </c>
      <c r="AE380" s="17">
        <v>33.29</v>
      </c>
      <c r="AF380" s="17">
        <v>36.9</v>
      </c>
      <c r="AG380" s="17">
        <v>33.869999999999997</v>
      </c>
      <c r="AH380" s="17">
        <v>40.19</v>
      </c>
      <c r="AI380" s="17">
        <v>1.792</v>
      </c>
      <c r="AJ380"/>
      <c r="AK380"/>
      <c r="AL380"/>
      <c r="AM380"/>
      <c r="AN380"/>
      <c r="AO380"/>
      <c r="AP380"/>
      <c r="AQ380"/>
      <c r="AR380"/>
      <c r="AS380"/>
      <c r="AT380" t="s">
        <v>493</v>
      </c>
    </row>
    <row r="381" spans="1:47" x14ac:dyDescent="0.2">
      <c r="A381" s="115">
        <v>379.99999999999898</v>
      </c>
      <c r="B381" s="3">
        <v>93</v>
      </c>
      <c r="C381" s="2" t="s">
        <v>583</v>
      </c>
      <c r="D381" s="129" t="s">
        <v>140</v>
      </c>
      <c r="E381" t="s">
        <v>141</v>
      </c>
      <c r="F381" s="3" t="s">
        <v>62</v>
      </c>
      <c r="H381" s="3" t="s">
        <v>62</v>
      </c>
      <c r="I381" s="127">
        <v>44360</v>
      </c>
      <c r="J381" s="16" t="s">
        <v>142</v>
      </c>
      <c r="K381" s="17" t="s">
        <v>203</v>
      </c>
      <c r="L381" s="56"/>
      <c r="M381" s="17">
        <v>220.9</v>
      </c>
      <c r="N381" s="17">
        <v>220.9</v>
      </c>
      <c r="O381" s="17">
        <v>189.27</v>
      </c>
      <c r="P381" s="17">
        <f>206.67+10.81</f>
        <v>217.48</v>
      </c>
      <c r="Q381" s="17">
        <v>53.78</v>
      </c>
      <c r="R381" s="17">
        <v>32.04</v>
      </c>
      <c r="S381" s="17">
        <v>129.80000000000001</v>
      </c>
      <c r="T381" s="17">
        <v>101.3</v>
      </c>
      <c r="U381" s="50">
        <v>66.489999999999995</v>
      </c>
      <c r="V381" s="50">
        <v>56.4</v>
      </c>
      <c r="W381" s="50">
        <v>72.150000000000006</v>
      </c>
      <c r="X381" s="50">
        <v>94.52</v>
      </c>
      <c r="Y381" s="50">
        <v>41.27</v>
      </c>
      <c r="Z381" s="50">
        <v>103.99</v>
      </c>
      <c r="AA381" s="50">
        <v>76.790000000000006</v>
      </c>
      <c r="AB381" s="50">
        <v>79.349999999999994</v>
      </c>
      <c r="AC381" s="50">
        <v>7.27</v>
      </c>
      <c r="AD381" s="50">
        <v>44.02</v>
      </c>
      <c r="AE381" s="17">
        <v>30.38</v>
      </c>
      <c r="AF381" s="17">
        <v>46.71</v>
      </c>
      <c r="AG381" s="17">
        <v>40.22</v>
      </c>
      <c r="AH381" s="17">
        <v>48.16</v>
      </c>
      <c r="AI381" s="17">
        <v>1.462</v>
      </c>
      <c r="AJ381" s="17"/>
      <c r="AK381" s="17"/>
      <c r="AL381" s="17"/>
      <c r="AM381" s="17"/>
      <c r="AN381" s="17"/>
      <c r="AO381" s="17">
        <v>14.56</v>
      </c>
      <c r="AP381" s="17">
        <v>39.69</v>
      </c>
      <c r="AQ381" s="17">
        <v>118.85</v>
      </c>
      <c r="AR381" s="17">
        <v>45.08</v>
      </c>
      <c r="AS381" s="17">
        <v>18.876999999999999</v>
      </c>
      <c r="AT381" t="s">
        <v>146</v>
      </c>
    </row>
    <row r="382" spans="1:47" x14ac:dyDescent="0.2">
      <c r="A382" s="115">
        <v>381.00000000000023</v>
      </c>
      <c r="B382" s="3" t="s">
        <v>584</v>
      </c>
      <c r="C382" s="3">
        <v>21.381</v>
      </c>
      <c r="D382" s="129" t="s">
        <v>140</v>
      </c>
      <c r="E382" t="s">
        <v>141</v>
      </c>
      <c r="F382" s="3" t="s">
        <v>60</v>
      </c>
      <c r="H382" s="3" t="s">
        <v>60</v>
      </c>
      <c r="I382" s="82">
        <v>44411</v>
      </c>
      <c r="J382" s="16" t="s">
        <v>142</v>
      </c>
      <c r="K382" s="17" t="s">
        <v>203</v>
      </c>
      <c r="L382" s="17"/>
      <c r="M382">
        <v>181.2</v>
      </c>
      <c r="N382" s="17">
        <v>179.27</v>
      </c>
      <c r="O382" s="17">
        <v>140.81</v>
      </c>
      <c r="P382" s="17">
        <v>154.38999999999999</v>
      </c>
      <c r="Q382" s="17">
        <v>30.92</v>
      </c>
      <c r="R382" s="17">
        <v>12.18</v>
      </c>
      <c r="S382" s="17">
        <v>101.5</v>
      </c>
      <c r="T382" s="17">
        <v>82.96</v>
      </c>
      <c r="U382" s="50">
        <v>65.91</v>
      </c>
      <c r="V382" s="50">
        <v>47.86</v>
      </c>
      <c r="W382" s="50">
        <v>68.34</v>
      </c>
      <c r="X382" s="50">
        <v>81.08</v>
      </c>
      <c r="Y382" s="50">
        <v>41.44</v>
      </c>
      <c r="Z382" s="50">
        <v>85.96</v>
      </c>
      <c r="AA382" s="50">
        <v>73.19</v>
      </c>
      <c r="AB382" s="50">
        <v>69.95</v>
      </c>
      <c r="AC382" s="50">
        <v>14.27</v>
      </c>
      <c r="AD382" s="50">
        <v>47.66</v>
      </c>
      <c r="AE382" s="17">
        <v>18.75</v>
      </c>
      <c r="AF382" s="17">
        <v>34.83</v>
      </c>
      <c r="AG382" s="17">
        <v>23.17</v>
      </c>
      <c r="AH382" s="17">
        <v>37.409999999999997</v>
      </c>
      <c r="AI382" s="17">
        <v>1.921</v>
      </c>
      <c r="AJ382" s="17"/>
      <c r="AK382" s="17"/>
      <c r="AL382" s="17"/>
      <c r="AM382" s="17"/>
      <c r="AN382" s="17"/>
      <c r="AO382" s="17">
        <v>8.4</v>
      </c>
      <c r="AP382" s="17">
        <v>22.36</v>
      </c>
      <c r="AQ382" s="17">
        <v>104.26</v>
      </c>
      <c r="AR382" s="17">
        <v>40.11</v>
      </c>
      <c r="AS382" s="17">
        <v>16.547000000000001</v>
      </c>
      <c r="AT382" t="s">
        <v>146</v>
      </c>
    </row>
    <row r="383" spans="1:47" x14ac:dyDescent="0.2">
      <c r="A383" s="115">
        <v>382.00000000000148</v>
      </c>
      <c r="B383" s="3" t="s">
        <v>585</v>
      </c>
      <c r="C383" s="3">
        <v>21.382000000000001</v>
      </c>
      <c r="D383" s="129" t="s">
        <v>140</v>
      </c>
      <c r="E383" t="s">
        <v>141</v>
      </c>
      <c r="F383" s="3" t="s">
        <v>60</v>
      </c>
      <c r="G383" s="18"/>
      <c r="H383" s="3" t="s">
        <v>60</v>
      </c>
      <c r="I383" s="81">
        <v>44445</v>
      </c>
      <c r="J383" s="16" t="s">
        <v>142</v>
      </c>
      <c r="K383" s="17" t="s">
        <v>203</v>
      </c>
      <c r="L383" s="17"/>
      <c r="M383">
        <v>207.1</v>
      </c>
      <c r="N383" s="17">
        <v>204</v>
      </c>
      <c r="O383" s="17">
        <v>156.49</v>
      </c>
      <c r="P383" s="17">
        <v>166.12</v>
      </c>
      <c r="Q383" s="17">
        <v>26.88</v>
      </c>
      <c r="R383" s="17">
        <v>20.93</v>
      </c>
      <c r="S383" s="17">
        <v>113.7</v>
      </c>
      <c r="T383" s="17">
        <v>93.35</v>
      </c>
      <c r="U383" s="50">
        <v>62.15</v>
      </c>
      <c r="V383" s="50">
        <v>44.77</v>
      </c>
      <c r="W383" s="50">
        <v>72.05</v>
      </c>
      <c r="X383" s="50">
        <v>85.25</v>
      </c>
      <c r="Y383" s="50">
        <v>41.92</v>
      </c>
      <c r="Z383" s="50">
        <v>86.93</v>
      </c>
      <c r="AA383" s="50">
        <v>69.14</v>
      </c>
      <c r="AB383" s="50">
        <v>72.77</v>
      </c>
      <c r="AC383" s="50">
        <v>8.49</v>
      </c>
      <c r="AD383" s="50">
        <v>46.5</v>
      </c>
      <c r="AE383" s="17">
        <v>22.64</v>
      </c>
      <c r="AF383" s="17">
        <v>31.91</v>
      </c>
      <c r="AG383" s="17">
        <v>32.61</v>
      </c>
      <c r="AH383" s="17">
        <v>35.450000000000003</v>
      </c>
      <c r="AI383" s="17">
        <v>1.9410000000000001</v>
      </c>
      <c r="AJ383" s="17"/>
      <c r="AK383" s="17"/>
      <c r="AL383" s="17">
        <v>46</v>
      </c>
      <c r="AM383" s="17"/>
      <c r="AN383" s="17"/>
      <c r="AO383" s="17">
        <v>14</v>
      </c>
      <c r="AP383" s="17">
        <v>69.77</v>
      </c>
      <c r="AQ383" s="17">
        <v>22.98</v>
      </c>
      <c r="AR383" s="17">
        <v>49.47</v>
      </c>
      <c r="AS383" s="17">
        <v>21.047000000000001</v>
      </c>
      <c r="AT383" t="s">
        <v>146</v>
      </c>
    </row>
    <row r="384" spans="1:47" x14ac:dyDescent="0.2">
      <c r="A384" s="115">
        <v>382.99999999999909</v>
      </c>
      <c r="B384" s="3">
        <v>132</v>
      </c>
      <c r="C384" s="3">
        <v>21.382999999999999</v>
      </c>
      <c r="D384" s="129" t="s">
        <v>140</v>
      </c>
      <c r="E384" t="s">
        <v>141</v>
      </c>
      <c r="F384" s="3" t="s">
        <v>497</v>
      </c>
      <c r="I384" s="81">
        <v>44470</v>
      </c>
      <c r="J384" s="16" t="s">
        <v>142</v>
      </c>
      <c r="K384" s="17" t="s">
        <v>203</v>
      </c>
      <c r="L384" s="17"/>
      <c r="M384" s="17">
        <v>180</v>
      </c>
      <c r="N384" s="17">
        <v>179.76</v>
      </c>
      <c r="O384" s="17">
        <v>194.07</v>
      </c>
      <c r="P384" s="17">
        <v>189.96</v>
      </c>
      <c r="Q384" s="17">
        <v>37.35</v>
      </c>
      <c r="R384" s="17">
        <v>32.17</v>
      </c>
      <c r="S384" s="17">
        <v>130.84</v>
      </c>
      <c r="T384" s="17">
        <v>103</v>
      </c>
      <c r="U384" s="50">
        <v>60.41</v>
      </c>
      <c r="V384" s="50">
        <v>44.97</v>
      </c>
      <c r="W384" s="50">
        <v>65.67</v>
      </c>
      <c r="X384" s="50">
        <v>81.09</v>
      </c>
      <c r="Y384" s="50">
        <v>35.85</v>
      </c>
      <c r="Z384" s="50">
        <v>85.37</v>
      </c>
      <c r="AA384" s="50">
        <v>66.89</v>
      </c>
      <c r="AB384" s="50">
        <v>64.150000000000006</v>
      </c>
      <c r="AC384" s="50">
        <v>16.93</v>
      </c>
      <c r="AD384" s="50">
        <v>45.76</v>
      </c>
      <c r="AE384" s="17">
        <v>35.6</v>
      </c>
      <c r="AF384" s="17">
        <v>33.909999999999997</v>
      </c>
      <c r="AG384" s="17">
        <v>30.86</v>
      </c>
      <c r="AH384" s="17">
        <v>34.270000000000003</v>
      </c>
      <c r="AI384" s="17">
        <v>1.129</v>
      </c>
      <c r="AJ384" s="17"/>
      <c r="AK384" s="17"/>
      <c r="AL384" s="17">
        <v>15</v>
      </c>
      <c r="AM384" s="17"/>
      <c r="AN384" s="17"/>
      <c r="AO384" s="17">
        <v>13.87</v>
      </c>
      <c r="AP384" s="17">
        <v>80</v>
      </c>
      <c r="AQ384" s="17">
        <v>34.06</v>
      </c>
      <c r="AR384" s="17">
        <v>38.61</v>
      </c>
      <c r="AS384" s="17">
        <v>15.127000000000001</v>
      </c>
      <c r="AT384" t="s">
        <v>146</v>
      </c>
    </row>
    <row r="385" spans="1:46" x14ac:dyDescent="0.2">
      <c r="A385" s="115">
        <v>384.00000000000034</v>
      </c>
      <c r="B385" s="3">
        <v>90</v>
      </c>
      <c r="C385" s="4">
        <v>21.384</v>
      </c>
      <c r="D385" s="129" t="s">
        <v>140</v>
      </c>
      <c r="E385" t="s">
        <v>141</v>
      </c>
      <c r="F385" s="3" t="s">
        <v>62</v>
      </c>
      <c r="G385" s="14"/>
      <c r="H385" s="3" t="s">
        <v>62</v>
      </c>
      <c r="I385" s="127">
        <v>44353</v>
      </c>
      <c r="J385" s="16" t="s">
        <v>142</v>
      </c>
      <c r="K385" s="17" t="s">
        <v>203</v>
      </c>
      <c r="L385"/>
      <c r="M385" s="17">
        <v>222.8</v>
      </c>
      <c r="N385" s="17">
        <v>215.96</v>
      </c>
      <c r="O385" s="17">
        <v>203.43</v>
      </c>
      <c r="P385" s="17">
        <v>207.56</v>
      </c>
      <c r="Q385" s="17">
        <v>49.82</v>
      </c>
      <c r="R385" s="17">
        <v>27.5</v>
      </c>
      <c r="S385" s="17">
        <v>130.5</v>
      </c>
      <c r="T385" s="17">
        <v>105.25</v>
      </c>
      <c r="U385" s="50">
        <v>69.5</v>
      </c>
      <c r="V385" s="50">
        <v>51.46</v>
      </c>
      <c r="W385" s="50">
        <v>72.790000000000006</v>
      </c>
      <c r="X385" s="50">
        <v>93.88</v>
      </c>
      <c r="Y385" s="50">
        <v>42.46</v>
      </c>
      <c r="Z385" s="50">
        <v>99.66</v>
      </c>
      <c r="AA385" s="50">
        <v>73.599999999999994</v>
      </c>
      <c r="AB385" s="50">
        <v>79.069999999999993</v>
      </c>
      <c r="AC385" s="50">
        <v>4.7699999999999996</v>
      </c>
      <c r="AD385" s="50">
        <v>44.83</v>
      </c>
      <c r="AE385" s="17">
        <v>32.75</v>
      </c>
      <c r="AF385" s="17">
        <v>45.6</v>
      </c>
      <c r="AG385" s="17">
        <v>37.68</v>
      </c>
      <c r="AH385" s="17">
        <v>46.3</v>
      </c>
      <c r="AI385" s="17">
        <v>1.512</v>
      </c>
      <c r="AJ385" s="17"/>
      <c r="AK385" s="17"/>
      <c r="AL385" s="17"/>
      <c r="AM385" s="17"/>
      <c r="AN385" s="17"/>
      <c r="AO385" s="17">
        <v>10.37</v>
      </c>
      <c r="AP385" s="17">
        <v>45.36</v>
      </c>
      <c r="AQ385" s="17">
        <v>112.89</v>
      </c>
      <c r="AR385" s="17">
        <v>46.51</v>
      </c>
      <c r="AS385" s="17">
        <v>18.675999999999998</v>
      </c>
      <c r="AT385" t="s">
        <v>146</v>
      </c>
    </row>
    <row r="386" spans="1:46" x14ac:dyDescent="0.2">
      <c r="A386" s="115">
        <v>385.00000000000159</v>
      </c>
      <c r="B386" s="3">
        <v>124</v>
      </c>
      <c r="C386" s="3">
        <v>21.385000000000002</v>
      </c>
      <c r="D386" s="129" t="s">
        <v>140</v>
      </c>
      <c r="E386" t="s">
        <v>141</v>
      </c>
      <c r="F386" s="3" t="s">
        <v>497</v>
      </c>
      <c r="G386" s="14"/>
      <c r="I386" s="82">
        <v>44450</v>
      </c>
      <c r="J386" s="16" t="s">
        <v>142</v>
      </c>
      <c r="K386" s="17" t="s">
        <v>203</v>
      </c>
      <c r="L386" s="17"/>
      <c r="M386" s="17">
        <v>207.3</v>
      </c>
      <c r="N386" s="17"/>
      <c r="O386" s="17">
        <v>169.21</v>
      </c>
      <c r="P386" s="17">
        <v>177.61</v>
      </c>
      <c r="Q386" s="17">
        <v>29.87</v>
      </c>
      <c r="R386" s="17">
        <v>25.2</v>
      </c>
      <c r="S386" s="17">
        <v>119</v>
      </c>
      <c r="T386" s="17">
        <v>97.21</v>
      </c>
      <c r="U386" s="50">
        <v>61.01</v>
      </c>
      <c r="V386" s="50">
        <v>44.08</v>
      </c>
      <c r="W386" s="50">
        <v>67.209999999999994</v>
      </c>
      <c r="X386" s="50">
        <v>88.58</v>
      </c>
      <c r="Y386" s="50">
        <v>39.130000000000003</v>
      </c>
      <c r="Z386" s="50">
        <v>90.17</v>
      </c>
      <c r="AA386" s="50">
        <v>72.94</v>
      </c>
      <c r="AB386" s="50">
        <v>72.8</v>
      </c>
      <c r="AC386" s="50">
        <v>6.85</v>
      </c>
      <c r="AD386" s="50">
        <v>49.14</v>
      </c>
      <c r="AE386" s="17">
        <v>31.72</v>
      </c>
      <c r="AF386" s="17">
        <v>34.75</v>
      </c>
      <c r="AG386" s="17">
        <v>38.770000000000003</v>
      </c>
      <c r="AH386" s="17">
        <v>34.630000000000003</v>
      </c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t="s">
        <v>146</v>
      </c>
    </row>
    <row r="387" spans="1:46" x14ac:dyDescent="0.2">
      <c r="A387" s="115">
        <v>385.9999999999992</v>
      </c>
      <c r="B387" s="3">
        <v>50</v>
      </c>
      <c r="C387" s="3">
        <v>21.385999999999999</v>
      </c>
      <c r="D387" s="129" t="s">
        <v>140</v>
      </c>
      <c r="E387" t="s">
        <v>141</v>
      </c>
      <c r="F387" s="3" t="s">
        <v>62</v>
      </c>
      <c r="G387" s="14"/>
      <c r="H387" s="3" t="s">
        <v>62</v>
      </c>
      <c r="I387" s="82">
        <v>44288</v>
      </c>
      <c r="J387" s="16" t="s">
        <v>142</v>
      </c>
      <c r="K387" s="17" t="s">
        <v>203</v>
      </c>
      <c r="L387" s="17"/>
      <c r="M387" s="17">
        <v>261</v>
      </c>
      <c r="N387" s="17"/>
      <c r="O387" s="17">
        <v>206.62</v>
      </c>
      <c r="P387" s="17">
        <f>O387+21.95</f>
        <v>228.57</v>
      </c>
      <c r="Q387" s="17">
        <v>51.43</v>
      </c>
      <c r="R387" s="17">
        <v>33.26</v>
      </c>
      <c r="S387" s="17">
        <v>133.94</v>
      </c>
      <c r="T387" s="17">
        <v>108.76</v>
      </c>
      <c r="U387" s="50">
        <v>66.67</v>
      </c>
      <c r="V387" s="50">
        <v>52.78</v>
      </c>
      <c r="W387" s="50">
        <v>73.92</v>
      </c>
      <c r="X387" s="50">
        <v>96.81</v>
      </c>
      <c r="Y387" s="50">
        <v>40.85</v>
      </c>
      <c r="Z387" s="50">
        <v>102.32</v>
      </c>
      <c r="AA387" s="50">
        <v>80.77</v>
      </c>
      <c r="AB387" s="50">
        <v>78.66</v>
      </c>
      <c r="AC387" s="50">
        <v>8.93</v>
      </c>
      <c r="AD387" s="50">
        <v>50.13</v>
      </c>
      <c r="AE387" s="17">
        <v>35.4</v>
      </c>
      <c r="AF387" s="17">
        <v>39.24</v>
      </c>
      <c r="AG387" s="17">
        <v>39.29</v>
      </c>
      <c r="AH387" s="17">
        <v>42.88</v>
      </c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t="s">
        <v>146</v>
      </c>
    </row>
    <row r="388" spans="1:46" x14ac:dyDescent="0.2">
      <c r="A388" s="115">
        <v>387.00000000000045</v>
      </c>
      <c r="B388" s="3">
        <v>136</v>
      </c>
      <c r="C388" s="4">
        <v>21.387</v>
      </c>
      <c r="D388" s="129" t="s">
        <v>140</v>
      </c>
      <c r="E388" t="s">
        <v>141</v>
      </c>
      <c r="F388" s="3" t="s">
        <v>60</v>
      </c>
      <c r="G388" s="14"/>
      <c r="H388" s="3" t="s">
        <v>60</v>
      </c>
      <c r="I388" s="81">
        <v>44473</v>
      </c>
      <c r="J388" s="16" t="s">
        <v>142</v>
      </c>
      <c r="K388" s="17" t="s">
        <v>203</v>
      </c>
      <c r="L388" s="17"/>
      <c r="M388" s="17">
        <v>213.9</v>
      </c>
      <c r="N388" s="17"/>
      <c r="O388" s="17">
        <v>164.6</v>
      </c>
      <c r="P388" s="17">
        <v>173.67</v>
      </c>
      <c r="Q388" s="17">
        <v>31.86</v>
      </c>
      <c r="R388" s="17">
        <v>19.78</v>
      </c>
      <c r="S388" s="17">
        <v>118.22</v>
      </c>
      <c r="T388" s="17">
        <v>95.02</v>
      </c>
      <c r="U388" s="50">
        <v>65.95</v>
      </c>
      <c r="V388" s="50">
        <v>51.47</v>
      </c>
      <c r="W388" s="50">
        <v>67.47</v>
      </c>
      <c r="X388" s="50">
        <v>84.18</v>
      </c>
      <c r="Y388" s="50">
        <v>44.78</v>
      </c>
      <c r="Z388" s="50">
        <v>97.91</v>
      </c>
      <c r="AA388" s="50">
        <v>80.09</v>
      </c>
      <c r="AB388" s="50">
        <v>73.989999999999995</v>
      </c>
      <c r="AC388" s="50">
        <v>4.32</v>
      </c>
      <c r="AD388" s="50">
        <v>55.75</v>
      </c>
      <c r="AE388" s="17">
        <v>26.34</v>
      </c>
      <c r="AF388" s="17">
        <v>40.729999999999997</v>
      </c>
      <c r="AG388" s="17">
        <v>27.22</v>
      </c>
      <c r="AH388" s="17">
        <v>40.380000000000003</v>
      </c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t="s">
        <v>146</v>
      </c>
    </row>
    <row r="389" spans="1:46" x14ac:dyDescent="0.2">
      <c r="A389" s="115">
        <v>388.00000000000171</v>
      </c>
      <c r="B389" s="3">
        <v>143</v>
      </c>
      <c r="C389" s="4">
        <v>21.388000000000002</v>
      </c>
      <c r="D389" s="126" t="s">
        <v>168</v>
      </c>
      <c r="E389" t="s">
        <v>169</v>
      </c>
      <c r="F389" s="14" t="s">
        <v>170</v>
      </c>
      <c r="G389" s="14"/>
      <c r="H389" s="3" t="s">
        <v>177</v>
      </c>
      <c r="I389" s="82">
        <v>44381</v>
      </c>
      <c r="J389" s="16" t="s">
        <v>142</v>
      </c>
      <c r="K389" s="16" t="s">
        <v>203</v>
      </c>
      <c r="L389" s="17"/>
      <c r="M389" s="17"/>
      <c r="N389" s="17">
        <v>220.18</v>
      </c>
      <c r="O389" s="17">
        <v>189.26</v>
      </c>
      <c r="P389" s="17">
        <v>88.14</v>
      </c>
      <c r="Q389" s="17">
        <v>38.31</v>
      </c>
      <c r="R389" s="17">
        <v>32.67</v>
      </c>
      <c r="S389" s="17">
        <v>121.54</v>
      </c>
      <c r="T389" s="17">
        <v>98.28</v>
      </c>
      <c r="U389" s="50">
        <v>75.23</v>
      </c>
      <c r="V389" s="50">
        <v>53.2</v>
      </c>
      <c r="W389" s="50">
        <v>78.650000000000006</v>
      </c>
      <c r="X389" s="50">
        <v>100.08</v>
      </c>
      <c r="Y389" s="50">
        <v>47.27</v>
      </c>
      <c r="Z389" s="50">
        <v>101.72</v>
      </c>
      <c r="AA389" s="50">
        <v>79.58</v>
      </c>
      <c r="AB389" s="50">
        <v>85.46</v>
      </c>
      <c r="AC389" s="50">
        <v>7.08</v>
      </c>
      <c r="AD389" s="50">
        <v>45.6</v>
      </c>
      <c r="AE389" s="17">
        <v>31.01</v>
      </c>
      <c r="AF389" s="17">
        <v>38.32</v>
      </c>
      <c r="AG389" s="17">
        <v>32.979999999999997</v>
      </c>
      <c r="AH389" s="17">
        <v>37.270000000000003</v>
      </c>
      <c r="AI389" s="17">
        <v>1.61</v>
      </c>
      <c r="AJ389" s="17"/>
      <c r="AK389" s="17"/>
      <c r="AL389" s="17">
        <v>29</v>
      </c>
      <c r="AM389" s="17"/>
      <c r="AN389" s="17"/>
      <c r="AO389" s="17">
        <v>8.34</v>
      </c>
      <c r="AP389" s="17">
        <v>97.85</v>
      </c>
      <c r="AQ389" s="17">
        <v>33.07</v>
      </c>
      <c r="AR389" s="17">
        <v>50.54</v>
      </c>
      <c r="AS389" s="17">
        <v>20.927</v>
      </c>
      <c r="AT389" t="s">
        <v>146</v>
      </c>
    </row>
    <row r="390" spans="1:46" x14ac:dyDescent="0.2">
      <c r="A390" s="115">
        <v>388.99999999999932</v>
      </c>
      <c r="B390" s="3" t="s">
        <v>586</v>
      </c>
      <c r="C390" s="3">
        <v>21.388999999999999</v>
      </c>
      <c r="D390" s="125" t="s">
        <v>156</v>
      </c>
      <c r="E390" t="s">
        <v>491</v>
      </c>
      <c r="F390" s="3" t="s">
        <v>77</v>
      </c>
      <c r="G390" s="3" t="s">
        <v>77</v>
      </c>
      <c r="H390" s="14"/>
      <c r="I390" s="82">
        <v>44442</v>
      </c>
      <c r="J390" s="16" t="s">
        <v>142</v>
      </c>
      <c r="K390" s="17" t="s">
        <v>203</v>
      </c>
      <c r="L390" s="17"/>
      <c r="M390" s="17"/>
      <c r="N390" s="17">
        <v>190.03</v>
      </c>
      <c r="O390" s="17">
        <v>167.35</v>
      </c>
      <c r="P390" s="17">
        <v>173.35</v>
      </c>
      <c r="Q390" s="17">
        <v>35.630000000000003</v>
      </c>
      <c r="R390" s="17">
        <v>13.67</v>
      </c>
      <c r="S390" s="17">
        <v>118.45</v>
      </c>
      <c r="T390" s="17">
        <v>95.21</v>
      </c>
      <c r="U390" s="50">
        <v>59.4</v>
      </c>
      <c r="V390" s="50">
        <v>45.15</v>
      </c>
      <c r="W390" s="50">
        <v>63.25</v>
      </c>
      <c r="X390" s="50">
        <v>80.900000000000006</v>
      </c>
      <c r="Y390" s="50">
        <v>36.909999999999997</v>
      </c>
      <c r="Z390" s="50">
        <v>87.06</v>
      </c>
      <c r="AA390" s="50">
        <v>70.67</v>
      </c>
      <c r="AB390" s="50">
        <v>70.98</v>
      </c>
      <c r="AC390" s="50">
        <v>9.2799999999999994</v>
      </c>
      <c r="AD390" s="50">
        <v>43.61</v>
      </c>
      <c r="AE390" s="17">
        <v>24.74</v>
      </c>
      <c r="AF390" s="17">
        <v>36.94</v>
      </c>
      <c r="AG390" s="17">
        <v>22.66</v>
      </c>
      <c r="AH390" s="17">
        <v>33.99</v>
      </c>
      <c r="AI390" s="17">
        <v>1.524</v>
      </c>
      <c r="AJ390" s="17"/>
      <c r="AK390" s="17"/>
      <c r="AL390" s="17">
        <v>11.5</v>
      </c>
      <c r="AM390" s="17"/>
      <c r="AN390" s="17"/>
      <c r="AO390" s="17">
        <v>12.04</v>
      </c>
      <c r="AP390" s="17">
        <v>73.98</v>
      </c>
      <c r="AQ390" s="17">
        <v>44.75</v>
      </c>
      <c r="AR390" s="17">
        <v>44.6</v>
      </c>
      <c r="AS390" s="17">
        <v>18.600000000000001</v>
      </c>
      <c r="AT390" t="s">
        <v>146</v>
      </c>
    </row>
    <row r="391" spans="1:46" x14ac:dyDescent="0.2">
      <c r="A391" s="115">
        <v>390.00000000000057</v>
      </c>
      <c r="B391" s="3" t="s">
        <v>587</v>
      </c>
      <c r="C391" s="2" t="s">
        <v>588</v>
      </c>
      <c r="D391" s="125" t="s">
        <v>156</v>
      </c>
      <c r="E391" t="s">
        <v>491</v>
      </c>
      <c r="F391" s="3" t="s">
        <v>77</v>
      </c>
      <c r="G391" s="3" t="s">
        <v>77</v>
      </c>
      <c r="H391" s="14"/>
      <c r="I391" s="82">
        <v>44442</v>
      </c>
      <c r="J391" s="16" t="s">
        <v>142</v>
      </c>
      <c r="K391" s="17" t="s">
        <v>203</v>
      </c>
      <c r="L391" s="17"/>
      <c r="M391" s="17"/>
      <c r="N391" s="17">
        <v>190.12</v>
      </c>
      <c r="O391" s="17">
        <v>160.82</v>
      </c>
      <c r="P391" s="17">
        <v>172.08</v>
      </c>
      <c r="Q391" s="17">
        <v>38.04</v>
      </c>
      <c r="R391" s="17">
        <v>13.81</v>
      </c>
      <c r="S391" s="17">
        <v>112.26</v>
      </c>
      <c r="T391" s="17">
        <v>86.58</v>
      </c>
      <c r="U391" s="50">
        <v>58.69</v>
      </c>
      <c r="V391" s="50">
        <v>44.98</v>
      </c>
      <c r="W391" s="50">
        <v>59.62</v>
      </c>
      <c r="X391" s="50">
        <v>81.56</v>
      </c>
      <c r="Y391" s="50">
        <v>37.01</v>
      </c>
      <c r="Z391" s="50">
        <v>87.34</v>
      </c>
      <c r="AA391" s="50">
        <v>72.67</v>
      </c>
      <c r="AB391" s="50">
        <v>73.260000000000005</v>
      </c>
      <c r="AC391" s="50">
        <v>10.89</v>
      </c>
      <c r="AD391" s="50">
        <v>44.43</v>
      </c>
      <c r="AE391" s="17">
        <v>23.98</v>
      </c>
      <c r="AF391" s="17">
        <v>41.56</v>
      </c>
      <c r="AG391" s="17">
        <v>23.51</v>
      </c>
      <c r="AH391" s="17">
        <v>38.409999999999997</v>
      </c>
      <c r="AI391" s="17">
        <v>1.4530000000000001</v>
      </c>
      <c r="AJ391" s="17"/>
      <c r="AK391" s="17"/>
      <c r="AL391" s="17">
        <v>12.5</v>
      </c>
      <c r="AM391" s="17"/>
      <c r="AN391" s="17"/>
      <c r="AO391" s="17">
        <v>12.64</v>
      </c>
      <c r="AP391" s="17">
        <v>80.5</v>
      </c>
      <c r="AQ391" s="17">
        <v>39.630000000000003</v>
      </c>
      <c r="AR391" s="17">
        <v>43.72</v>
      </c>
      <c r="AS391" s="17">
        <v>18.157</v>
      </c>
      <c r="AT391" t="s">
        <v>146</v>
      </c>
    </row>
    <row r="392" spans="1:46" x14ac:dyDescent="0.2">
      <c r="A392" s="115">
        <v>390.99999999999824</v>
      </c>
      <c r="B392" s="3" t="s">
        <v>589</v>
      </c>
      <c r="C392" s="3">
        <v>21.390999999999998</v>
      </c>
      <c r="D392" s="125" t="s">
        <v>156</v>
      </c>
      <c r="E392" t="s">
        <v>491</v>
      </c>
      <c r="F392" s="3" t="s">
        <v>77</v>
      </c>
      <c r="G392" s="3" t="s">
        <v>77</v>
      </c>
      <c r="H392" s="14"/>
      <c r="I392" s="82">
        <v>44442</v>
      </c>
      <c r="J392" s="16" t="s">
        <v>142</v>
      </c>
      <c r="K392" s="17" t="s">
        <v>203</v>
      </c>
      <c r="L392" s="17"/>
      <c r="M392" s="17"/>
      <c r="N392" s="17">
        <v>168.96</v>
      </c>
      <c r="O392" s="17">
        <v>164.64</v>
      </c>
      <c r="P392" s="17">
        <v>169.42</v>
      </c>
      <c r="Q392" s="17">
        <v>36.32</v>
      </c>
      <c r="R392" s="17">
        <v>19.55</v>
      </c>
      <c r="S392" s="17">
        <v>116.38</v>
      </c>
      <c r="T392" s="17">
        <v>86.84</v>
      </c>
      <c r="U392" s="50">
        <v>65.06</v>
      </c>
      <c r="V392" s="50">
        <v>45.07</v>
      </c>
      <c r="W392" s="50">
        <v>66.42</v>
      </c>
      <c r="X392" s="50">
        <v>82.86</v>
      </c>
      <c r="Y392" s="50">
        <v>39.549999999999997</v>
      </c>
      <c r="Z392" s="50">
        <v>86.47</v>
      </c>
      <c r="AA392" s="50">
        <v>72.27</v>
      </c>
      <c r="AB392" s="50">
        <v>70.17</v>
      </c>
      <c r="AC392" s="50">
        <v>4.4000000000000004</v>
      </c>
      <c r="AD392" s="50">
        <v>41.19</v>
      </c>
      <c r="AE392" s="17">
        <v>30.44</v>
      </c>
      <c r="AF392" s="17">
        <v>37.9</v>
      </c>
      <c r="AG392" s="17">
        <v>27.83</v>
      </c>
      <c r="AH392" s="17">
        <v>33.54</v>
      </c>
      <c r="AI392" s="17">
        <v>1.5149999999999999</v>
      </c>
      <c r="AJ392" s="17"/>
      <c r="AK392" s="17"/>
      <c r="AL392" s="17">
        <v>10.5</v>
      </c>
      <c r="AM392" s="17"/>
      <c r="AN392" s="17"/>
      <c r="AO392" s="17">
        <v>12.26</v>
      </c>
      <c r="AP392" s="17">
        <v>67.59</v>
      </c>
      <c r="AQ392" s="17">
        <v>36.31</v>
      </c>
      <c r="AR392" s="17">
        <v>40.4</v>
      </c>
      <c r="AS392" s="17">
        <v>16.978999999999999</v>
      </c>
      <c r="AT392" t="s">
        <v>146</v>
      </c>
    </row>
    <row r="393" spans="1:46" x14ac:dyDescent="0.2">
      <c r="A393" s="115">
        <v>391.99999999999943</v>
      </c>
      <c r="B393" s="3" t="s">
        <v>590</v>
      </c>
      <c r="C393" s="3">
        <v>21.391999999999999</v>
      </c>
      <c r="D393" s="125" t="s">
        <v>156</v>
      </c>
      <c r="E393" t="s">
        <v>491</v>
      </c>
      <c r="F393" s="3" t="s">
        <v>77</v>
      </c>
      <c r="G393" s="3" t="s">
        <v>77</v>
      </c>
      <c r="H393" s="14"/>
      <c r="I393" s="82">
        <v>44407</v>
      </c>
      <c r="J393" s="16" t="s">
        <v>142</v>
      </c>
      <c r="K393" s="17" t="s">
        <v>203</v>
      </c>
      <c r="L393" s="17"/>
      <c r="M393" s="17"/>
      <c r="N393" s="17">
        <v>171.35</v>
      </c>
      <c r="O393" s="17">
        <v>157.6</v>
      </c>
      <c r="P393" s="17">
        <v>168.35</v>
      </c>
      <c r="Q393" s="17">
        <v>30.25</v>
      </c>
      <c r="R393" s="17">
        <v>14.67</v>
      </c>
      <c r="S393" s="17">
        <v>116.32</v>
      </c>
      <c r="T393" s="17">
        <v>89.15</v>
      </c>
      <c r="U393" s="50">
        <v>62.62</v>
      </c>
      <c r="V393" s="50">
        <v>45.84</v>
      </c>
      <c r="W393" s="50">
        <v>66.41</v>
      </c>
      <c r="X393" s="50">
        <v>82.28</v>
      </c>
      <c r="Y393" s="50">
        <v>38.979999999999997</v>
      </c>
      <c r="Z393" s="50">
        <v>86.82</v>
      </c>
      <c r="AA393" s="50">
        <v>72.16</v>
      </c>
      <c r="AB393" s="50">
        <v>71.19</v>
      </c>
      <c r="AC393" s="50">
        <v>11.26</v>
      </c>
      <c r="AD393" s="50">
        <v>42.48</v>
      </c>
      <c r="AE393" s="17">
        <v>23.61</v>
      </c>
      <c r="AF393" s="17">
        <v>32.340000000000003</v>
      </c>
      <c r="AG393" s="17">
        <v>29.82</v>
      </c>
      <c r="AH393" s="17">
        <v>31.02</v>
      </c>
      <c r="AI393" s="17">
        <v>1.5149999999999999</v>
      </c>
      <c r="AJ393" s="17"/>
      <c r="AK393" s="17"/>
      <c r="AL393" s="17"/>
      <c r="AM393" s="17"/>
      <c r="AN393" s="17"/>
      <c r="AO393" s="17">
        <v>13.67</v>
      </c>
      <c r="AP393" s="17">
        <v>53.3</v>
      </c>
      <c r="AQ393" s="17">
        <v>61.56</v>
      </c>
      <c r="AR393" s="17">
        <v>41.49</v>
      </c>
      <c r="AS393" s="17">
        <v>17.904</v>
      </c>
      <c r="AT393" t="s">
        <v>146</v>
      </c>
    </row>
    <row r="394" spans="1:46" x14ac:dyDescent="0.2">
      <c r="A394" s="115">
        <v>393.00000000000068</v>
      </c>
      <c r="B394" s="3" t="s">
        <v>591</v>
      </c>
      <c r="C394" s="4">
        <v>21.393000000000001</v>
      </c>
      <c r="D394" s="125" t="s">
        <v>156</v>
      </c>
      <c r="E394" t="s">
        <v>491</v>
      </c>
      <c r="F394" s="3" t="s">
        <v>77</v>
      </c>
      <c r="G394" s="3" t="s">
        <v>77</v>
      </c>
      <c r="H394" s="14"/>
      <c r="I394" s="82">
        <v>44453</v>
      </c>
      <c r="J394" s="16" t="s">
        <v>142</v>
      </c>
      <c r="K394" s="17" t="s">
        <v>203</v>
      </c>
      <c r="L394" s="17"/>
      <c r="M394" s="17"/>
      <c r="N394" s="17">
        <v>168.96</v>
      </c>
      <c r="O394" s="17">
        <v>175.93</v>
      </c>
      <c r="P394" s="17">
        <v>177.39</v>
      </c>
      <c r="Q394" s="17">
        <v>40.65</v>
      </c>
      <c r="R394" s="17">
        <v>25.11</v>
      </c>
      <c r="S394" s="17">
        <v>112.03</v>
      </c>
      <c r="T394" s="17">
        <v>88.66</v>
      </c>
      <c r="U394" s="50">
        <v>62.53</v>
      </c>
      <c r="V394" s="50">
        <v>44.76</v>
      </c>
      <c r="W394" s="50">
        <v>66.36</v>
      </c>
      <c r="X394" s="50">
        <v>83.91</v>
      </c>
      <c r="Y394" s="50">
        <v>38.22</v>
      </c>
      <c r="Z394" s="50">
        <v>88.06</v>
      </c>
      <c r="AA394" s="50">
        <v>74.56</v>
      </c>
      <c r="AB394" s="50">
        <v>72.12</v>
      </c>
      <c r="AC394" s="50">
        <v>7.13</v>
      </c>
      <c r="AD394" s="50">
        <v>42.18</v>
      </c>
      <c r="AE394" s="17">
        <v>28.02</v>
      </c>
      <c r="AF394" s="17">
        <v>40.72</v>
      </c>
      <c r="AG394" s="17">
        <v>30.63</v>
      </c>
      <c r="AH394" s="17">
        <v>39.380000000000003</v>
      </c>
      <c r="AI394" s="17">
        <v>1.5760000000000001</v>
      </c>
      <c r="AJ394" s="17"/>
      <c r="AK394" s="17"/>
      <c r="AL394" s="17"/>
      <c r="AM394" s="17"/>
      <c r="AN394" s="17"/>
      <c r="AO394" s="17">
        <v>13.45</v>
      </c>
      <c r="AP394" s="17">
        <v>68.989999999999995</v>
      </c>
      <c r="AQ394" s="17">
        <v>44.77</v>
      </c>
      <c r="AR394" s="17">
        <v>40.369999999999997</v>
      </c>
      <c r="AS394" s="17">
        <v>17.173999999999999</v>
      </c>
      <c r="AT394" t="s">
        <v>146</v>
      </c>
    </row>
    <row r="395" spans="1:46" x14ac:dyDescent="0.2">
      <c r="A395" s="115">
        <v>393.99999999999835</v>
      </c>
      <c r="B395" s="3" t="s">
        <v>592</v>
      </c>
      <c r="C395" s="3">
        <v>21.393999999999998</v>
      </c>
      <c r="D395" s="125" t="s">
        <v>156</v>
      </c>
      <c r="E395" t="s">
        <v>491</v>
      </c>
      <c r="F395" s="3" t="s">
        <v>77</v>
      </c>
      <c r="G395" s="3" t="s">
        <v>77</v>
      </c>
      <c r="H395" s="14"/>
      <c r="I395" s="82">
        <v>44453</v>
      </c>
      <c r="J395" s="16" t="s">
        <v>142</v>
      </c>
      <c r="K395" s="17" t="s">
        <v>203</v>
      </c>
      <c r="L395" s="17"/>
      <c r="M395" s="17"/>
      <c r="N395" s="17">
        <v>161.22</v>
      </c>
      <c r="O395" s="17">
        <v>153.5</v>
      </c>
      <c r="P395" s="17">
        <v>162.19999999999999</v>
      </c>
      <c r="Q395" s="17">
        <v>35.08</v>
      </c>
      <c r="R395" s="17">
        <v>22.04</v>
      </c>
      <c r="S395" s="17">
        <v>105.39</v>
      </c>
      <c r="T395" s="17">
        <v>84.52</v>
      </c>
      <c r="U395" s="50">
        <v>65.48</v>
      </c>
      <c r="V395" s="50">
        <v>45.21</v>
      </c>
      <c r="W395" s="50">
        <v>67.52</v>
      </c>
      <c r="X395" s="50">
        <v>81.680000000000007</v>
      </c>
      <c r="Y395" s="50">
        <v>36.53</v>
      </c>
      <c r="Z395" s="50">
        <v>88.25</v>
      </c>
      <c r="AA395" s="50">
        <v>71.510000000000005</v>
      </c>
      <c r="AB395" s="50">
        <v>73.849999999999994</v>
      </c>
      <c r="AC395" s="50">
        <v>3.03</v>
      </c>
      <c r="AD395" s="50">
        <v>43.19</v>
      </c>
      <c r="AE395" s="17">
        <v>28.51</v>
      </c>
      <c r="AF395" s="17">
        <v>37.96</v>
      </c>
      <c r="AG395" s="17">
        <v>28.17</v>
      </c>
      <c r="AH395" s="17">
        <v>35.08</v>
      </c>
      <c r="AI395" s="17">
        <v>1.319</v>
      </c>
      <c r="AJ395" s="17"/>
      <c r="AK395" s="17"/>
      <c r="AL395" s="17"/>
      <c r="AM395" s="17"/>
      <c r="AN395" s="17"/>
      <c r="AO395" s="17">
        <v>11.86</v>
      </c>
      <c r="AP395" s="17">
        <v>70.2</v>
      </c>
      <c r="AQ395" s="17">
        <v>40.44</v>
      </c>
      <c r="AR395" s="17">
        <v>37.85</v>
      </c>
      <c r="AS395" s="17">
        <v>15.988</v>
      </c>
      <c r="AT395" t="s">
        <v>146</v>
      </c>
    </row>
    <row r="396" spans="1:46" x14ac:dyDescent="0.2">
      <c r="A396" s="115">
        <v>394.99999999999955</v>
      </c>
      <c r="B396" s="3" t="s">
        <v>593</v>
      </c>
      <c r="C396" s="3">
        <v>21.395</v>
      </c>
      <c r="D396" s="125" t="s">
        <v>156</v>
      </c>
      <c r="E396" t="s">
        <v>491</v>
      </c>
      <c r="F396" s="3" t="s">
        <v>77</v>
      </c>
      <c r="G396" s="3" t="s">
        <v>77</v>
      </c>
      <c r="H396" s="14"/>
      <c r="I396" s="82">
        <v>44418</v>
      </c>
      <c r="J396" s="16" t="s">
        <v>142</v>
      </c>
      <c r="K396" s="17" t="s">
        <v>203</v>
      </c>
      <c r="L396" s="17"/>
      <c r="M396" s="17"/>
      <c r="N396" s="17">
        <v>175.3</v>
      </c>
      <c r="O396" s="17">
        <v>159.43</v>
      </c>
      <c r="P396" s="17">
        <v>163.82</v>
      </c>
      <c r="Q396" s="17">
        <v>36.369999999999997</v>
      </c>
      <c r="R396" s="17">
        <v>16.96</v>
      </c>
      <c r="S396" s="17">
        <v>111</v>
      </c>
      <c r="T396" s="17">
        <v>84.99</v>
      </c>
      <c r="U396" s="50">
        <v>64.92</v>
      </c>
      <c r="V396" s="50">
        <v>45.11</v>
      </c>
      <c r="W396" s="50">
        <v>66.87</v>
      </c>
      <c r="X396" s="50">
        <v>83.48</v>
      </c>
      <c r="Y396" s="50">
        <v>39.57</v>
      </c>
      <c r="Z396" s="50">
        <v>89.04</v>
      </c>
      <c r="AA396" s="50">
        <v>76.150000000000006</v>
      </c>
      <c r="AB396" s="50">
        <v>73.62</v>
      </c>
      <c r="AC396" s="50">
        <v>6.83</v>
      </c>
      <c r="AD396" s="50">
        <v>43.47</v>
      </c>
      <c r="AE396" s="17">
        <v>23.17</v>
      </c>
      <c r="AF396" s="17">
        <v>37.42</v>
      </c>
      <c r="AG396" s="17">
        <v>30.47</v>
      </c>
      <c r="AH396" s="17">
        <v>36.24</v>
      </c>
      <c r="AI396" s="17">
        <v>1.417</v>
      </c>
      <c r="AJ396" s="17"/>
      <c r="AK396" s="17"/>
      <c r="AL396" s="17"/>
      <c r="AM396" s="17"/>
      <c r="AN396" s="17"/>
      <c r="AO396" s="17">
        <f>67.6-AP396</f>
        <v>13.159999999999997</v>
      </c>
      <c r="AP396" s="17">
        <v>54.44</v>
      </c>
      <c r="AQ396" s="17">
        <v>61.72</v>
      </c>
      <c r="AR396" s="17">
        <v>42.13</v>
      </c>
      <c r="AS396" s="17">
        <v>17.423999999999999</v>
      </c>
      <c r="AT396" t="s">
        <v>146</v>
      </c>
    </row>
    <row r="397" spans="1:46" x14ac:dyDescent="0.2">
      <c r="A397" s="115">
        <v>396.0000000000008</v>
      </c>
      <c r="B397" s="3" t="s">
        <v>594</v>
      </c>
      <c r="C397" s="3">
        <v>21.396000000000001</v>
      </c>
      <c r="D397" s="125" t="s">
        <v>156</v>
      </c>
      <c r="E397" t="s">
        <v>491</v>
      </c>
      <c r="F397" s="3" t="s">
        <v>77</v>
      </c>
      <c r="G397" s="3" t="s">
        <v>77</v>
      </c>
      <c r="H397" s="14"/>
      <c r="I397" s="82">
        <v>44432</v>
      </c>
      <c r="J397" s="16" t="s">
        <v>142</v>
      </c>
      <c r="K397" s="17" t="s">
        <v>203</v>
      </c>
      <c r="L397" s="17"/>
      <c r="M397" s="17"/>
      <c r="N397" s="17">
        <v>173.03</v>
      </c>
      <c r="O397" s="17">
        <v>171.57</v>
      </c>
      <c r="P397" s="17">
        <v>177.07</v>
      </c>
      <c r="Q397" s="17">
        <v>35.67</v>
      </c>
      <c r="R397" s="17">
        <v>22.22</v>
      </c>
      <c r="S397" s="17">
        <v>115.12</v>
      </c>
      <c r="T397" s="17">
        <v>86.15</v>
      </c>
      <c r="U397" s="50">
        <v>62.19</v>
      </c>
      <c r="V397" s="50">
        <v>45.02</v>
      </c>
      <c r="W397" s="50">
        <v>65.989999999999995</v>
      </c>
      <c r="X397" s="50">
        <v>86.44</v>
      </c>
      <c r="Y397" s="50">
        <v>41.05</v>
      </c>
      <c r="Z397" s="50">
        <v>89.18</v>
      </c>
      <c r="AA397" s="50">
        <v>75.55</v>
      </c>
      <c r="AB397" s="50">
        <v>72</v>
      </c>
      <c r="AC397" s="50">
        <v>5.97</v>
      </c>
      <c r="AD397" s="50">
        <v>43.34</v>
      </c>
      <c r="AE397" s="17">
        <v>26.95</v>
      </c>
      <c r="AF397" s="17">
        <v>35.79</v>
      </c>
      <c r="AG397" s="17">
        <v>31.33</v>
      </c>
      <c r="AH397" s="17">
        <v>36.15</v>
      </c>
      <c r="AI397" s="17">
        <v>1.37</v>
      </c>
      <c r="AJ397" s="17"/>
      <c r="AK397" s="17"/>
      <c r="AL397" s="17">
        <v>8.3000000000000007</v>
      </c>
      <c r="AM397" s="17"/>
      <c r="AN397" s="17"/>
      <c r="AO397" s="17">
        <v>12.05</v>
      </c>
      <c r="AP397" s="17">
        <v>59.58</v>
      </c>
      <c r="AQ397" s="17">
        <v>49.46</v>
      </c>
      <c r="AR397" s="17">
        <v>42.32</v>
      </c>
      <c r="AS397" s="17">
        <v>17.675999999999998</v>
      </c>
      <c r="AT397" t="s">
        <v>146</v>
      </c>
    </row>
    <row r="398" spans="1:46" x14ac:dyDescent="0.2">
      <c r="A398" s="115">
        <v>396.99999999999847</v>
      </c>
      <c r="B398" s="3" t="s">
        <v>595</v>
      </c>
      <c r="C398" s="3">
        <v>21.396999999999998</v>
      </c>
      <c r="D398" s="125" t="s">
        <v>156</v>
      </c>
      <c r="E398" t="s">
        <v>491</v>
      </c>
      <c r="F398" s="3" t="s">
        <v>77</v>
      </c>
      <c r="G398" s="3" t="s">
        <v>77</v>
      </c>
      <c r="I398" s="82">
        <v>44407</v>
      </c>
      <c r="J398" s="16" t="s">
        <v>142</v>
      </c>
      <c r="K398" s="17" t="s">
        <v>203</v>
      </c>
      <c r="L398" s="17"/>
      <c r="M398" s="17"/>
      <c r="N398" s="17">
        <v>192.61</v>
      </c>
      <c r="O398" s="17">
        <v>158.19999999999999</v>
      </c>
      <c r="P398" s="17">
        <v>171.97</v>
      </c>
      <c r="Q398" s="17">
        <v>32</v>
      </c>
      <c r="R398" s="17">
        <v>17.05</v>
      </c>
      <c r="S398" s="17">
        <v>117.47</v>
      </c>
      <c r="T398" s="17">
        <v>90.92</v>
      </c>
      <c r="U398" s="50">
        <v>59.77</v>
      </c>
      <c r="V398" s="50">
        <v>46.77</v>
      </c>
      <c r="W398" s="50">
        <v>62.64</v>
      </c>
      <c r="X398" s="50">
        <v>81.09</v>
      </c>
      <c r="Y398" s="50">
        <v>39.39</v>
      </c>
      <c r="Z398" s="50">
        <v>87.14</v>
      </c>
      <c r="AA398" s="50">
        <v>72.12</v>
      </c>
      <c r="AB398" s="50">
        <v>70.45</v>
      </c>
      <c r="AC398" s="50">
        <v>11.19</v>
      </c>
      <c r="AD398" s="50">
        <v>46.12</v>
      </c>
      <c r="AE398" s="17">
        <v>25.04</v>
      </c>
      <c r="AF398" s="17">
        <v>32.85</v>
      </c>
      <c r="AG398" s="17">
        <v>27.12</v>
      </c>
      <c r="AH398" s="17">
        <v>34.4</v>
      </c>
      <c r="AI398" s="17">
        <v>1.413</v>
      </c>
      <c r="AJ398" s="17"/>
      <c r="AK398" s="17"/>
      <c r="AL398" s="17">
        <v>9.8000000000000007</v>
      </c>
      <c r="AM398" s="17"/>
      <c r="AN398" s="17"/>
      <c r="AO398" s="17">
        <v>10.54</v>
      </c>
      <c r="AP398" s="17">
        <v>65.069999999999993</v>
      </c>
      <c r="AQ398" s="17">
        <v>60.78</v>
      </c>
      <c r="AR398" s="17">
        <v>44.18</v>
      </c>
      <c r="AS398" s="17">
        <v>19.103000000000002</v>
      </c>
      <c r="AT398" t="s">
        <v>146</v>
      </c>
    </row>
    <row r="399" spans="1:46" x14ac:dyDescent="0.2">
      <c r="A399" s="115">
        <v>397.99999999999966</v>
      </c>
      <c r="B399" s="3" t="s">
        <v>596</v>
      </c>
      <c r="C399" s="3">
        <v>21.398</v>
      </c>
      <c r="D399" s="125" t="s">
        <v>156</v>
      </c>
      <c r="E399" t="s">
        <v>491</v>
      </c>
      <c r="F399" s="3" t="s">
        <v>77</v>
      </c>
      <c r="G399" s="3" t="s">
        <v>77</v>
      </c>
      <c r="I399" s="82">
        <v>44418</v>
      </c>
      <c r="J399" s="16" t="s">
        <v>142</v>
      </c>
      <c r="K399" s="17" t="s">
        <v>203</v>
      </c>
      <c r="L399" s="17"/>
      <c r="M399" s="17"/>
      <c r="N399" s="17">
        <v>172.94</v>
      </c>
      <c r="O399" s="17">
        <v>156.83000000000001</v>
      </c>
      <c r="P399" s="17">
        <v>167.05</v>
      </c>
      <c r="Q399" s="17">
        <v>33.840000000000003</v>
      </c>
      <c r="R399" s="17">
        <v>15.63</v>
      </c>
      <c r="S399" s="17">
        <v>113.86</v>
      </c>
      <c r="T399" s="17">
        <v>87.62</v>
      </c>
      <c r="U399" s="50">
        <v>64.5</v>
      </c>
      <c r="V399" s="50">
        <v>43.64</v>
      </c>
      <c r="W399" s="50">
        <v>65.83</v>
      </c>
      <c r="X399" s="50">
        <v>81.2</v>
      </c>
      <c r="Y399" s="50">
        <v>39.26</v>
      </c>
      <c r="Z399" s="50">
        <v>87.94</v>
      </c>
      <c r="AA399" s="50">
        <v>73.66</v>
      </c>
      <c r="AB399" s="50">
        <v>72.069999999999993</v>
      </c>
      <c r="AC399" s="50">
        <v>0.02</v>
      </c>
      <c r="AD399" s="50">
        <v>43.71</v>
      </c>
      <c r="AE399" s="17">
        <v>28.21</v>
      </c>
      <c r="AF399" s="17">
        <v>37.94</v>
      </c>
      <c r="AG399" s="17">
        <v>29.49</v>
      </c>
      <c r="AH399" s="17">
        <v>37.229999999999997</v>
      </c>
      <c r="AI399" s="17">
        <v>1.444</v>
      </c>
      <c r="AJ399" s="17"/>
      <c r="AK399" s="17"/>
      <c r="AL399" s="17">
        <v>13.5</v>
      </c>
      <c r="AM399" s="17"/>
      <c r="AN399" s="17"/>
      <c r="AO399" s="17">
        <v>13.44</v>
      </c>
      <c r="AP399" s="17">
        <v>51.57</v>
      </c>
      <c r="AQ399" s="17">
        <v>49.92</v>
      </c>
      <c r="AR399" s="17">
        <v>42.4</v>
      </c>
      <c r="AS399" s="17">
        <v>17.327999999999999</v>
      </c>
      <c r="AT399" t="s">
        <v>146</v>
      </c>
    </row>
    <row r="400" spans="1:46" x14ac:dyDescent="0.2">
      <c r="A400" s="115">
        <v>399.00000000000091</v>
      </c>
      <c r="B400" s="3" t="s">
        <v>597</v>
      </c>
      <c r="C400" s="3">
        <v>21.399000000000001</v>
      </c>
      <c r="D400" s="125" t="s">
        <v>156</v>
      </c>
      <c r="E400" t="s">
        <v>491</v>
      </c>
      <c r="F400" s="3" t="s">
        <v>77</v>
      </c>
      <c r="G400" s="3" t="s">
        <v>77</v>
      </c>
      <c r="I400" s="82">
        <v>44432</v>
      </c>
      <c r="J400" s="16" t="s">
        <v>142</v>
      </c>
      <c r="K400" s="17" t="s">
        <v>203</v>
      </c>
      <c r="L400" s="17"/>
      <c r="M400" s="17"/>
      <c r="N400" s="17">
        <v>188.16</v>
      </c>
      <c r="O400" s="17">
        <v>162.54</v>
      </c>
      <c r="P400" s="17">
        <v>174.58</v>
      </c>
      <c r="Q400" s="17">
        <v>35.54</v>
      </c>
      <c r="R400" s="17">
        <v>18.600000000000001</v>
      </c>
      <c r="S400" s="17">
        <v>114.46</v>
      </c>
      <c r="T400" s="17">
        <v>93.65</v>
      </c>
      <c r="U400" s="50">
        <v>61.28</v>
      </c>
      <c r="V400" s="50">
        <v>43.71</v>
      </c>
      <c r="W400" s="50">
        <v>66.58</v>
      </c>
      <c r="X400" s="50">
        <v>82.01</v>
      </c>
      <c r="Y400" s="50">
        <v>37.11</v>
      </c>
      <c r="Z400" s="50">
        <v>87.11</v>
      </c>
      <c r="AA400" s="50">
        <v>72.790000000000006</v>
      </c>
      <c r="AB400" s="50">
        <v>72.47</v>
      </c>
      <c r="AC400" s="50">
        <v>9.69</v>
      </c>
      <c r="AD400" s="50">
        <v>45.97</v>
      </c>
      <c r="AE400" s="17">
        <v>24.99</v>
      </c>
      <c r="AF400" s="17">
        <v>38.04</v>
      </c>
      <c r="AG400" s="17">
        <v>28.29</v>
      </c>
      <c r="AH400" s="17">
        <v>36.86</v>
      </c>
      <c r="AI400" s="17">
        <v>1.5209999999999999</v>
      </c>
      <c r="AJ400" s="17"/>
      <c r="AK400" s="17"/>
      <c r="AL400" s="17">
        <v>13.5</v>
      </c>
      <c r="AM400" s="17"/>
      <c r="AN400" s="17"/>
      <c r="AO400" s="17">
        <v>14.1</v>
      </c>
      <c r="AP400" s="17">
        <v>68.62</v>
      </c>
      <c r="AQ400" s="17">
        <v>47.53</v>
      </c>
      <c r="AR400" s="17">
        <v>44.46</v>
      </c>
      <c r="AS400" s="17">
        <v>17.693999999999999</v>
      </c>
      <c r="AT400" t="s">
        <v>146</v>
      </c>
    </row>
    <row r="401" spans="1:46" x14ac:dyDescent="0.2">
      <c r="A401" s="115">
        <v>399.99999999999858</v>
      </c>
      <c r="B401" s="3" t="s">
        <v>598</v>
      </c>
      <c r="C401" s="2" t="s">
        <v>75</v>
      </c>
      <c r="D401" s="125" t="s">
        <v>156</v>
      </c>
      <c r="E401" t="s">
        <v>491</v>
      </c>
      <c r="F401" s="3" t="s">
        <v>77</v>
      </c>
      <c r="G401" s="3" t="s">
        <v>77</v>
      </c>
      <c r="I401" s="82">
        <v>44437</v>
      </c>
      <c r="J401" s="16" t="s">
        <v>142</v>
      </c>
      <c r="K401" s="17" t="s">
        <v>235</v>
      </c>
      <c r="L401" s="17"/>
      <c r="M401" s="17"/>
      <c r="N401" s="17">
        <v>236.32</v>
      </c>
      <c r="O401" s="17">
        <v>166.35</v>
      </c>
      <c r="P401" s="17">
        <v>174.91</v>
      </c>
      <c r="Q401" s="17">
        <v>38.090000000000003</v>
      </c>
      <c r="R401" s="17">
        <v>11.98</v>
      </c>
      <c r="S401" s="17">
        <v>121.09</v>
      </c>
      <c r="T401" s="17">
        <v>96.47</v>
      </c>
      <c r="U401" s="50">
        <v>60.17</v>
      </c>
      <c r="V401" s="50">
        <v>44.23</v>
      </c>
      <c r="W401" s="50">
        <v>62.33</v>
      </c>
      <c r="X401" s="50">
        <v>83.16</v>
      </c>
      <c r="Y401" s="50">
        <v>39.39</v>
      </c>
      <c r="Z401" s="50">
        <v>89.21</v>
      </c>
      <c r="AA401" s="50">
        <v>78.78</v>
      </c>
      <c r="AB401" s="50">
        <v>69.47</v>
      </c>
      <c r="AC401" s="50">
        <v>8.64</v>
      </c>
      <c r="AD401" s="50">
        <v>51.8</v>
      </c>
      <c r="AE401" s="17">
        <v>24.07</v>
      </c>
      <c r="AF401" s="17">
        <v>36.58</v>
      </c>
      <c r="AG401" s="17">
        <v>23.38</v>
      </c>
      <c r="AH401" s="17">
        <v>39.200000000000003</v>
      </c>
      <c r="AI401" s="17">
        <v>1.29</v>
      </c>
      <c r="AJ401" s="17">
        <v>15.65</v>
      </c>
      <c r="AK401" s="17"/>
      <c r="AL401" s="17"/>
      <c r="AM401" s="17"/>
      <c r="AN401" s="17">
        <v>118</v>
      </c>
      <c r="AO401" s="17"/>
      <c r="AP401" s="17"/>
      <c r="AQ401" s="17"/>
      <c r="AR401" s="17"/>
      <c r="AS401" s="17"/>
      <c r="AT401" t="s">
        <v>146</v>
      </c>
    </row>
    <row r="402" spans="1:46" x14ac:dyDescent="0.2">
      <c r="A402" s="115">
        <v>400.99999999999977</v>
      </c>
      <c r="B402" s="3">
        <v>113</v>
      </c>
      <c r="C402" s="3">
        <v>21.401</v>
      </c>
      <c r="D402" s="126" t="s">
        <v>168</v>
      </c>
      <c r="E402" t="s">
        <v>232</v>
      </c>
      <c r="F402" s="3" t="s">
        <v>251</v>
      </c>
      <c r="H402" s="3" t="s">
        <v>275</v>
      </c>
      <c r="I402" s="82">
        <v>44387</v>
      </c>
      <c r="J402" s="16" t="s">
        <v>142</v>
      </c>
      <c r="K402" s="16" t="s">
        <v>235</v>
      </c>
      <c r="L402" s="17"/>
      <c r="M402" s="17"/>
      <c r="N402" s="17">
        <v>197.69</v>
      </c>
      <c r="O402" s="17">
        <v>160.54</v>
      </c>
      <c r="P402" s="17">
        <v>166.56</v>
      </c>
      <c r="Q402" s="17">
        <v>39.19</v>
      </c>
      <c r="R402" s="17">
        <v>14.61</v>
      </c>
      <c r="S402" s="17">
        <v>109.14</v>
      </c>
      <c r="T402" s="17">
        <v>92.24</v>
      </c>
      <c r="U402" s="50">
        <v>64.28</v>
      </c>
      <c r="V402" s="50">
        <v>45.42</v>
      </c>
      <c r="W402" s="50">
        <v>67.56</v>
      </c>
      <c r="X402" s="50">
        <v>80.97</v>
      </c>
      <c r="Y402" s="50">
        <v>36.1</v>
      </c>
      <c r="Z402" s="50">
        <v>89.4</v>
      </c>
      <c r="AA402" s="50">
        <v>74.78</v>
      </c>
      <c r="AB402" s="50">
        <v>66.709999999999994</v>
      </c>
      <c r="AC402" s="50">
        <v>7.79</v>
      </c>
      <c r="AD402" s="50">
        <v>48.48</v>
      </c>
      <c r="AE402" s="17">
        <v>25.22</v>
      </c>
      <c r="AF402" s="17">
        <v>25.09</v>
      </c>
      <c r="AG402" s="17">
        <v>25.31</v>
      </c>
      <c r="AH402" s="17">
        <v>30</v>
      </c>
      <c r="AI402" s="17">
        <v>1.3360000000000001</v>
      </c>
      <c r="AJ402" s="17">
        <v>32.19</v>
      </c>
      <c r="AK402" s="17"/>
      <c r="AL402" s="17"/>
      <c r="AM402" s="17"/>
      <c r="AN402" s="17">
        <v>78</v>
      </c>
      <c r="AO402" s="17"/>
      <c r="AP402" s="17"/>
      <c r="AQ402" s="17"/>
      <c r="AR402" s="17"/>
      <c r="AS402" s="17"/>
      <c r="AT402" t="s">
        <v>146</v>
      </c>
    </row>
    <row r="403" spans="1:46" x14ac:dyDescent="0.2">
      <c r="A403" s="115">
        <v>402.00000000000102</v>
      </c>
      <c r="B403" s="3">
        <v>142</v>
      </c>
      <c r="C403" s="3">
        <v>21.402000000000001</v>
      </c>
      <c r="D403" s="126" t="s">
        <v>168</v>
      </c>
      <c r="E403" t="s">
        <v>169</v>
      </c>
      <c r="F403" s="3" t="s">
        <v>170</v>
      </c>
      <c r="H403" s="3" t="s">
        <v>177</v>
      </c>
      <c r="I403" s="82">
        <v>44381</v>
      </c>
      <c r="J403" s="16" t="s">
        <v>142</v>
      </c>
      <c r="K403" s="16" t="s">
        <v>235</v>
      </c>
      <c r="L403" s="17"/>
      <c r="M403" s="17"/>
      <c r="N403" s="17">
        <v>287.58999999999997</v>
      </c>
      <c r="O403" s="17">
        <v>191.54</v>
      </c>
      <c r="P403" s="17">
        <v>196.48</v>
      </c>
      <c r="Q403" s="17">
        <v>37.46</v>
      </c>
      <c r="R403" s="17">
        <v>30.37</v>
      </c>
      <c r="S403" s="17">
        <v>27.41</v>
      </c>
      <c r="T403" s="17">
        <v>101.86</v>
      </c>
      <c r="U403" s="50">
        <v>75.86</v>
      </c>
      <c r="V403" s="50">
        <v>53.22</v>
      </c>
      <c r="W403" s="50">
        <v>77.34</v>
      </c>
      <c r="X403" s="50">
        <v>96.31</v>
      </c>
      <c r="Y403" s="50">
        <v>43.36</v>
      </c>
      <c r="Z403" s="50">
        <v>101.33</v>
      </c>
      <c r="AA403" s="50">
        <v>86.4</v>
      </c>
      <c r="AB403" s="50">
        <v>80.66</v>
      </c>
      <c r="AC403" s="50">
        <v>7.41</v>
      </c>
      <c r="AD403" s="50">
        <v>53.03</v>
      </c>
      <c r="AE403" s="17">
        <v>28.21</v>
      </c>
      <c r="AF403" s="17">
        <v>39.4</v>
      </c>
      <c r="AG403" s="17">
        <v>34.979999999999997</v>
      </c>
      <c r="AH403" s="17">
        <v>34.97</v>
      </c>
      <c r="AI403" s="17">
        <v>1.119</v>
      </c>
      <c r="AJ403" s="17">
        <v>53.19</v>
      </c>
      <c r="AK403" s="17"/>
      <c r="AL403" s="17"/>
      <c r="AM403" s="17"/>
      <c r="AN403" s="17">
        <v>139</v>
      </c>
      <c r="AO403" s="17"/>
      <c r="AP403" s="17"/>
      <c r="AQ403" s="17"/>
      <c r="AR403" s="17"/>
      <c r="AS403" s="17"/>
      <c r="AT403" t="s">
        <v>146</v>
      </c>
    </row>
    <row r="404" spans="1:46" x14ac:dyDescent="0.2">
      <c r="A404" s="115">
        <v>402.99999999999869</v>
      </c>
      <c r="B404" s="3">
        <v>114</v>
      </c>
      <c r="C404" s="3">
        <v>21.402999999999999</v>
      </c>
      <c r="D404" s="126" t="s">
        <v>168</v>
      </c>
      <c r="E404" t="s">
        <v>232</v>
      </c>
      <c r="F404" s="3" t="s">
        <v>251</v>
      </c>
      <c r="H404" s="3" t="s">
        <v>275</v>
      </c>
      <c r="I404" s="82">
        <v>44387</v>
      </c>
      <c r="J404" s="16" t="s">
        <v>142</v>
      </c>
      <c r="K404" s="16" t="s">
        <v>235</v>
      </c>
      <c r="L404" s="17"/>
      <c r="M404" s="17"/>
      <c r="N404" s="17">
        <v>178.59</v>
      </c>
      <c r="O404" s="17">
        <v>146.44999999999999</v>
      </c>
      <c r="P404" s="17">
        <v>148.94</v>
      </c>
      <c r="Q404" s="17">
        <v>31.63</v>
      </c>
      <c r="R404" s="17">
        <v>11.14</v>
      </c>
      <c r="S404" s="17">
        <v>101.51</v>
      </c>
      <c r="T404" s="17">
        <v>86.76</v>
      </c>
      <c r="U404" s="50">
        <v>65.73</v>
      </c>
      <c r="V404" s="50">
        <v>47.07</v>
      </c>
      <c r="W404" s="50">
        <v>66.680000000000007</v>
      </c>
      <c r="X404" s="50">
        <v>82.83</v>
      </c>
      <c r="Y404" s="50">
        <v>34.130000000000003</v>
      </c>
      <c r="Z404" s="50">
        <v>90.36</v>
      </c>
      <c r="AA404" s="50">
        <v>73.680000000000007</v>
      </c>
      <c r="AB404" s="50">
        <v>65.36</v>
      </c>
      <c r="AC404" s="50">
        <v>16.489999999999998</v>
      </c>
      <c r="AD404" s="50">
        <v>46.27</v>
      </c>
      <c r="AE404" s="17">
        <v>25.2</v>
      </c>
      <c r="AF404" s="17">
        <v>20.95</v>
      </c>
      <c r="AG404" s="17">
        <v>25.56</v>
      </c>
      <c r="AH404" s="17">
        <v>24.24</v>
      </c>
      <c r="AI404" s="17">
        <v>1.286</v>
      </c>
      <c r="AJ404" s="17">
        <v>32.24</v>
      </c>
      <c r="AK404" s="17"/>
      <c r="AL404" s="17">
        <v>20.5</v>
      </c>
      <c r="AM404" s="17">
        <v>36</v>
      </c>
      <c r="AN404" s="17">
        <v>10</v>
      </c>
      <c r="AO404" s="17"/>
      <c r="AP404" s="17"/>
      <c r="AQ404" s="17"/>
      <c r="AR404" s="17"/>
      <c r="AS404" s="17"/>
      <c r="AT404" t="s">
        <v>146</v>
      </c>
    </row>
    <row r="405" spans="1:46" x14ac:dyDescent="0.2">
      <c r="A405" s="115">
        <v>403.99999999999989</v>
      </c>
      <c r="B405" s="3">
        <v>115</v>
      </c>
      <c r="C405" s="3">
        <v>21.404</v>
      </c>
      <c r="D405" s="126" t="s">
        <v>168</v>
      </c>
      <c r="E405" t="s">
        <v>232</v>
      </c>
      <c r="F405" s="3" t="s">
        <v>251</v>
      </c>
      <c r="H405" s="3" t="s">
        <v>275</v>
      </c>
      <c r="I405" s="82">
        <v>44387</v>
      </c>
      <c r="J405" s="16" t="s">
        <v>142</v>
      </c>
      <c r="K405" s="16" t="s">
        <v>235</v>
      </c>
      <c r="L405" s="17"/>
      <c r="M405" s="17"/>
      <c r="N405" s="17">
        <v>196.85</v>
      </c>
      <c r="O405" s="17">
        <v>158.33000000000001</v>
      </c>
      <c r="P405" s="17">
        <v>162.43</v>
      </c>
      <c r="Q405" s="17">
        <v>38.07</v>
      </c>
      <c r="R405" s="17">
        <v>14.85</v>
      </c>
      <c r="S405" s="17">
        <v>107.64</v>
      </c>
      <c r="T405" s="17">
        <v>86.83</v>
      </c>
      <c r="U405" s="50">
        <v>66.45</v>
      </c>
      <c r="V405" s="50">
        <v>46.49</v>
      </c>
      <c r="W405" s="50">
        <v>69.09</v>
      </c>
      <c r="X405" s="50">
        <v>81.599999999999994</v>
      </c>
      <c r="Y405" s="50">
        <v>35.770000000000003</v>
      </c>
      <c r="Z405" s="50">
        <v>87.71</v>
      </c>
      <c r="AA405" s="50">
        <v>74.819999999999993</v>
      </c>
      <c r="AB405" s="50">
        <v>67.290000000000006</v>
      </c>
      <c r="AC405" s="50">
        <v>3.02</v>
      </c>
      <c r="AD405" s="50">
        <v>49.16</v>
      </c>
      <c r="AE405" s="17">
        <v>23.34</v>
      </c>
      <c r="AF405" s="17">
        <v>28.94</v>
      </c>
      <c r="AG405" s="17">
        <v>28.95</v>
      </c>
      <c r="AH405" s="17">
        <v>31.8</v>
      </c>
      <c r="AI405" s="17">
        <v>1.4259999999999999</v>
      </c>
      <c r="AJ405" s="17">
        <v>31.43</v>
      </c>
      <c r="AK405" s="17"/>
      <c r="AL405" s="17">
        <v>32</v>
      </c>
      <c r="AM405" s="17">
        <v>43</v>
      </c>
      <c r="AN405" s="17"/>
      <c r="AO405" s="17"/>
      <c r="AP405" s="17"/>
      <c r="AQ405" s="17"/>
      <c r="AR405" s="17"/>
      <c r="AS405" s="17"/>
      <c r="AT405" t="s">
        <v>146</v>
      </c>
    </row>
    <row r="406" spans="1:46" x14ac:dyDescent="0.2">
      <c r="A406" s="115">
        <v>405.00000000000114</v>
      </c>
      <c r="B406" s="3">
        <v>144</v>
      </c>
      <c r="C406" s="4">
        <v>21.405000000000001</v>
      </c>
      <c r="D406" s="126" t="s">
        <v>168</v>
      </c>
      <c r="E406" t="s">
        <v>169</v>
      </c>
      <c r="F406" s="3" t="s">
        <v>170</v>
      </c>
      <c r="H406" s="3" t="s">
        <v>177</v>
      </c>
      <c r="I406" s="82">
        <v>44381</v>
      </c>
      <c r="J406" s="16" t="s">
        <v>142</v>
      </c>
      <c r="K406" s="16" t="s">
        <v>235</v>
      </c>
      <c r="L406" s="17"/>
      <c r="M406" s="17"/>
      <c r="N406" s="17">
        <v>275.58</v>
      </c>
      <c r="O406" s="17">
        <v>189.31</v>
      </c>
      <c r="P406" s="17">
        <v>194.18</v>
      </c>
      <c r="Q406" s="17">
        <v>36.36</v>
      </c>
      <c r="R406" s="17">
        <v>30.77</v>
      </c>
      <c r="S406" s="17">
        <v>129.56</v>
      </c>
      <c r="T406" s="17">
        <v>102.78</v>
      </c>
      <c r="U406" s="50">
        <v>73.38</v>
      </c>
      <c r="V406" s="50">
        <v>53.32</v>
      </c>
      <c r="W406" s="50">
        <v>74.61</v>
      </c>
      <c r="X406" s="50">
        <v>97.14</v>
      </c>
      <c r="Y406" s="50">
        <v>45.46</v>
      </c>
      <c r="Z406" s="50">
        <v>102.85</v>
      </c>
      <c r="AA406" s="50">
        <v>87.33</v>
      </c>
      <c r="AB406" s="50">
        <v>79.59</v>
      </c>
      <c r="AC406" s="50">
        <v>9.68</v>
      </c>
      <c r="AD406" s="50">
        <v>49.62</v>
      </c>
      <c r="AE406" s="17">
        <v>25.61</v>
      </c>
      <c r="AF406" s="17">
        <v>34.81</v>
      </c>
      <c r="AG406" s="17">
        <v>34.81</v>
      </c>
      <c r="AH406" s="17">
        <v>37.36</v>
      </c>
      <c r="AI406" s="17">
        <v>1.0429999999999999</v>
      </c>
      <c r="AJ406" s="17">
        <v>56.42</v>
      </c>
      <c r="AK406" s="17"/>
      <c r="AL406" s="17"/>
      <c r="AM406" s="17">
        <v>33</v>
      </c>
      <c r="AN406" s="17">
        <v>95</v>
      </c>
      <c r="AO406" s="17"/>
      <c r="AP406" s="17"/>
      <c r="AQ406" s="17"/>
      <c r="AR406" s="17"/>
      <c r="AS406" s="17"/>
      <c r="AT406" t="s">
        <v>146</v>
      </c>
    </row>
    <row r="407" spans="1:46" x14ac:dyDescent="0.2">
      <c r="A407" s="115">
        <v>405.99999999999881</v>
      </c>
      <c r="B407" s="3">
        <v>145</v>
      </c>
      <c r="C407" s="3">
        <v>21.405999999999999</v>
      </c>
      <c r="D407" s="126" t="s">
        <v>168</v>
      </c>
      <c r="E407" t="s">
        <v>169</v>
      </c>
      <c r="F407" s="3" t="s">
        <v>170</v>
      </c>
      <c r="H407" s="3" t="s">
        <v>177</v>
      </c>
      <c r="I407" s="82">
        <v>44381</v>
      </c>
      <c r="J407" s="16" t="s">
        <v>142</v>
      </c>
      <c r="K407" s="16" t="s">
        <v>235</v>
      </c>
      <c r="L407" s="17"/>
      <c r="M407" s="17"/>
      <c r="N407" s="17">
        <v>290.14</v>
      </c>
      <c r="O407" s="17">
        <v>187.9</v>
      </c>
      <c r="P407" s="17">
        <v>194.12</v>
      </c>
      <c r="Q407" s="17">
        <v>34.729999999999997</v>
      </c>
      <c r="R407" s="17">
        <v>26.41</v>
      </c>
      <c r="S407" s="17">
        <v>129.66999999999999</v>
      </c>
      <c r="T407" s="17">
        <v>103.52</v>
      </c>
      <c r="U407" s="50">
        <v>72.45</v>
      </c>
      <c r="V407" s="50">
        <v>52.31</v>
      </c>
      <c r="W407" s="50">
        <v>76.849999999999994</v>
      </c>
      <c r="X407" s="50">
        <v>95.49</v>
      </c>
      <c r="Y407" s="50">
        <v>41.3</v>
      </c>
      <c r="Z407" s="50">
        <v>100.71</v>
      </c>
      <c r="AA407" s="50">
        <v>85.06</v>
      </c>
      <c r="AB407" s="50">
        <v>78.03</v>
      </c>
      <c r="AC407" s="50">
        <v>9.4600000000000009</v>
      </c>
      <c r="AD407" s="50">
        <v>54.69</v>
      </c>
      <c r="AE407" s="17">
        <v>32.33</v>
      </c>
      <c r="AF407" s="17">
        <v>36.54</v>
      </c>
      <c r="AG407" s="17">
        <v>34.42</v>
      </c>
      <c r="AH407" s="17">
        <v>34.409999999999997</v>
      </c>
      <c r="AI407" s="17">
        <v>1.0269999999999999</v>
      </c>
      <c r="AJ407" s="17">
        <v>54.32</v>
      </c>
      <c r="AK407" s="17"/>
      <c r="AL407" s="17"/>
      <c r="AM407" s="17"/>
      <c r="AN407" s="17">
        <v>147</v>
      </c>
      <c r="AO407" s="17"/>
      <c r="AP407" s="17"/>
      <c r="AQ407" s="17"/>
      <c r="AR407" s="17"/>
      <c r="AS407" s="17"/>
      <c r="AT407" t="s">
        <v>146</v>
      </c>
    </row>
    <row r="408" spans="1:46" x14ac:dyDescent="0.2">
      <c r="A408" s="115">
        <v>407</v>
      </c>
      <c r="B408" s="3">
        <v>146</v>
      </c>
      <c r="C408" s="3">
        <v>21.407</v>
      </c>
      <c r="D408" s="126" t="s">
        <v>168</v>
      </c>
      <c r="E408" t="s">
        <v>169</v>
      </c>
      <c r="F408" s="3" t="s">
        <v>170</v>
      </c>
      <c r="H408" s="3" t="s">
        <v>177</v>
      </c>
      <c r="I408" s="82">
        <v>44381</v>
      </c>
      <c r="J408" s="16" t="s">
        <v>142</v>
      </c>
      <c r="K408" s="16" t="s">
        <v>235</v>
      </c>
      <c r="L408" s="17"/>
      <c r="M408" s="17"/>
      <c r="N408" s="17">
        <v>299.89999999999998</v>
      </c>
      <c r="O408" s="17">
        <v>201.61</v>
      </c>
      <c r="P408" s="17">
        <v>206.22</v>
      </c>
      <c r="Q408" s="17">
        <v>36.92</v>
      </c>
      <c r="R408" s="17">
        <v>35.979999999999997</v>
      </c>
      <c r="S408" s="17">
        <v>130.1</v>
      </c>
      <c r="T408" s="17">
        <v>105.7</v>
      </c>
      <c r="U408" s="50">
        <v>77.8</v>
      </c>
      <c r="V408" s="50">
        <v>51.7</v>
      </c>
      <c r="W408" s="50">
        <v>79.64</v>
      </c>
      <c r="X408" s="50">
        <v>100.98</v>
      </c>
      <c r="Y408" s="50">
        <v>40.68</v>
      </c>
      <c r="Z408" s="50">
        <v>104.39</v>
      </c>
      <c r="AA408" s="50">
        <v>89.37</v>
      </c>
      <c r="AB408" s="50">
        <v>85.67</v>
      </c>
      <c r="AC408" s="50">
        <v>8.9600000000000009</v>
      </c>
      <c r="AD408" s="50">
        <v>53.63</v>
      </c>
      <c r="AE408" s="17">
        <v>30.29</v>
      </c>
      <c r="AF408" s="17">
        <v>35.75</v>
      </c>
      <c r="AG408" s="17">
        <v>37.44</v>
      </c>
      <c r="AH408" s="17">
        <v>36.049999999999997</v>
      </c>
      <c r="AI408" s="17">
        <v>1.1850000000000001</v>
      </c>
      <c r="AJ408" s="17">
        <v>58.11</v>
      </c>
      <c r="AK408" s="17"/>
      <c r="AL408" s="17"/>
      <c r="AM408" s="17">
        <v>96</v>
      </c>
      <c r="AN408" s="17">
        <v>52</v>
      </c>
      <c r="AO408" s="17"/>
      <c r="AP408" s="17"/>
      <c r="AQ408" s="17"/>
      <c r="AR408" s="17"/>
      <c r="AS408" s="17"/>
      <c r="AT408" t="s">
        <v>146</v>
      </c>
    </row>
    <row r="409" spans="1:46" x14ac:dyDescent="0.2">
      <c r="A409" s="115">
        <v>408.00000000000125</v>
      </c>
      <c r="B409" s="3">
        <v>134</v>
      </c>
      <c r="C409" s="3">
        <v>21.408000000000001</v>
      </c>
      <c r="D409" s="129" t="s">
        <v>140</v>
      </c>
      <c r="E409" t="s">
        <v>141</v>
      </c>
      <c r="F409" s="3" t="s">
        <v>60</v>
      </c>
      <c r="H409" s="3" t="s">
        <v>60</v>
      </c>
      <c r="I409" s="82">
        <v>44472</v>
      </c>
      <c r="J409" s="16" t="s">
        <v>142</v>
      </c>
      <c r="K409" s="16" t="s">
        <v>235</v>
      </c>
      <c r="L409" s="17"/>
      <c r="M409" s="17">
        <v>142.19999999999999</v>
      </c>
      <c r="N409" s="17">
        <v>143.72999999999999</v>
      </c>
      <c r="O409" s="17">
        <v>171.48</v>
      </c>
      <c r="P409" s="17">
        <v>165.24</v>
      </c>
      <c r="Q409" s="17">
        <v>26.63</v>
      </c>
      <c r="R409" s="17">
        <v>22.07</v>
      </c>
      <c r="S409" s="17">
        <v>122.81</v>
      </c>
      <c r="T409" s="17">
        <v>107.53</v>
      </c>
      <c r="U409" s="50">
        <v>62.03</v>
      </c>
      <c r="V409" s="50">
        <v>47.35</v>
      </c>
      <c r="W409" s="50">
        <v>70.3</v>
      </c>
      <c r="X409" s="50">
        <v>90.17</v>
      </c>
      <c r="Y409" s="50">
        <v>44.76</v>
      </c>
      <c r="Z409" s="50">
        <v>96.77</v>
      </c>
      <c r="AA409" s="50">
        <v>86.77</v>
      </c>
      <c r="AB409" s="50">
        <v>70.5</v>
      </c>
      <c r="AC409" s="50">
        <v>6.58</v>
      </c>
      <c r="AD409" s="50"/>
      <c r="AE409" s="17">
        <v>31.13</v>
      </c>
      <c r="AF409" s="17">
        <v>34.79</v>
      </c>
      <c r="AG409" s="17">
        <v>25.49</v>
      </c>
      <c r="AH409" s="17">
        <v>37.979999999999997</v>
      </c>
      <c r="AI409" s="17">
        <v>1.8109999999999999</v>
      </c>
      <c r="AJ409" s="17"/>
      <c r="AK409" s="17"/>
      <c r="AL409" s="17"/>
      <c r="AM409" s="17"/>
      <c r="AN409" s="17">
        <v>5.5</v>
      </c>
      <c r="AO409" s="17"/>
      <c r="AP409" s="17"/>
      <c r="AQ409" s="17"/>
      <c r="AR409" s="17"/>
      <c r="AS409" s="17"/>
      <c r="AT409" t="s">
        <v>146</v>
      </c>
    </row>
    <row r="410" spans="1:46" x14ac:dyDescent="0.2">
      <c r="A410" s="115">
        <v>408.99999999999892</v>
      </c>
      <c r="B410" s="3">
        <v>133</v>
      </c>
      <c r="C410" s="3">
        <v>21.408999999999999</v>
      </c>
      <c r="D410" s="129" t="s">
        <v>140</v>
      </c>
      <c r="E410" t="s">
        <v>141</v>
      </c>
      <c r="F410" s="3" t="s">
        <v>60</v>
      </c>
      <c r="H410" s="3" t="s">
        <v>60</v>
      </c>
      <c r="I410" s="82">
        <v>44471</v>
      </c>
      <c r="J410" s="16" t="s">
        <v>142</v>
      </c>
      <c r="K410" s="17" t="s">
        <v>203</v>
      </c>
      <c r="L410" s="17"/>
      <c r="M410" s="17">
        <v>141.80000000000001</v>
      </c>
      <c r="N410" s="17">
        <v>142.87</v>
      </c>
      <c r="O410" s="17">
        <v>158.97</v>
      </c>
      <c r="P410" s="17">
        <v>169.89</v>
      </c>
      <c r="Q410" s="17">
        <v>32.82</v>
      </c>
      <c r="R410" s="17">
        <v>20.11</v>
      </c>
      <c r="S410" s="17">
        <v>114.39</v>
      </c>
      <c r="T410" s="17">
        <v>100.14</v>
      </c>
      <c r="U410" s="50">
        <v>65.88</v>
      </c>
      <c r="V410" s="50">
        <v>47.42</v>
      </c>
      <c r="W410" s="50">
        <v>69.59</v>
      </c>
      <c r="X410" s="50">
        <v>91.69</v>
      </c>
      <c r="Y410" s="50">
        <v>40.340000000000003</v>
      </c>
      <c r="Z410" s="50">
        <v>99.43</v>
      </c>
      <c r="AA410" s="50">
        <v>84.39</v>
      </c>
      <c r="AB410" s="50">
        <v>75.48</v>
      </c>
      <c r="AC410" s="50">
        <v>6.81</v>
      </c>
      <c r="AD410" s="50"/>
      <c r="AE410" s="17">
        <v>22</v>
      </c>
      <c r="AF410" s="17">
        <v>39.61</v>
      </c>
      <c r="AG410" s="17">
        <v>29.81</v>
      </c>
      <c r="AH410" s="17">
        <v>36.99</v>
      </c>
      <c r="AI410" s="17">
        <v>1.456</v>
      </c>
      <c r="AJ410" s="17"/>
      <c r="AK410" s="17"/>
      <c r="AL410" s="17"/>
      <c r="AM410" s="17"/>
      <c r="AN410" s="17"/>
      <c r="AO410" s="17"/>
      <c r="AP410" s="17">
        <v>43.53</v>
      </c>
      <c r="AQ410" s="17">
        <v>27.73</v>
      </c>
      <c r="AR410" s="17"/>
      <c r="AS410" s="17"/>
      <c r="AT410" t="s">
        <v>146</v>
      </c>
    </row>
    <row r="411" spans="1:46" x14ac:dyDescent="0.2">
      <c r="A411" s="115">
        <v>410.00000000000011</v>
      </c>
      <c r="B411" s="3" t="s">
        <v>599</v>
      </c>
      <c r="C411" s="2" t="s">
        <v>600</v>
      </c>
      <c r="D411" s="129" t="s">
        <v>140</v>
      </c>
      <c r="E411" t="s">
        <v>141</v>
      </c>
      <c r="F411" s="3" t="s">
        <v>60</v>
      </c>
      <c r="H411" s="3" t="s">
        <v>60</v>
      </c>
      <c r="I411" s="82">
        <v>44431</v>
      </c>
      <c r="J411" s="16" t="s">
        <v>142</v>
      </c>
      <c r="K411" s="17" t="s">
        <v>203</v>
      </c>
      <c r="L411" s="17"/>
      <c r="M411" s="17">
        <v>212.6</v>
      </c>
      <c r="N411" s="17">
        <v>207.76</v>
      </c>
      <c r="O411" s="17">
        <v>158.85</v>
      </c>
      <c r="P411" s="17">
        <v>167.44</v>
      </c>
      <c r="Q411" s="17">
        <v>27.39</v>
      </c>
      <c r="R411" s="17">
        <v>23.79</v>
      </c>
      <c r="S411" s="17">
        <v>114.8</v>
      </c>
      <c r="T411" s="17">
        <v>94.17</v>
      </c>
      <c r="U411" s="50">
        <v>63.11</v>
      </c>
      <c r="V411" s="50">
        <v>45.47</v>
      </c>
      <c r="W411" s="50">
        <v>71.069999999999993</v>
      </c>
      <c r="X411" s="50">
        <v>86.53</v>
      </c>
      <c r="Y411" s="50">
        <v>37.19</v>
      </c>
      <c r="Z411" s="50">
        <v>89.57</v>
      </c>
      <c r="AA411" s="50">
        <v>73.459999999999994</v>
      </c>
      <c r="AB411" s="50">
        <v>69.540000000000006</v>
      </c>
      <c r="AC411" s="50">
        <v>11.81</v>
      </c>
      <c r="AD411" s="50">
        <v>48.8</v>
      </c>
      <c r="AE411" s="17">
        <v>26.08</v>
      </c>
      <c r="AF411" s="17">
        <v>33.39</v>
      </c>
      <c r="AG411" s="17">
        <v>32.54</v>
      </c>
      <c r="AH411" s="17">
        <v>32.75</v>
      </c>
      <c r="AI411" s="17">
        <v>1.891</v>
      </c>
      <c r="AJ411" s="17"/>
      <c r="AK411" s="17"/>
      <c r="AL411" s="17">
        <v>32</v>
      </c>
      <c r="AM411" s="17"/>
      <c r="AN411" s="17"/>
      <c r="AO411" s="17">
        <v>10.6</v>
      </c>
      <c r="AP411" s="17">
        <v>79.05</v>
      </c>
      <c r="AQ411" s="17">
        <v>36.58</v>
      </c>
      <c r="AR411" s="17">
        <v>46.57</v>
      </c>
      <c r="AS411" s="17">
        <v>19.314</v>
      </c>
      <c r="AT411" t="s">
        <v>146</v>
      </c>
    </row>
    <row r="412" spans="1:46" x14ac:dyDescent="0.2">
      <c r="A412" s="115">
        <v>411.00000000000136</v>
      </c>
      <c r="B412" s="3" t="s">
        <v>601</v>
      </c>
      <c r="C412" s="3">
        <v>21.411000000000001</v>
      </c>
      <c r="D412" s="129" t="s">
        <v>140</v>
      </c>
      <c r="E412" t="s">
        <v>141</v>
      </c>
      <c r="F412" s="3" t="s">
        <v>60</v>
      </c>
      <c r="G412"/>
      <c r="H412" s="3" t="s">
        <v>60</v>
      </c>
      <c r="I412" s="82">
        <v>44411</v>
      </c>
      <c r="J412" s="16" t="s">
        <v>142</v>
      </c>
      <c r="K412" s="17" t="s">
        <v>203</v>
      </c>
      <c r="L412" s="17"/>
      <c r="M412" s="17">
        <v>182.9</v>
      </c>
      <c r="N412" s="17">
        <v>177.07</v>
      </c>
      <c r="O412" s="17">
        <v>141.54</v>
      </c>
      <c r="P412" s="17">
        <v>147.22</v>
      </c>
      <c r="Q412" s="17">
        <v>30.34</v>
      </c>
      <c r="R412" s="17">
        <v>13.69</v>
      </c>
      <c r="S412" s="17">
        <v>103.48</v>
      </c>
      <c r="T412" s="17">
        <v>85.05</v>
      </c>
      <c r="U412" s="50">
        <v>71.069999999999993</v>
      </c>
      <c r="V412" s="50">
        <v>49.92</v>
      </c>
      <c r="W412" s="50">
        <v>71.08</v>
      </c>
      <c r="X412" s="50">
        <v>83.99</v>
      </c>
      <c r="Y412" s="50">
        <v>40.770000000000003</v>
      </c>
      <c r="Z412" s="50">
        <v>85.12</v>
      </c>
      <c r="AA412" s="50">
        <v>68.7</v>
      </c>
      <c r="AB412" s="50">
        <v>68.67</v>
      </c>
      <c r="AC412" s="50">
        <v>9.58</v>
      </c>
      <c r="AD412" s="50">
        <v>47.05</v>
      </c>
      <c r="AE412" s="17">
        <v>19.809999999999999</v>
      </c>
      <c r="AF412" s="17">
        <v>33.67</v>
      </c>
      <c r="AG412" s="17">
        <v>29.51</v>
      </c>
      <c r="AH412" s="17">
        <v>38.26</v>
      </c>
      <c r="AI412" s="17">
        <v>1.764</v>
      </c>
      <c r="AJ412" s="17"/>
      <c r="AK412" s="17"/>
      <c r="AL412" s="17">
        <v>29</v>
      </c>
      <c r="AM412" s="17"/>
      <c r="AN412" s="17"/>
      <c r="AO412" s="17">
        <v>14.91</v>
      </c>
      <c r="AP412" s="17">
        <v>60.92</v>
      </c>
      <c r="AQ412" s="17">
        <v>29.63</v>
      </c>
      <c r="AR412" s="17">
        <v>41.18</v>
      </c>
      <c r="AS412" s="17">
        <v>17.561</v>
      </c>
      <c r="AT412" t="s">
        <v>146</v>
      </c>
    </row>
    <row r="413" spans="1:46" x14ac:dyDescent="0.2">
      <c r="A413" s="115">
        <v>411.99999999999903</v>
      </c>
      <c r="B413" s="3" t="s">
        <v>602</v>
      </c>
      <c r="C413" s="3">
        <v>21.411999999999999</v>
      </c>
      <c r="D413" s="129" t="s">
        <v>140</v>
      </c>
      <c r="E413" t="s">
        <v>141</v>
      </c>
      <c r="F413" s="3" t="s">
        <v>60</v>
      </c>
      <c r="G413"/>
      <c r="H413" s="3" t="s">
        <v>60</v>
      </c>
      <c r="I413" s="82">
        <v>44438</v>
      </c>
      <c r="J413" s="16" t="s">
        <v>142</v>
      </c>
      <c r="K413" s="17" t="s">
        <v>203</v>
      </c>
      <c r="L413" s="17"/>
      <c r="M413" s="17">
        <v>230.7</v>
      </c>
      <c r="N413" s="54"/>
      <c r="O413" s="17">
        <v>149.57</v>
      </c>
      <c r="P413" s="17">
        <v>160.05000000000001</v>
      </c>
      <c r="Q413" s="17">
        <v>31.98</v>
      </c>
      <c r="R413" s="17">
        <v>11.11</v>
      </c>
      <c r="S413" s="17">
        <v>109.88</v>
      </c>
      <c r="T413" s="17">
        <v>90.47</v>
      </c>
      <c r="U413" s="50">
        <v>66.319999999999993</v>
      </c>
      <c r="V413" s="50">
        <v>50.56</v>
      </c>
      <c r="W413" s="50">
        <v>71.34</v>
      </c>
      <c r="X413" s="50">
        <v>86.06</v>
      </c>
      <c r="Y413" s="50">
        <v>37.520000000000003</v>
      </c>
      <c r="Z413" s="50">
        <v>91.45</v>
      </c>
      <c r="AA413" s="50">
        <v>76.84</v>
      </c>
      <c r="AB413" s="50">
        <v>71.7</v>
      </c>
      <c r="AC413" s="50">
        <v>8.6999999999999993</v>
      </c>
      <c r="AD413" s="50">
        <v>53.88</v>
      </c>
      <c r="AE413" s="17">
        <v>18.739999999999998</v>
      </c>
      <c r="AF413" s="17">
        <v>37.479999999999997</v>
      </c>
      <c r="AG413" s="17">
        <v>27.03</v>
      </c>
      <c r="AH413" s="17">
        <v>39.47</v>
      </c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t="s">
        <v>146</v>
      </c>
    </row>
    <row r="414" spans="1:46" x14ac:dyDescent="0.2">
      <c r="A414" s="115">
        <v>413.00000000000023</v>
      </c>
      <c r="B414" s="3">
        <v>118</v>
      </c>
      <c r="C414" s="3">
        <v>21.413</v>
      </c>
      <c r="D414" s="129" t="s">
        <v>140</v>
      </c>
      <c r="E414" t="s">
        <v>141</v>
      </c>
      <c r="F414" s="3" t="s">
        <v>60</v>
      </c>
      <c r="G414"/>
      <c r="H414" s="3" t="s">
        <v>60</v>
      </c>
      <c r="I414" s="82">
        <v>44437</v>
      </c>
      <c r="J414" s="16" t="s">
        <v>142</v>
      </c>
      <c r="K414" s="17" t="s">
        <v>203</v>
      </c>
      <c r="L414" s="17"/>
      <c r="M414" s="17">
        <v>208.6</v>
      </c>
      <c r="N414" s="17">
        <v>202.3</v>
      </c>
      <c r="O414" s="17">
        <v>13.4</v>
      </c>
      <c r="P414" s="17">
        <v>169.64</v>
      </c>
      <c r="Q414" s="17">
        <v>32</v>
      </c>
      <c r="R414" s="17">
        <v>23.44</v>
      </c>
      <c r="S414" s="17">
        <v>111.52</v>
      </c>
      <c r="T414" s="17">
        <v>90.61</v>
      </c>
      <c r="U414" s="50">
        <v>62.15</v>
      </c>
      <c r="V414" s="50">
        <v>45.99</v>
      </c>
      <c r="W414" s="50">
        <v>68.48</v>
      </c>
      <c r="X414" s="50">
        <v>84.08</v>
      </c>
      <c r="Y414" s="50">
        <v>40.72</v>
      </c>
      <c r="Z414" s="50">
        <v>90.43</v>
      </c>
      <c r="AA414" s="50">
        <v>72.66</v>
      </c>
      <c r="AB414" s="50">
        <v>74.25</v>
      </c>
      <c r="AC414" s="50">
        <v>2.2400000000000002</v>
      </c>
      <c r="AD414" s="50">
        <v>48.38</v>
      </c>
      <c r="AE414" s="17">
        <v>24.4</v>
      </c>
      <c r="AF414" s="17">
        <v>39.700000000000003</v>
      </c>
      <c r="AG414" s="17">
        <v>33.31</v>
      </c>
      <c r="AH414" s="17">
        <v>37.5</v>
      </c>
      <c r="AI414" s="17">
        <v>1.752</v>
      </c>
      <c r="AJ414" s="17"/>
      <c r="AK414" s="17"/>
      <c r="AL414" s="17">
        <v>39</v>
      </c>
      <c r="AM414" s="17"/>
      <c r="AN414" s="17"/>
      <c r="AO414" s="17">
        <f>82.02-AP414</f>
        <v>15.439999999999998</v>
      </c>
      <c r="AP414" s="17">
        <v>66.58</v>
      </c>
      <c r="AQ414" s="17">
        <v>32.200000000000003</v>
      </c>
      <c r="AR414" s="17">
        <v>47.35</v>
      </c>
      <c r="AS414" s="17">
        <v>19.516999999999999</v>
      </c>
      <c r="AT414" t="s">
        <v>146</v>
      </c>
    </row>
    <row r="415" spans="1:46" x14ac:dyDescent="0.2">
      <c r="A415" s="115">
        <v>414.00000000000148</v>
      </c>
      <c r="B415" s="3">
        <v>121</v>
      </c>
      <c r="C415" s="3">
        <v>21.414000000000001</v>
      </c>
      <c r="D415" s="126" t="s">
        <v>168</v>
      </c>
      <c r="E415" t="s">
        <v>232</v>
      </c>
      <c r="F415" s="3" t="s">
        <v>251</v>
      </c>
      <c r="G415"/>
      <c r="H415" s="3" t="s">
        <v>275</v>
      </c>
      <c r="I415" s="127">
        <v>44418</v>
      </c>
      <c r="J415" s="16" t="s">
        <v>142</v>
      </c>
      <c r="K415" s="16" t="s">
        <v>235</v>
      </c>
      <c r="L415" s="17">
        <v>209</v>
      </c>
      <c r="M415" s="17"/>
      <c r="N415" s="17">
        <v>213.8</v>
      </c>
      <c r="O415" s="17">
        <v>169.15</v>
      </c>
      <c r="P415" s="17">
        <v>176.13</v>
      </c>
      <c r="Q415" s="17">
        <v>42.73</v>
      </c>
      <c r="R415" s="17">
        <v>12.36</v>
      </c>
      <c r="S415" s="17">
        <v>115.65</v>
      </c>
      <c r="T415" s="17">
        <v>94.77</v>
      </c>
      <c r="U415" s="50">
        <v>63.71</v>
      </c>
      <c r="V415" s="50">
        <v>46.06</v>
      </c>
      <c r="W415" s="133">
        <v>66.150000000000006</v>
      </c>
      <c r="X415" s="133">
        <v>83.72</v>
      </c>
      <c r="Y415" s="50">
        <v>33.49</v>
      </c>
      <c r="Z415" s="50">
        <v>89.35</v>
      </c>
      <c r="AA415" s="50">
        <v>74.12</v>
      </c>
      <c r="AB415" s="50">
        <v>69.23</v>
      </c>
      <c r="AC415" s="50">
        <v>4.75</v>
      </c>
      <c r="AD415" s="50">
        <v>50.82</v>
      </c>
      <c r="AE415" s="17">
        <v>23.71</v>
      </c>
      <c r="AF415" s="17">
        <v>35.6</v>
      </c>
      <c r="AG415" s="17">
        <v>33.29</v>
      </c>
      <c r="AH415" s="17">
        <v>33.590000000000003</v>
      </c>
      <c r="AI415" s="17">
        <v>1.3580000000000001</v>
      </c>
      <c r="AJ415" s="17">
        <v>31.85</v>
      </c>
      <c r="AK415" s="17"/>
      <c r="AL415" s="17"/>
      <c r="AM415" s="17"/>
      <c r="AN415" s="17">
        <v>98</v>
      </c>
      <c r="AO415" s="17"/>
      <c r="AP415" s="17"/>
      <c r="AQ415" s="17"/>
      <c r="AR415" s="17"/>
      <c r="AS415" s="17"/>
      <c r="AT415" t="s">
        <v>146</v>
      </c>
    </row>
    <row r="416" spans="1:46" x14ac:dyDescent="0.2">
      <c r="A416" s="115">
        <v>414.99999999999915</v>
      </c>
      <c r="B416" s="3">
        <v>163</v>
      </c>
      <c r="C416" s="3">
        <v>21.414999999999999</v>
      </c>
      <c r="D416" s="126" t="s">
        <v>168</v>
      </c>
      <c r="E416" t="s">
        <v>169</v>
      </c>
      <c r="F416" s="3" t="s">
        <v>170</v>
      </c>
      <c r="G416" s="3" t="s">
        <v>30</v>
      </c>
      <c r="H416"/>
      <c r="I416" s="127">
        <v>44418</v>
      </c>
      <c r="J416" s="16" t="s">
        <v>142</v>
      </c>
      <c r="K416" s="16" t="s">
        <v>235</v>
      </c>
      <c r="L416" s="17">
        <v>307</v>
      </c>
      <c r="M416" s="17">
        <v>310</v>
      </c>
      <c r="N416" s="17">
        <v>308.31</v>
      </c>
      <c r="O416" s="17">
        <v>187.39</v>
      </c>
      <c r="P416" s="17">
        <v>190.51</v>
      </c>
      <c r="Q416" s="17">
        <v>35.72</v>
      </c>
      <c r="R416" s="17">
        <v>23.93</v>
      </c>
      <c r="S416" s="17">
        <v>128.83000000000001</v>
      </c>
      <c r="T416" s="17">
        <v>103.86</v>
      </c>
      <c r="U416" s="50">
        <v>78.430000000000007</v>
      </c>
      <c r="V416" s="50">
        <v>52.87</v>
      </c>
      <c r="W416" s="133">
        <v>79.180000000000007</v>
      </c>
      <c r="X416" s="133">
        <v>98.28</v>
      </c>
      <c r="Y416" s="50">
        <v>43.81</v>
      </c>
      <c r="Z416" s="50">
        <v>105.92</v>
      </c>
      <c r="AA416" s="50">
        <v>89.17</v>
      </c>
      <c r="AB416" s="50">
        <v>86.73</v>
      </c>
      <c r="AC416" s="50">
        <v>2.66</v>
      </c>
      <c r="AD416" s="50">
        <v>54</v>
      </c>
      <c r="AE416" s="17">
        <v>26.47</v>
      </c>
      <c r="AF416" s="17">
        <v>39.380000000000003</v>
      </c>
      <c r="AG416" s="17">
        <v>30.86</v>
      </c>
      <c r="AH416" s="17">
        <v>41.27</v>
      </c>
      <c r="AI416" s="17">
        <v>1.1639999999999999</v>
      </c>
      <c r="AJ416" s="17">
        <v>65.36</v>
      </c>
      <c r="AK416" s="17"/>
      <c r="AL416" s="17"/>
      <c r="AM416" s="17">
        <v>35</v>
      </c>
      <c r="AN416" s="17"/>
      <c r="AO416" s="17"/>
      <c r="AP416" s="17"/>
      <c r="AQ416" s="17">
        <v>30</v>
      </c>
      <c r="AR416" s="17"/>
      <c r="AS416" s="17"/>
      <c r="AT416" t="s">
        <v>146</v>
      </c>
    </row>
    <row r="417" spans="1:47" x14ac:dyDescent="0.2">
      <c r="A417" s="115">
        <v>416.00000000000034</v>
      </c>
      <c r="B417" s="3">
        <v>125</v>
      </c>
      <c r="C417" s="3">
        <v>21.416</v>
      </c>
      <c r="D417" s="126" t="s">
        <v>168</v>
      </c>
      <c r="E417" t="s">
        <v>232</v>
      </c>
      <c r="F417" s="3" t="s">
        <v>251</v>
      </c>
      <c r="G417"/>
      <c r="H417" s="3" t="s">
        <v>275</v>
      </c>
      <c r="I417" s="127">
        <v>44418</v>
      </c>
      <c r="J417" s="16" t="s">
        <v>142</v>
      </c>
      <c r="K417" s="16" t="s">
        <v>235</v>
      </c>
      <c r="L417" s="17">
        <v>198</v>
      </c>
      <c r="M417" s="17"/>
      <c r="N417" s="17">
        <v>202.83</v>
      </c>
      <c r="O417" s="17">
        <v>157.54</v>
      </c>
      <c r="P417" s="17">
        <v>167.31</v>
      </c>
      <c r="Q417" s="17">
        <v>40.04</v>
      </c>
      <c r="R417" s="17">
        <v>11.09</v>
      </c>
      <c r="S417" s="17">
        <v>110.63</v>
      </c>
      <c r="T417" s="17">
        <v>88.36</v>
      </c>
      <c r="U417" s="50">
        <v>62.48</v>
      </c>
      <c r="V417" s="50">
        <v>47.01</v>
      </c>
      <c r="W417" s="133">
        <v>64.56</v>
      </c>
      <c r="X417" s="133">
        <v>79.06</v>
      </c>
      <c r="Y417" s="50">
        <v>35.19</v>
      </c>
      <c r="Z417" s="50">
        <v>87.55</v>
      </c>
      <c r="AA417" s="50">
        <v>74.45</v>
      </c>
      <c r="AB417" s="50">
        <v>66.510000000000005</v>
      </c>
      <c r="AC417" s="50">
        <v>1.33</v>
      </c>
      <c r="AD417" s="50">
        <v>51.15</v>
      </c>
      <c r="AE417" s="17">
        <v>23.03</v>
      </c>
      <c r="AF417" s="17">
        <v>34.25</v>
      </c>
      <c r="AG417" s="17">
        <v>32.68</v>
      </c>
      <c r="AH417" s="17">
        <v>34.880000000000003</v>
      </c>
      <c r="AI417" s="17">
        <v>1.2769999999999999</v>
      </c>
      <c r="AJ417" s="17">
        <v>32.229999999999997</v>
      </c>
      <c r="AK417" s="17"/>
      <c r="AL417" s="17"/>
      <c r="AM417" s="17"/>
      <c r="AN417" s="17">
        <v>95</v>
      </c>
      <c r="AO417" s="17"/>
      <c r="AP417" s="17"/>
      <c r="AQ417" s="17"/>
      <c r="AR417" s="17"/>
      <c r="AS417" s="17"/>
      <c r="AT417" t="s">
        <v>146</v>
      </c>
    </row>
    <row r="418" spans="1:47" x14ac:dyDescent="0.2">
      <c r="A418" s="115">
        <v>417.00000000000159</v>
      </c>
      <c r="B418" s="3">
        <v>124</v>
      </c>
      <c r="C418" s="3">
        <v>21.417000000000002</v>
      </c>
      <c r="D418" s="126" t="s">
        <v>168</v>
      </c>
      <c r="E418" t="s">
        <v>232</v>
      </c>
      <c r="F418" s="3" t="s">
        <v>251</v>
      </c>
      <c r="G418"/>
      <c r="H418" s="3" t="s">
        <v>275</v>
      </c>
      <c r="I418" s="127">
        <v>44418</v>
      </c>
      <c r="J418" s="16" t="s">
        <v>142</v>
      </c>
      <c r="K418" s="16" t="s">
        <v>235</v>
      </c>
      <c r="L418" s="17">
        <v>199</v>
      </c>
      <c r="M418" s="17"/>
      <c r="N418" s="17">
        <v>202.43</v>
      </c>
      <c r="O418" s="17">
        <v>166.43</v>
      </c>
      <c r="P418" s="17">
        <v>169.22</v>
      </c>
      <c r="Q418" s="17">
        <v>42.74</v>
      </c>
      <c r="R418" s="17">
        <v>13.98</v>
      </c>
      <c r="S418" s="17">
        <v>112.67</v>
      </c>
      <c r="T418" s="17">
        <v>92.9</v>
      </c>
      <c r="U418" s="50">
        <v>62.33</v>
      </c>
      <c r="V418" s="50">
        <v>45.8</v>
      </c>
      <c r="W418" s="133">
        <v>62.91</v>
      </c>
      <c r="X418" s="133">
        <v>82.93</v>
      </c>
      <c r="Y418" s="50">
        <v>37.39</v>
      </c>
      <c r="Z418" s="50">
        <v>91.14</v>
      </c>
      <c r="AA418" s="50">
        <v>77.180000000000007</v>
      </c>
      <c r="AB418" s="50">
        <v>67.12</v>
      </c>
      <c r="AC418" s="50">
        <v>5.61</v>
      </c>
      <c r="AD418" s="50">
        <v>49.13</v>
      </c>
      <c r="AE418" s="17">
        <v>26.6</v>
      </c>
      <c r="AF418" s="17">
        <v>32.44</v>
      </c>
      <c r="AG418" s="17">
        <v>26.32</v>
      </c>
      <c r="AH418" s="17">
        <v>32.75</v>
      </c>
      <c r="AI418" s="17">
        <v>1.214</v>
      </c>
      <c r="AJ418" s="17">
        <v>31.62</v>
      </c>
      <c r="AK418" s="17"/>
      <c r="AL418" s="17"/>
      <c r="AM418" s="17">
        <v>29</v>
      </c>
      <c r="AN418" s="17">
        <v>72</v>
      </c>
      <c r="AO418" s="17"/>
      <c r="AP418" s="17"/>
      <c r="AQ418" s="17"/>
      <c r="AR418" s="17"/>
      <c r="AS418" s="17"/>
      <c r="AT418" t="s">
        <v>146</v>
      </c>
    </row>
    <row r="419" spans="1:47" x14ac:dyDescent="0.2">
      <c r="A419" s="115">
        <v>417.99999999999926</v>
      </c>
      <c r="B419" s="3">
        <v>77</v>
      </c>
      <c r="C419" s="3">
        <v>21.417999999999999</v>
      </c>
      <c r="D419" s="126" t="s">
        <v>168</v>
      </c>
      <c r="E419" t="s">
        <v>232</v>
      </c>
      <c r="F419" s="3" t="s">
        <v>251</v>
      </c>
      <c r="G419"/>
      <c r="H419" s="14" t="s">
        <v>275</v>
      </c>
      <c r="I419" s="127">
        <v>44419</v>
      </c>
      <c r="J419" s="16" t="s">
        <v>142</v>
      </c>
      <c r="K419" s="16" t="s">
        <v>235</v>
      </c>
      <c r="L419" s="17">
        <v>199</v>
      </c>
      <c r="M419" s="17"/>
      <c r="N419" s="17">
        <v>201.9</v>
      </c>
      <c r="O419" s="17">
        <v>157.86000000000001</v>
      </c>
      <c r="P419" s="17">
        <v>168.16</v>
      </c>
      <c r="Q419" s="17">
        <v>42.12</v>
      </c>
      <c r="R419" s="17">
        <v>7.81</v>
      </c>
      <c r="S419" s="17">
        <v>109.77</v>
      </c>
      <c r="T419" s="17">
        <v>91.35</v>
      </c>
      <c r="U419" s="50">
        <v>60.36</v>
      </c>
      <c r="V419" s="50">
        <v>44.86</v>
      </c>
      <c r="W419" s="133">
        <v>65.349999999999994</v>
      </c>
      <c r="X419" s="133">
        <v>80.790000000000006</v>
      </c>
      <c r="Y419" s="50">
        <v>38.04</v>
      </c>
      <c r="Z419" s="50">
        <v>91.04</v>
      </c>
      <c r="AA419" s="50">
        <v>73.88</v>
      </c>
      <c r="AB419" s="50">
        <v>65.53</v>
      </c>
      <c r="AC419" s="50">
        <v>1.99</v>
      </c>
      <c r="AD419" s="50">
        <v>48.52</v>
      </c>
      <c r="AE419" s="17">
        <v>19.11</v>
      </c>
      <c r="AF419" s="17">
        <v>26.66</v>
      </c>
      <c r="AG419" s="17">
        <v>20.57</v>
      </c>
      <c r="AH419" s="17">
        <v>32.31</v>
      </c>
      <c r="AI419" s="17">
        <v>1.3169999999999999</v>
      </c>
      <c r="AJ419" s="17">
        <v>33.630000000000003</v>
      </c>
      <c r="AK419" s="17"/>
      <c r="AL419" s="17"/>
      <c r="AM419" s="17">
        <v>53</v>
      </c>
      <c r="AN419" s="17">
        <v>39</v>
      </c>
      <c r="AO419" s="17"/>
      <c r="AP419" s="17"/>
      <c r="AQ419" s="17"/>
      <c r="AR419" s="17"/>
      <c r="AS419" s="17"/>
      <c r="AT419" t="s">
        <v>146</v>
      </c>
    </row>
    <row r="420" spans="1:47" x14ac:dyDescent="0.2">
      <c r="A420" s="115">
        <v>419.00000000000045</v>
      </c>
      <c r="B420" s="3">
        <v>126</v>
      </c>
      <c r="C420" s="3">
        <v>21.419</v>
      </c>
      <c r="D420" s="126" t="s">
        <v>168</v>
      </c>
      <c r="E420" t="s">
        <v>232</v>
      </c>
      <c r="F420" s="3" t="s">
        <v>251</v>
      </c>
      <c r="G420"/>
      <c r="H420" s="3" t="s">
        <v>275</v>
      </c>
      <c r="I420" s="127">
        <v>44419</v>
      </c>
      <c r="J420" s="16" t="s">
        <v>142</v>
      </c>
      <c r="K420" s="16" t="s">
        <v>235</v>
      </c>
      <c r="L420" s="17">
        <v>200</v>
      </c>
      <c r="M420" s="17"/>
      <c r="N420" s="17">
        <v>203.97</v>
      </c>
      <c r="O420" s="17">
        <v>164.46</v>
      </c>
      <c r="P420" s="17">
        <v>175.01</v>
      </c>
      <c r="Q420" s="17">
        <v>45.51</v>
      </c>
      <c r="R420" s="17">
        <v>13.02</v>
      </c>
      <c r="S420" s="17">
        <v>110.25</v>
      </c>
      <c r="T420" s="17">
        <v>93.06</v>
      </c>
      <c r="U420" s="50">
        <v>60.63</v>
      </c>
      <c r="V420" s="50">
        <v>46.16</v>
      </c>
      <c r="W420" s="133">
        <v>63.87</v>
      </c>
      <c r="X420" s="133">
        <v>81.73</v>
      </c>
      <c r="Y420" s="50">
        <v>38.01</v>
      </c>
      <c r="Z420" s="50">
        <v>91.26</v>
      </c>
      <c r="AA420" s="50">
        <v>79.510000000000005</v>
      </c>
      <c r="AB420" s="50">
        <v>71.66</v>
      </c>
      <c r="AC420" s="50">
        <v>7.65</v>
      </c>
      <c r="AD420" s="50">
        <v>49.07</v>
      </c>
      <c r="AE420" s="17">
        <v>23.73</v>
      </c>
      <c r="AF420" s="17">
        <v>33.409999999999997</v>
      </c>
      <c r="AG420" s="17">
        <v>30.12</v>
      </c>
      <c r="AH420" s="17">
        <v>33.71</v>
      </c>
      <c r="AI420" s="17">
        <v>1.2529999999999999</v>
      </c>
      <c r="AJ420" s="17">
        <v>34.72</v>
      </c>
      <c r="AK420" s="17"/>
      <c r="AL420" s="17"/>
      <c r="AM420" s="17"/>
      <c r="AN420" s="17">
        <v>95</v>
      </c>
      <c r="AO420" s="17"/>
      <c r="AP420" s="17"/>
      <c r="AQ420" s="17"/>
      <c r="AR420" s="17"/>
      <c r="AS420" s="17"/>
      <c r="AT420" t="s">
        <v>146</v>
      </c>
    </row>
    <row r="421" spans="1:47" x14ac:dyDescent="0.2">
      <c r="A421" s="115">
        <v>420.00000000000171</v>
      </c>
      <c r="B421" s="3">
        <v>89</v>
      </c>
      <c r="C421" s="2" t="s">
        <v>11</v>
      </c>
      <c r="D421" s="126" t="s">
        <v>168</v>
      </c>
      <c r="E421" t="s">
        <v>169</v>
      </c>
      <c r="F421" s="3" t="s">
        <v>170</v>
      </c>
      <c r="G421" s="3" t="s">
        <v>30</v>
      </c>
      <c r="H421" s="14"/>
      <c r="I421" s="127">
        <v>44419</v>
      </c>
      <c r="J421" s="16" t="s">
        <v>142</v>
      </c>
      <c r="K421" s="16" t="s">
        <v>235</v>
      </c>
      <c r="L421" s="17">
        <v>299</v>
      </c>
      <c r="M421" s="17">
        <v>306</v>
      </c>
      <c r="N421" s="17">
        <v>308.37</v>
      </c>
      <c r="O421" s="17">
        <v>195.12</v>
      </c>
      <c r="P421" s="17">
        <v>205.16</v>
      </c>
      <c r="Q421" s="17">
        <v>37.71</v>
      </c>
      <c r="R421" s="17">
        <v>32.15</v>
      </c>
      <c r="S421" s="17">
        <v>131.30000000000001</v>
      </c>
      <c r="T421" s="17">
        <v>103.69</v>
      </c>
      <c r="U421" s="50">
        <v>76.34</v>
      </c>
      <c r="V421" s="50">
        <v>56.1</v>
      </c>
      <c r="W421" s="50">
        <v>78.03</v>
      </c>
      <c r="X421" s="50">
        <v>97.64</v>
      </c>
      <c r="Y421" s="50">
        <v>44.14</v>
      </c>
      <c r="Z421" s="50">
        <v>104.03</v>
      </c>
      <c r="AA421" s="50">
        <v>87.35</v>
      </c>
      <c r="AB421" s="50">
        <v>82.43</v>
      </c>
      <c r="AC421" s="50">
        <v>0.02</v>
      </c>
      <c r="AD421" s="50">
        <v>52.61</v>
      </c>
      <c r="AE421" s="17">
        <v>25.27</v>
      </c>
      <c r="AF421" s="17">
        <v>40.479999999999997</v>
      </c>
      <c r="AG421" s="17">
        <v>31.56</v>
      </c>
      <c r="AH421" s="17">
        <v>33.590000000000003</v>
      </c>
      <c r="AI421" s="130">
        <v>1.04</v>
      </c>
      <c r="AJ421" s="17">
        <v>56.51</v>
      </c>
      <c r="AK421" s="17"/>
      <c r="AL421" s="17"/>
      <c r="AM421" s="17"/>
      <c r="AN421" s="17">
        <v>113</v>
      </c>
      <c r="AO421" s="17"/>
      <c r="AP421" s="17"/>
      <c r="AQ421" s="17"/>
      <c r="AR421" s="17"/>
      <c r="AS421" s="17"/>
      <c r="AT421" t="s">
        <v>146</v>
      </c>
    </row>
    <row r="422" spans="1:47" x14ac:dyDescent="0.2">
      <c r="A422" s="115">
        <v>420.99999999999937</v>
      </c>
      <c r="B422" s="3">
        <v>90</v>
      </c>
      <c r="C422" s="3">
        <v>21.420999999999999</v>
      </c>
      <c r="D422" s="126" t="s">
        <v>168</v>
      </c>
      <c r="E422" t="s">
        <v>169</v>
      </c>
      <c r="F422" s="3" t="s">
        <v>170</v>
      </c>
      <c r="G422" s="3" t="s">
        <v>30</v>
      </c>
      <c r="H422" s="11"/>
      <c r="I422" s="127">
        <v>44423</v>
      </c>
      <c r="J422" s="16" t="s">
        <v>142</v>
      </c>
      <c r="K422" s="16" t="s">
        <v>235</v>
      </c>
      <c r="L422" s="17">
        <v>300</v>
      </c>
      <c r="M422" s="17">
        <v>298</v>
      </c>
      <c r="N422" s="17">
        <v>298.83</v>
      </c>
      <c r="O422" s="17">
        <v>198.62</v>
      </c>
      <c r="P422" s="17">
        <v>212.47</v>
      </c>
      <c r="Q422" s="17">
        <v>36.65</v>
      </c>
      <c r="R422" s="17">
        <v>36.26</v>
      </c>
      <c r="S422" s="17">
        <v>131.25</v>
      </c>
      <c r="T422" s="17">
        <v>103.84</v>
      </c>
      <c r="U422" s="50">
        <v>75.22</v>
      </c>
      <c r="V422" s="50">
        <v>54.28</v>
      </c>
      <c r="W422" s="50">
        <v>78.7</v>
      </c>
      <c r="X422" s="50">
        <v>96.29</v>
      </c>
      <c r="Y422" s="50">
        <v>42.14</v>
      </c>
      <c r="Z422" s="50">
        <v>104.36</v>
      </c>
      <c r="AA422" s="50">
        <v>87.93</v>
      </c>
      <c r="AB422" s="50">
        <v>81.72</v>
      </c>
      <c r="AC422" s="50">
        <v>2.2999999999999998</v>
      </c>
      <c r="AD422" s="50">
        <v>52.45</v>
      </c>
      <c r="AE422" s="17">
        <v>28.52</v>
      </c>
      <c r="AF422" s="17">
        <v>38.14</v>
      </c>
      <c r="AG422" s="17">
        <v>35.159999999999997</v>
      </c>
      <c r="AH422" s="17">
        <v>38.29</v>
      </c>
      <c r="AI422" s="17">
        <v>1.038</v>
      </c>
      <c r="AJ422" s="17">
        <v>50.7</v>
      </c>
      <c r="AK422" s="17"/>
      <c r="AL422" s="17"/>
      <c r="AM422" s="17"/>
      <c r="AN422" s="17">
        <v>109</v>
      </c>
      <c r="AO422" s="17"/>
      <c r="AP422" s="17"/>
      <c r="AQ422" s="17"/>
      <c r="AR422" s="17"/>
      <c r="AS422" s="17"/>
      <c r="AT422" t="s">
        <v>146</v>
      </c>
    </row>
    <row r="423" spans="1:47" x14ac:dyDescent="0.2">
      <c r="A423" s="115">
        <v>422.00000000000057</v>
      </c>
      <c r="B423" s="3">
        <v>114</v>
      </c>
      <c r="C423" s="3">
        <v>21.422000000000001</v>
      </c>
      <c r="D423" s="129" t="s">
        <v>140</v>
      </c>
      <c r="E423" t="s">
        <v>141</v>
      </c>
      <c r="F423" s="3" t="s">
        <v>60</v>
      </c>
      <c r="G423" s="11"/>
      <c r="H423" s="3" t="s">
        <v>60</v>
      </c>
      <c r="I423" s="127">
        <v>44420</v>
      </c>
      <c r="J423" s="16" t="s">
        <v>142</v>
      </c>
      <c r="K423" s="17" t="s">
        <v>235</v>
      </c>
      <c r="L423" s="17"/>
      <c r="M423" s="17">
        <v>252.7</v>
      </c>
      <c r="N423" s="17">
        <v>256.04000000000002</v>
      </c>
      <c r="O423" s="17">
        <v>164.22</v>
      </c>
      <c r="P423" s="17">
        <v>177.75</v>
      </c>
      <c r="Q423" s="17">
        <v>31.74</v>
      </c>
      <c r="R423" s="17">
        <v>26.12</v>
      </c>
      <c r="S423" s="17">
        <v>116.15</v>
      </c>
      <c r="T423" s="17">
        <v>95.79</v>
      </c>
      <c r="U423" s="50">
        <v>63.05</v>
      </c>
      <c r="V423" s="50">
        <v>46.06</v>
      </c>
      <c r="W423" s="50">
        <v>71.459999999999994</v>
      </c>
      <c r="X423" s="50">
        <v>90.66</v>
      </c>
      <c r="Y423" s="50">
        <v>41.45</v>
      </c>
      <c r="Z423" s="50">
        <v>93.58</v>
      </c>
      <c r="AA423" s="50">
        <v>81.59</v>
      </c>
      <c r="AB423" s="50">
        <v>75.09</v>
      </c>
      <c r="AC423" s="50">
        <v>4.03</v>
      </c>
      <c r="AD423" s="50">
        <v>54.38</v>
      </c>
      <c r="AE423" s="17">
        <v>27.27</v>
      </c>
      <c r="AF423" s="17">
        <v>36.630000000000003</v>
      </c>
      <c r="AG423" s="17">
        <v>32.659999999999997</v>
      </c>
      <c r="AH423" s="17">
        <v>32.22</v>
      </c>
      <c r="AI423" s="17">
        <v>1.5209999999999999</v>
      </c>
      <c r="AJ423" s="50">
        <v>42.4</v>
      </c>
      <c r="AK423" s="50"/>
      <c r="AL423" s="17"/>
      <c r="AM423" s="17">
        <v>70</v>
      </c>
      <c r="AN423" s="17">
        <v>31</v>
      </c>
      <c r="AO423" s="17"/>
      <c r="AP423" s="17"/>
      <c r="AQ423" s="17"/>
      <c r="AR423" s="17"/>
      <c r="AS423" s="17"/>
      <c r="AT423" t="s">
        <v>146</v>
      </c>
    </row>
    <row r="424" spans="1:47" x14ac:dyDescent="0.2">
      <c r="A424" s="115">
        <v>422.99999999999829</v>
      </c>
      <c r="B424" s="3">
        <v>120</v>
      </c>
      <c r="C424" s="3">
        <v>21.422999999999998</v>
      </c>
      <c r="D424" s="129" t="s">
        <v>140</v>
      </c>
      <c r="E424" t="s">
        <v>141</v>
      </c>
      <c r="F424" s="3" t="s">
        <v>60</v>
      </c>
      <c r="G424" s="11"/>
      <c r="H424" s="3" t="s">
        <v>60</v>
      </c>
      <c r="I424" s="127">
        <v>44440</v>
      </c>
      <c r="J424" s="16" t="s">
        <v>142</v>
      </c>
      <c r="K424" s="16" t="s">
        <v>235</v>
      </c>
      <c r="L424" s="17"/>
      <c r="M424" s="17">
        <v>266</v>
      </c>
      <c r="N424" s="17">
        <v>271.74</v>
      </c>
      <c r="O424" s="17">
        <v>167.75</v>
      </c>
      <c r="P424" s="17">
        <v>175.73</v>
      </c>
      <c r="Q424" s="17">
        <v>29.03</v>
      </c>
      <c r="R424" s="17">
        <v>24.14</v>
      </c>
      <c r="S424" s="17">
        <v>120.48</v>
      </c>
      <c r="T424" s="17">
        <v>99.61</v>
      </c>
      <c r="U424" s="50">
        <v>58.91</v>
      </c>
      <c r="V424" s="50">
        <v>48.2</v>
      </c>
      <c r="W424" s="50">
        <v>70.98</v>
      </c>
      <c r="X424" s="50">
        <v>89.86</v>
      </c>
      <c r="Y424" s="50">
        <v>40.590000000000003</v>
      </c>
      <c r="Z424" s="50">
        <v>93.2</v>
      </c>
      <c r="AA424" s="50">
        <v>78.39</v>
      </c>
      <c r="AB424" s="50">
        <v>68.489999999999995</v>
      </c>
      <c r="AC424" s="50">
        <v>6.3</v>
      </c>
      <c r="AD424" s="50">
        <v>54.38</v>
      </c>
      <c r="AE424" s="17">
        <v>22.16</v>
      </c>
      <c r="AF424" s="17">
        <v>35.15</v>
      </c>
      <c r="AG424" s="17">
        <v>30.32</v>
      </c>
      <c r="AH424" s="17">
        <v>39.01</v>
      </c>
      <c r="AI424" s="17">
        <v>1.528</v>
      </c>
      <c r="AJ424" s="17"/>
      <c r="AK424" s="17"/>
      <c r="AL424" s="17"/>
      <c r="AM424" s="17"/>
      <c r="AN424" s="17">
        <v>115</v>
      </c>
      <c r="AO424" s="17"/>
      <c r="AP424" s="17"/>
      <c r="AQ424" s="17"/>
      <c r="AR424" s="17"/>
      <c r="AS424" s="17"/>
      <c r="AT424" t="s">
        <v>146</v>
      </c>
    </row>
    <row r="425" spans="1:47" x14ac:dyDescent="0.2">
      <c r="A425" s="115">
        <v>423.99999999999949</v>
      </c>
      <c r="B425" s="3">
        <v>123</v>
      </c>
      <c r="C425" s="3">
        <v>21.423999999999999</v>
      </c>
      <c r="D425" s="129" t="s">
        <v>140</v>
      </c>
      <c r="E425" t="s">
        <v>141</v>
      </c>
      <c r="F425" s="3" t="s">
        <v>60</v>
      </c>
      <c r="G425" s="17"/>
      <c r="H425" s="3" t="s">
        <v>60</v>
      </c>
      <c r="I425" s="127">
        <v>44447</v>
      </c>
      <c r="J425" s="16" t="s">
        <v>142</v>
      </c>
      <c r="K425" s="16" t="s">
        <v>235</v>
      </c>
      <c r="L425" s="17"/>
      <c r="M425" s="17">
        <v>274.5</v>
      </c>
      <c r="N425" s="17">
        <v>279.25</v>
      </c>
      <c r="O425" s="17">
        <v>164.59</v>
      </c>
      <c r="P425" s="17">
        <v>181.2</v>
      </c>
      <c r="Q425" s="17">
        <v>29.35</v>
      </c>
      <c r="R425" s="17">
        <v>25.14</v>
      </c>
      <c r="S425" s="17">
        <v>121.47</v>
      </c>
      <c r="T425" s="17">
        <v>99.79</v>
      </c>
      <c r="U425" s="50">
        <v>62.56</v>
      </c>
      <c r="V425" s="50">
        <v>45.84</v>
      </c>
      <c r="W425" s="50">
        <v>67.47</v>
      </c>
      <c r="X425" s="50">
        <v>85.18</v>
      </c>
      <c r="Y425" s="50">
        <v>37.119999999999997</v>
      </c>
      <c r="Z425" s="50">
        <v>96.99</v>
      </c>
      <c r="AA425" s="50">
        <v>80.959999999999994</v>
      </c>
      <c r="AB425" s="50">
        <v>72.16</v>
      </c>
      <c r="AC425" s="50">
        <v>4.97</v>
      </c>
      <c r="AD425" s="50">
        <v>54.45</v>
      </c>
      <c r="AE425" s="17">
        <v>23.45</v>
      </c>
      <c r="AF425" s="17">
        <v>33.58</v>
      </c>
      <c r="AG425" s="17">
        <v>29.97</v>
      </c>
      <c r="AH425" s="17">
        <v>38.39</v>
      </c>
      <c r="AI425" s="17">
        <v>1.714</v>
      </c>
      <c r="AJ425" s="17">
        <v>47.19</v>
      </c>
      <c r="AK425" s="17"/>
      <c r="AL425" s="17"/>
      <c r="AM425" s="17"/>
      <c r="AN425" s="17">
        <v>126</v>
      </c>
      <c r="AO425" s="17"/>
      <c r="AP425" s="17"/>
      <c r="AQ425" s="17"/>
      <c r="AR425" s="17"/>
      <c r="AS425" s="17"/>
      <c r="AT425" t="s">
        <v>146</v>
      </c>
    </row>
    <row r="426" spans="1:47" x14ac:dyDescent="0.2">
      <c r="A426" s="115">
        <v>425.00000000000068</v>
      </c>
      <c r="C426" s="3">
        <v>21.425000000000001</v>
      </c>
      <c r="D426" s="129" t="s">
        <v>140</v>
      </c>
      <c r="E426" t="s">
        <v>141</v>
      </c>
      <c r="F426" s="3" t="s">
        <v>497</v>
      </c>
      <c r="G426" s="11"/>
      <c r="I426" s="140"/>
      <c r="J426" s="16" t="s">
        <v>142</v>
      </c>
      <c r="K426" s="16" t="s">
        <v>203</v>
      </c>
      <c r="L426" s="17"/>
      <c r="M426" s="17"/>
      <c r="N426" s="17">
        <v>177.7</v>
      </c>
      <c r="O426" s="17">
        <v>192.72</v>
      </c>
      <c r="P426" s="17">
        <v>196.21</v>
      </c>
      <c r="Q426" s="17">
        <v>39.659999999999997</v>
      </c>
      <c r="R426" s="17">
        <v>36.590000000000003</v>
      </c>
      <c r="S426" s="17">
        <v>122.8</v>
      </c>
      <c r="T426" s="17">
        <v>97.46</v>
      </c>
      <c r="U426" s="50">
        <v>55.97</v>
      </c>
      <c r="V426" s="50">
        <v>42.56</v>
      </c>
      <c r="W426" s="50">
        <v>64.77</v>
      </c>
      <c r="X426" s="50">
        <v>82.52</v>
      </c>
      <c r="Y426" s="50">
        <v>34.67</v>
      </c>
      <c r="Z426" s="50">
        <v>88.59</v>
      </c>
      <c r="AA426" s="50">
        <v>69.41</v>
      </c>
      <c r="AB426" s="50">
        <v>65</v>
      </c>
      <c r="AC426" s="50">
        <v>7.79</v>
      </c>
      <c r="AD426" s="50">
        <v>45.69</v>
      </c>
      <c r="AE426" s="17">
        <v>28.29</v>
      </c>
      <c r="AF426" s="17">
        <v>30.05</v>
      </c>
      <c r="AG426" s="17">
        <v>25.02</v>
      </c>
      <c r="AH426" s="17">
        <v>30.8</v>
      </c>
      <c r="AI426" s="17">
        <v>1.294</v>
      </c>
      <c r="AJ426" s="17"/>
      <c r="AK426" s="17"/>
      <c r="AL426" s="17">
        <v>9.8000000000000007</v>
      </c>
      <c r="AM426" s="17"/>
      <c r="AN426" s="17"/>
      <c r="AO426" s="17">
        <v>7.9</v>
      </c>
      <c r="AP426" s="17">
        <v>79.099999999999994</v>
      </c>
      <c r="AQ426" s="17">
        <v>39.1</v>
      </c>
      <c r="AR426" s="17">
        <v>35.5</v>
      </c>
      <c r="AS426" s="17">
        <v>16.100000000000001</v>
      </c>
      <c r="AT426" s="3" t="s">
        <v>603</v>
      </c>
      <c r="AU426" s="3"/>
    </row>
    <row r="427" spans="1:47" x14ac:dyDescent="0.2">
      <c r="A427" s="115">
        <v>425.99999999999841</v>
      </c>
      <c r="B427" s="3">
        <v>135</v>
      </c>
      <c r="C427" s="3">
        <v>21.425999999999998</v>
      </c>
      <c r="D427" s="129" t="s">
        <v>140</v>
      </c>
      <c r="E427" t="s">
        <v>141</v>
      </c>
      <c r="F427" s="3" t="s">
        <v>60</v>
      </c>
      <c r="G427" s="11"/>
      <c r="H427" s="3" t="s">
        <v>60</v>
      </c>
      <c r="I427" s="82">
        <v>44472</v>
      </c>
      <c r="J427" s="16" t="s">
        <v>142</v>
      </c>
      <c r="K427" s="16" t="s">
        <v>203</v>
      </c>
      <c r="L427" s="17"/>
      <c r="M427" s="17">
        <v>204.3</v>
      </c>
      <c r="N427" s="17">
        <v>207.8</v>
      </c>
      <c r="O427" s="17">
        <v>153.66</v>
      </c>
      <c r="P427" s="17">
        <v>160.65</v>
      </c>
      <c r="Q427" s="17">
        <v>30.11</v>
      </c>
      <c r="R427" s="17">
        <v>18.8</v>
      </c>
      <c r="S427" s="17">
        <v>110.09</v>
      </c>
      <c r="T427" s="17">
        <v>91.37</v>
      </c>
      <c r="U427" s="50">
        <v>65.349999999999994</v>
      </c>
      <c r="V427" s="50">
        <v>49.79</v>
      </c>
      <c r="W427" s="50">
        <v>71.790000000000006</v>
      </c>
      <c r="X427" s="50">
        <v>83.25</v>
      </c>
      <c r="Y427" s="50">
        <v>42.53</v>
      </c>
      <c r="Z427" s="50">
        <v>94.97</v>
      </c>
      <c r="AA427" s="50">
        <v>74.64</v>
      </c>
      <c r="AB427" s="50">
        <v>74.73</v>
      </c>
      <c r="AC427" s="50">
        <v>3.57</v>
      </c>
      <c r="AD427" s="50">
        <v>47.12</v>
      </c>
      <c r="AE427" s="17">
        <v>26.43</v>
      </c>
      <c r="AF427" s="17">
        <v>41.62</v>
      </c>
      <c r="AG427" s="17">
        <v>25.4</v>
      </c>
      <c r="AH427" s="17">
        <v>38.26</v>
      </c>
      <c r="AI427" s="17">
        <v>1.881</v>
      </c>
      <c r="AJ427" s="17"/>
      <c r="AK427" s="17"/>
      <c r="AL427" s="17">
        <v>33</v>
      </c>
      <c r="AM427" s="17"/>
      <c r="AN427" s="17"/>
      <c r="AO427" s="17">
        <v>8.6</v>
      </c>
      <c r="AP427" s="17">
        <v>85.4</v>
      </c>
      <c r="AQ427" s="17">
        <v>23.2</v>
      </c>
      <c r="AR427" s="17">
        <v>48</v>
      </c>
      <c r="AS427" s="17">
        <v>22.2</v>
      </c>
      <c r="AT427" t="s">
        <v>604</v>
      </c>
    </row>
    <row r="428" spans="1:47" x14ac:dyDescent="0.2">
      <c r="A428" s="115">
        <v>426.9999999999996</v>
      </c>
      <c r="B428" s="3">
        <v>35</v>
      </c>
      <c r="C428" s="3">
        <v>21.427</v>
      </c>
      <c r="D428" s="131" t="s">
        <v>151</v>
      </c>
      <c r="E428" t="s">
        <v>152</v>
      </c>
      <c r="F428" s="3" t="s">
        <v>227</v>
      </c>
      <c r="G428" s="3" t="s">
        <v>89</v>
      </c>
      <c r="I428" s="82">
        <v>44453</v>
      </c>
      <c r="J428" s="9" t="s">
        <v>142</v>
      </c>
      <c r="K428" s="9" t="s">
        <v>235</v>
      </c>
      <c r="N428" s="3">
        <v>308.2</v>
      </c>
      <c r="O428" s="3">
        <v>169.95</v>
      </c>
      <c r="P428" s="3">
        <v>175.56</v>
      </c>
      <c r="Q428" s="3">
        <v>34.94</v>
      </c>
      <c r="R428" s="3">
        <v>16.39</v>
      </c>
      <c r="S428" s="3">
        <v>116.25</v>
      </c>
      <c r="T428" s="3">
        <v>106.9</v>
      </c>
      <c r="U428" s="6">
        <v>58.53</v>
      </c>
      <c r="V428" s="6">
        <v>48.56</v>
      </c>
      <c r="W428" s="6">
        <v>67.87</v>
      </c>
      <c r="X428" s="6">
        <v>88.48</v>
      </c>
      <c r="Y428" s="6">
        <v>41.37</v>
      </c>
      <c r="Z428" s="6">
        <v>103.13</v>
      </c>
      <c r="AA428" s="6">
        <v>89.03</v>
      </c>
      <c r="AB428" s="6">
        <v>72.599999999999994</v>
      </c>
      <c r="AC428" s="6">
        <v>7.18</v>
      </c>
      <c r="AD428" s="6">
        <v>59.11</v>
      </c>
      <c r="AE428" s="3">
        <v>28.57</v>
      </c>
      <c r="AF428" s="3">
        <v>38.15</v>
      </c>
      <c r="AG428" s="3">
        <v>31.07</v>
      </c>
      <c r="AH428" s="3">
        <v>38.31</v>
      </c>
      <c r="AI428" s="3">
        <v>1.341</v>
      </c>
      <c r="AJ428" s="3">
        <v>53.1</v>
      </c>
      <c r="AN428" s="3">
        <v>100</v>
      </c>
      <c r="AT428" t="s">
        <v>604</v>
      </c>
    </row>
    <row r="429" spans="1:47" x14ac:dyDescent="0.2">
      <c r="A429" s="115">
        <v>428.0000000000008</v>
      </c>
      <c r="B429" s="3">
        <v>127</v>
      </c>
      <c r="C429" s="3">
        <v>21.428000000000001</v>
      </c>
      <c r="D429" s="129" t="s">
        <v>140</v>
      </c>
      <c r="E429" t="s">
        <v>141</v>
      </c>
      <c r="F429" s="3" t="s">
        <v>60</v>
      </c>
      <c r="H429" s="3" t="s">
        <v>60</v>
      </c>
      <c r="I429" s="82">
        <v>44458</v>
      </c>
      <c r="J429" s="16" t="s">
        <v>142</v>
      </c>
      <c r="K429" s="16" t="s">
        <v>235</v>
      </c>
      <c r="L429" s="17"/>
      <c r="M429" s="17">
        <v>221</v>
      </c>
      <c r="N429" s="17">
        <v>224.4</v>
      </c>
      <c r="O429" s="17">
        <v>158.5</v>
      </c>
      <c r="P429" s="17">
        <v>170.15</v>
      </c>
      <c r="Q429" s="17">
        <v>32.36</v>
      </c>
      <c r="R429" s="17">
        <v>21.05</v>
      </c>
      <c r="S429" s="17">
        <v>113.36</v>
      </c>
      <c r="T429" s="17">
        <v>96.26</v>
      </c>
      <c r="U429" s="50">
        <v>57.74</v>
      </c>
      <c r="V429" s="50">
        <v>47.87</v>
      </c>
      <c r="W429" s="50">
        <v>68.72</v>
      </c>
      <c r="X429" s="50">
        <v>84.18</v>
      </c>
      <c r="Y429" s="50">
        <v>40.54</v>
      </c>
      <c r="Z429" s="50">
        <v>94.41</v>
      </c>
      <c r="AA429" s="50">
        <v>76.739999999999995</v>
      </c>
      <c r="AB429" s="50">
        <v>72.02</v>
      </c>
      <c r="AC429" s="50">
        <v>8.2899999999999991</v>
      </c>
      <c r="AD429" s="50">
        <v>49.91</v>
      </c>
      <c r="AE429" s="17">
        <v>25.29</v>
      </c>
      <c r="AF429" s="17">
        <v>26.56</v>
      </c>
      <c r="AG429" s="17">
        <v>24.26</v>
      </c>
      <c r="AH429" s="17">
        <v>36.06</v>
      </c>
      <c r="AI429" s="17">
        <v>1.677</v>
      </c>
      <c r="AJ429" s="17">
        <v>5.3</v>
      </c>
      <c r="AK429" s="17"/>
      <c r="AL429" s="17"/>
      <c r="AM429" s="17"/>
      <c r="AN429" s="17">
        <v>120</v>
      </c>
      <c r="AO429" s="17"/>
      <c r="AP429" s="17"/>
      <c r="AQ429" s="17"/>
      <c r="AR429" s="17"/>
      <c r="AS429" s="17"/>
      <c r="AT429" t="s">
        <v>605</v>
      </c>
    </row>
    <row r="430" spans="1:47" x14ac:dyDescent="0.2">
      <c r="A430" s="115">
        <v>428.99999999999852</v>
      </c>
      <c r="B430" s="3">
        <v>36</v>
      </c>
      <c r="C430" s="3">
        <v>21.428999999999998</v>
      </c>
      <c r="D430" s="131" t="s">
        <v>151</v>
      </c>
      <c r="E430" t="s">
        <v>152</v>
      </c>
      <c r="F430" s="3" t="s">
        <v>227</v>
      </c>
      <c r="G430" s="3" t="s">
        <v>89</v>
      </c>
      <c r="I430" s="82">
        <v>44453</v>
      </c>
      <c r="J430" s="9" t="s">
        <v>142</v>
      </c>
      <c r="K430" s="9" t="s">
        <v>235</v>
      </c>
      <c r="N430" s="3">
        <v>311.5</v>
      </c>
      <c r="O430" s="3">
        <v>174.34</v>
      </c>
      <c r="P430" s="3">
        <v>182.59</v>
      </c>
      <c r="Q430" s="3">
        <v>35.76</v>
      </c>
      <c r="R430" s="3">
        <v>14.7</v>
      </c>
      <c r="S430" s="3">
        <v>125.8</v>
      </c>
      <c r="T430" s="3">
        <v>101.28</v>
      </c>
      <c r="U430" s="6">
        <v>56.78</v>
      </c>
      <c r="V430" s="6">
        <v>50.96</v>
      </c>
      <c r="W430" s="6">
        <v>65.62</v>
      </c>
      <c r="X430" s="6">
        <v>82.65</v>
      </c>
      <c r="Y430" s="6">
        <v>36.130000000000003</v>
      </c>
      <c r="Z430" s="6">
        <v>103.23</v>
      </c>
      <c r="AA430" s="6">
        <v>87.83</v>
      </c>
      <c r="AB430" s="6">
        <v>72.569999999999993</v>
      </c>
      <c r="AC430" s="6">
        <v>12.67</v>
      </c>
      <c r="AD430" s="6">
        <v>59.61</v>
      </c>
      <c r="AE430" s="3">
        <v>26.16</v>
      </c>
      <c r="AF430" s="3">
        <v>40.43</v>
      </c>
      <c r="AG430" s="3">
        <v>32.869999999999997</v>
      </c>
      <c r="AH430" s="3">
        <v>36.880000000000003</v>
      </c>
      <c r="AI430" s="3">
        <v>1.343</v>
      </c>
      <c r="AJ430" s="3">
        <v>57.5</v>
      </c>
      <c r="AN430" s="3">
        <v>97</v>
      </c>
      <c r="AT430" t="s">
        <v>605</v>
      </c>
    </row>
    <row r="431" spans="1:47" x14ac:dyDescent="0.2">
      <c r="A431" s="115">
        <v>429.99999999999972</v>
      </c>
      <c r="B431" s="3">
        <v>33</v>
      </c>
      <c r="C431" s="2" t="s">
        <v>79</v>
      </c>
      <c r="D431" s="131" t="s">
        <v>151</v>
      </c>
      <c r="E431" t="s">
        <v>152</v>
      </c>
      <c r="F431" s="3" t="s">
        <v>227</v>
      </c>
      <c r="G431" s="3" t="s">
        <v>89</v>
      </c>
      <c r="I431" s="82">
        <v>44447</v>
      </c>
      <c r="J431" s="9" t="s">
        <v>142</v>
      </c>
      <c r="K431" s="9" t="s">
        <v>235</v>
      </c>
      <c r="N431" s="3">
        <v>295.89999999999998</v>
      </c>
      <c r="O431" s="3">
        <v>170.69</v>
      </c>
      <c r="P431" s="3">
        <v>175.66</v>
      </c>
      <c r="Q431" s="3">
        <v>31.89</v>
      </c>
      <c r="R431" s="3">
        <v>20.91</v>
      </c>
      <c r="S431" s="3">
        <v>116.46</v>
      </c>
      <c r="T431" s="3">
        <v>100.64</v>
      </c>
      <c r="U431" s="6">
        <v>54.27</v>
      </c>
      <c r="V431" s="6">
        <v>51.08</v>
      </c>
      <c r="W431" s="6">
        <v>70.819999999999993</v>
      </c>
      <c r="X431" s="6">
        <v>82.22</v>
      </c>
      <c r="Y431" s="6">
        <v>30.89</v>
      </c>
      <c r="Z431" s="6">
        <v>99.23</v>
      </c>
      <c r="AA431" s="6">
        <v>85.84</v>
      </c>
      <c r="AB431" s="6">
        <v>71.41</v>
      </c>
      <c r="AC431" s="6">
        <v>14.68</v>
      </c>
      <c r="AD431" s="6">
        <v>59.89</v>
      </c>
      <c r="AE431" s="3">
        <v>26.93</v>
      </c>
      <c r="AF431" s="3">
        <v>32.130000000000003</v>
      </c>
      <c r="AG431" s="3">
        <v>33.61</v>
      </c>
      <c r="AH431" s="3">
        <v>35.090000000000003</v>
      </c>
      <c r="AI431" s="3">
        <v>1.1970000000000001</v>
      </c>
      <c r="AJ431" s="3">
        <v>49.8</v>
      </c>
      <c r="AN431" s="3">
        <v>76.5</v>
      </c>
      <c r="AT431" t="s">
        <v>605</v>
      </c>
    </row>
    <row r="432" spans="1:47" x14ac:dyDescent="0.2">
      <c r="A432" s="115">
        <v>431.00000000000091</v>
      </c>
      <c r="B432" s="3">
        <v>63</v>
      </c>
      <c r="C432" s="12">
        <v>21.431000000000001</v>
      </c>
      <c r="D432" s="139" t="s">
        <v>179</v>
      </c>
      <c r="E432" t="s">
        <v>180</v>
      </c>
      <c r="F432" s="3" t="s">
        <v>181</v>
      </c>
      <c r="H432" s="3" t="s">
        <v>268</v>
      </c>
      <c r="I432" s="82">
        <v>44490</v>
      </c>
      <c r="J432" s="16" t="s">
        <v>142</v>
      </c>
      <c r="K432" s="16" t="s">
        <v>203</v>
      </c>
      <c r="L432" s="17"/>
      <c r="M432" s="17"/>
      <c r="N432" s="17">
        <v>216.8</v>
      </c>
      <c r="O432" s="17">
        <v>179.33</v>
      </c>
      <c r="P432" s="17">
        <v>191.85</v>
      </c>
      <c r="Q432" s="17">
        <v>39.270000000000003</v>
      </c>
      <c r="R432" s="17">
        <v>20.27</v>
      </c>
      <c r="S432" s="17">
        <v>124.29</v>
      </c>
      <c r="T432" s="17">
        <v>96.97</v>
      </c>
      <c r="U432" s="50">
        <v>61.91</v>
      </c>
      <c r="V432" s="50">
        <v>44.74</v>
      </c>
      <c r="W432" s="50">
        <v>66.81</v>
      </c>
      <c r="X432" s="50">
        <v>86.29</v>
      </c>
      <c r="Y432" s="50">
        <v>37.159999999999997</v>
      </c>
      <c r="Z432" s="50">
        <v>91.99</v>
      </c>
      <c r="AA432" s="50">
        <v>74.98</v>
      </c>
      <c r="AB432" s="50">
        <v>73.03</v>
      </c>
      <c r="AC432" s="50">
        <v>7.93</v>
      </c>
      <c r="AD432" s="50">
        <v>45.83</v>
      </c>
      <c r="AE432" s="17">
        <v>34.64</v>
      </c>
      <c r="AF432" s="17">
        <v>36.83</v>
      </c>
      <c r="AG432" s="17">
        <v>38.659999999999997</v>
      </c>
      <c r="AH432" s="17">
        <v>45.68</v>
      </c>
      <c r="AI432" s="17">
        <v>1.0940000000000001</v>
      </c>
      <c r="AJ432" s="17"/>
      <c r="AK432" s="17"/>
      <c r="AL432" s="54"/>
      <c r="AM432" s="17"/>
      <c r="AN432" s="17"/>
      <c r="AO432" s="54"/>
      <c r="AP432" s="54"/>
      <c r="AQ432" s="54"/>
      <c r="AR432" s="17">
        <v>43</v>
      </c>
      <c r="AS432" s="17">
        <v>18.3</v>
      </c>
      <c r="AT432" s="3" t="s">
        <v>603</v>
      </c>
      <c r="AU432" s="3"/>
    </row>
    <row r="433" spans="1:47" x14ac:dyDescent="0.2">
      <c r="A433" s="115">
        <v>431.99999999999864</v>
      </c>
      <c r="B433" s="3">
        <v>62</v>
      </c>
      <c r="C433" s="12">
        <v>21.431999999999999</v>
      </c>
      <c r="D433" s="139" t="s">
        <v>179</v>
      </c>
      <c r="E433" t="s">
        <v>180</v>
      </c>
      <c r="F433" s="3" t="s">
        <v>181</v>
      </c>
      <c r="G433" s="17"/>
      <c r="H433" s="3" t="s">
        <v>182</v>
      </c>
      <c r="I433" s="82">
        <v>44490</v>
      </c>
      <c r="J433" s="16" t="s">
        <v>142</v>
      </c>
      <c r="K433" s="16" t="s">
        <v>203</v>
      </c>
      <c r="L433" s="17"/>
      <c r="M433" s="17"/>
      <c r="N433" s="17">
        <v>222.1</v>
      </c>
      <c r="O433" s="17">
        <v>200.63</v>
      </c>
      <c r="P433" s="17">
        <v>200.88</v>
      </c>
      <c r="Q433" s="17">
        <v>53.07</v>
      </c>
      <c r="R433" s="17">
        <v>23.84</v>
      </c>
      <c r="S433" s="17">
        <v>138.54</v>
      </c>
      <c r="T433" s="17">
        <v>114.14</v>
      </c>
      <c r="U433" s="50">
        <v>60.03</v>
      </c>
      <c r="V433" s="50">
        <v>40.78</v>
      </c>
      <c r="W433" s="50">
        <v>68.61</v>
      </c>
      <c r="X433" s="50">
        <v>85.1</v>
      </c>
      <c r="Y433" s="50">
        <v>38.6</v>
      </c>
      <c r="Z433" s="50">
        <v>91.68</v>
      </c>
      <c r="AA433" s="50">
        <v>72.239999999999995</v>
      </c>
      <c r="AB433" s="50">
        <v>60.05</v>
      </c>
      <c r="AC433" s="50">
        <v>13.25</v>
      </c>
      <c r="AD433" s="50">
        <v>48.77</v>
      </c>
      <c r="AE433" s="17">
        <v>27.59</v>
      </c>
      <c r="AF433" s="17">
        <v>38.119999999999997</v>
      </c>
      <c r="AG433" s="17">
        <v>33.39</v>
      </c>
      <c r="AH433" s="17">
        <v>28.09</v>
      </c>
      <c r="AI433" s="17">
        <v>1.264</v>
      </c>
      <c r="AJ433" s="17"/>
      <c r="AK433" s="17"/>
      <c r="AL433" s="17">
        <v>15</v>
      </c>
      <c r="AM433" s="17"/>
      <c r="AN433" s="17"/>
      <c r="AO433" s="17">
        <v>11.1</v>
      </c>
      <c r="AP433" s="17">
        <v>113</v>
      </c>
      <c r="AQ433" s="17">
        <v>23.7</v>
      </c>
      <c r="AR433" s="17">
        <v>50.5</v>
      </c>
      <c r="AS433" s="17">
        <v>20.7</v>
      </c>
      <c r="AT433" s="3" t="s">
        <v>603</v>
      </c>
      <c r="AU433" s="3"/>
    </row>
    <row r="434" spans="1:47" x14ac:dyDescent="0.2">
      <c r="A434" s="115">
        <v>432.99999999999983</v>
      </c>
      <c r="B434" s="3">
        <v>190</v>
      </c>
      <c r="C434" s="12">
        <v>21.433</v>
      </c>
      <c r="D434" s="126" t="s">
        <v>168</v>
      </c>
      <c r="E434" t="s">
        <v>169</v>
      </c>
      <c r="F434" s="17" t="s">
        <v>170</v>
      </c>
      <c r="H434" s="17"/>
      <c r="I434" s="82">
        <v>44493</v>
      </c>
      <c r="J434" s="16" t="s">
        <v>142</v>
      </c>
      <c r="K434" s="16" t="s">
        <v>203</v>
      </c>
      <c r="L434" s="17">
        <v>243</v>
      </c>
      <c r="M434" s="17"/>
      <c r="N434" s="17">
        <v>244</v>
      </c>
      <c r="O434" s="17">
        <v>177.85</v>
      </c>
      <c r="P434" s="17">
        <v>162.22999999999999</v>
      </c>
      <c r="Q434" s="17">
        <v>32.21</v>
      </c>
      <c r="R434" s="17">
        <v>20.6</v>
      </c>
      <c r="S434" s="17">
        <v>119.31</v>
      </c>
      <c r="T434" s="17">
        <v>99.07</v>
      </c>
      <c r="U434" s="50">
        <v>76.48</v>
      </c>
      <c r="V434" s="50">
        <v>48.09</v>
      </c>
      <c r="W434" s="50">
        <v>79.069999999999993</v>
      </c>
      <c r="X434" s="50">
        <v>99.24</v>
      </c>
      <c r="Y434" s="50">
        <v>45.82</v>
      </c>
      <c r="Z434" s="50">
        <v>108.72</v>
      </c>
      <c r="AA434" s="50">
        <v>84.29</v>
      </c>
      <c r="AB434" s="50">
        <v>86.11</v>
      </c>
      <c r="AC434" s="50">
        <v>12.09</v>
      </c>
      <c r="AD434" s="50">
        <v>46.51</v>
      </c>
      <c r="AE434" s="17">
        <v>36.020000000000003</v>
      </c>
      <c r="AF434" s="17">
        <v>32.17</v>
      </c>
      <c r="AG434" s="17">
        <v>28.96</v>
      </c>
      <c r="AH434" s="17">
        <v>36.15</v>
      </c>
      <c r="AI434" s="17">
        <v>1.7150000000000001</v>
      </c>
      <c r="AJ434" s="17"/>
      <c r="AK434" s="17"/>
      <c r="AL434" s="17">
        <v>15.5</v>
      </c>
      <c r="AM434" s="17"/>
      <c r="AN434" s="17"/>
      <c r="AO434" s="17">
        <f>19.7-10.4</f>
        <v>9.2999999999999989</v>
      </c>
      <c r="AP434" s="17">
        <f>134.4-10.3</f>
        <v>124.10000000000001</v>
      </c>
      <c r="AQ434" s="17">
        <v>37.4</v>
      </c>
      <c r="AR434" s="17">
        <v>52.4</v>
      </c>
      <c r="AS434" s="17">
        <v>23</v>
      </c>
      <c r="AT434" s="3" t="s">
        <v>603</v>
      </c>
      <c r="AU434" s="3"/>
    </row>
    <row r="435" spans="1:47" x14ac:dyDescent="0.2">
      <c r="A435" s="115">
        <v>434.00000000000102</v>
      </c>
      <c r="B435" s="3">
        <v>184</v>
      </c>
      <c r="C435" s="12">
        <v>21.434000000000001</v>
      </c>
      <c r="D435" s="126" t="s">
        <v>168</v>
      </c>
      <c r="E435" t="s">
        <v>169</v>
      </c>
      <c r="F435" s="17" t="s">
        <v>170</v>
      </c>
      <c r="G435" s="9"/>
      <c r="H435" s="3" t="s">
        <v>177</v>
      </c>
      <c r="I435" s="82">
        <v>44469</v>
      </c>
      <c r="J435" s="16" t="s">
        <v>142</v>
      </c>
      <c r="K435" s="16" t="s">
        <v>203</v>
      </c>
      <c r="L435" s="17"/>
      <c r="M435" s="17"/>
      <c r="N435" s="17">
        <v>238.5</v>
      </c>
      <c r="O435" s="17">
        <v>186.78</v>
      </c>
      <c r="P435" s="17">
        <v>184.61</v>
      </c>
      <c r="Q435" s="17">
        <v>35.28</v>
      </c>
      <c r="R435" s="17">
        <v>29.83</v>
      </c>
      <c r="S435" s="17">
        <v>122.12</v>
      </c>
      <c r="T435" s="17">
        <v>98.38</v>
      </c>
      <c r="U435" s="50">
        <v>77</v>
      </c>
      <c r="V435" s="50">
        <v>52.68</v>
      </c>
      <c r="W435" s="50">
        <v>83.55</v>
      </c>
      <c r="X435" s="50">
        <v>100.33</v>
      </c>
      <c r="Y435" s="50">
        <v>43.35</v>
      </c>
      <c r="Z435" s="50">
        <v>106.51</v>
      </c>
      <c r="AA435" s="50">
        <v>81.47</v>
      </c>
      <c r="AB435" s="50">
        <v>86.4</v>
      </c>
      <c r="AC435" s="50">
        <v>8.6999999999999993</v>
      </c>
      <c r="AD435" s="50">
        <v>46.93</v>
      </c>
      <c r="AE435" s="17">
        <v>39.78</v>
      </c>
      <c r="AF435" s="17">
        <v>43.94</v>
      </c>
      <c r="AG435" s="17">
        <v>43.45</v>
      </c>
      <c r="AH435" s="17">
        <v>45.51</v>
      </c>
      <c r="AI435" s="17">
        <v>1.5640000000000001</v>
      </c>
      <c r="AJ435" s="17"/>
      <c r="AK435" s="17"/>
      <c r="AL435" s="17">
        <v>15.5</v>
      </c>
      <c r="AM435" s="17"/>
      <c r="AN435" s="17"/>
      <c r="AO435" s="17">
        <f>16.7-10.3</f>
        <v>6.3999999999999986</v>
      </c>
      <c r="AP435" s="17">
        <f>121.6-10.6</f>
        <v>111</v>
      </c>
      <c r="AQ435" s="17">
        <f>61.1-10.8</f>
        <v>50.3</v>
      </c>
      <c r="AR435" s="17">
        <v>48.3</v>
      </c>
      <c r="AS435" s="17">
        <v>21.6</v>
      </c>
      <c r="AT435" s="3" t="s">
        <v>603</v>
      </c>
      <c r="AU435" s="3"/>
    </row>
    <row r="436" spans="1:47" x14ac:dyDescent="0.2">
      <c r="A436" s="115">
        <v>434.99999999999875</v>
      </c>
      <c r="B436" s="3">
        <v>182</v>
      </c>
      <c r="C436" s="12">
        <v>21.434999999999999</v>
      </c>
      <c r="D436" s="126" t="s">
        <v>168</v>
      </c>
      <c r="E436" t="s">
        <v>169</v>
      </c>
      <c r="F436" s="17" t="s">
        <v>170</v>
      </c>
      <c r="G436" s="17"/>
      <c r="H436" s="3" t="s">
        <v>177</v>
      </c>
      <c r="I436" s="82">
        <v>44469</v>
      </c>
      <c r="J436" s="16" t="s">
        <v>142</v>
      </c>
      <c r="K436" s="16" t="s">
        <v>203</v>
      </c>
      <c r="L436" s="17"/>
      <c r="M436" s="17"/>
      <c r="N436" s="17">
        <v>249</v>
      </c>
      <c r="O436" s="17">
        <v>187.56</v>
      </c>
      <c r="P436" s="17">
        <v>181.33</v>
      </c>
      <c r="Q436" s="17">
        <v>37.21</v>
      </c>
      <c r="R436" s="17">
        <v>26.56</v>
      </c>
      <c r="S436" s="17">
        <v>121.48</v>
      </c>
      <c r="T436" s="17">
        <v>99.19</v>
      </c>
      <c r="U436" s="50">
        <v>75.930000000000007</v>
      </c>
      <c r="V436" s="50">
        <v>53.41</v>
      </c>
      <c r="W436" s="50">
        <v>82.93</v>
      </c>
      <c r="X436" s="50">
        <v>100.93</v>
      </c>
      <c r="Y436" s="50">
        <v>42.93</v>
      </c>
      <c r="Z436" s="50">
        <v>106.79</v>
      </c>
      <c r="AA436" s="50">
        <v>82.59</v>
      </c>
      <c r="AB436" s="50">
        <v>87.59</v>
      </c>
      <c r="AC436" s="50">
        <v>8</v>
      </c>
      <c r="AD436" s="50">
        <v>47.75</v>
      </c>
      <c r="AE436" s="17">
        <v>36.44</v>
      </c>
      <c r="AF436" s="17">
        <v>43.18</v>
      </c>
      <c r="AG436" s="17">
        <v>44.08</v>
      </c>
      <c r="AH436" s="17">
        <v>45</v>
      </c>
      <c r="AI436" s="17">
        <v>1.5169999999999999</v>
      </c>
      <c r="AJ436" s="17"/>
      <c r="AK436" s="17"/>
      <c r="AL436" s="17">
        <v>42</v>
      </c>
      <c r="AM436" s="17"/>
      <c r="AN436" s="17"/>
      <c r="AO436" s="17">
        <f>16.6-10.4</f>
        <v>6.2000000000000011</v>
      </c>
      <c r="AP436" s="17">
        <f>131.7-10.5</f>
        <v>121.19999999999999</v>
      </c>
      <c r="AQ436" s="17">
        <f>30.4-10.6</f>
        <v>19.799999999999997</v>
      </c>
      <c r="AR436" s="17">
        <v>51.9</v>
      </c>
      <c r="AS436" s="17">
        <v>23.1</v>
      </c>
      <c r="AT436" s="3" t="s">
        <v>603</v>
      </c>
      <c r="AU436" s="3"/>
    </row>
    <row r="437" spans="1:47" x14ac:dyDescent="0.2">
      <c r="A437" s="115">
        <v>435.99999999999994</v>
      </c>
      <c r="B437" s="3">
        <v>223</v>
      </c>
      <c r="C437" s="12">
        <v>21.436</v>
      </c>
      <c r="D437" s="126" t="s">
        <v>168</v>
      </c>
      <c r="E437" t="s">
        <v>232</v>
      </c>
      <c r="F437" s="17" t="s">
        <v>251</v>
      </c>
      <c r="G437" s="17"/>
      <c r="H437" s="3" t="s">
        <v>498</v>
      </c>
      <c r="I437" s="82">
        <v>44489</v>
      </c>
      <c r="J437" s="16" t="s">
        <v>142</v>
      </c>
      <c r="K437" s="16" t="s">
        <v>203</v>
      </c>
      <c r="L437" s="17"/>
      <c r="M437" s="17"/>
      <c r="N437" s="17">
        <v>221.3</v>
      </c>
      <c r="O437" s="17">
        <v>203.13</v>
      </c>
      <c r="P437" s="17">
        <v>204.37</v>
      </c>
      <c r="Q437" s="17">
        <v>41.99</v>
      </c>
      <c r="R437" s="17">
        <v>27.13</v>
      </c>
      <c r="S437" s="17">
        <v>134.57</v>
      </c>
      <c r="T437" s="17">
        <v>101.87</v>
      </c>
      <c r="U437" s="50">
        <v>73.290000000000006</v>
      </c>
      <c r="V437" s="50">
        <v>50.66</v>
      </c>
      <c r="W437" s="50">
        <v>77.81</v>
      </c>
      <c r="X437" s="50">
        <v>97.25</v>
      </c>
      <c r="Y437" s="50">
        <v>43.08</v>
      </c>
      <c r="Z437" s="50">
        <v>101.92</v>
      </c>
      <c r="AA437" s="50">
        <v>78.64</v>
      </c>
      <c r="AB437" s="50">
        <v>74.45</v>
      </c>
      <c r="AC437" s="50">
        <v>7.27</v>
      </c>
      <c r="AD437" s="50">
        <v>44.27</v>
      </c>
      <c r="AE437" s="17">
        <v>49.05</v>
      </c>
      <c r="AF437" s="17">
        <v>51.58</v>
      </c>
      <c r="AG437" s="17">
        <v>44.7</v>
      </c>
      <c r="AH437" s="17">
        <v>47.39</v>
      </c>
      <c r="AI437" s="17">
        <v>1.327</v>
      </c>
      <c r="AJ437" s="17"/>
      <c r="AK437" s="17"/>
      <c r="AL437" s="17">
        <v>10</v>
      </c>
      <c r="AM437" s="17"/>
      <c r="AN437" s="17"/>
      <c r="AO437" s="17">
        <f>17-10.4</f>
        <v>6.6</v>
      </c>
      <c r="AP437" s="17">
        <v>146.9</v>
      </c>
      <c r="AQ437" s="17">
        <f>24.6-10.5</f>
        <v>14.100000000000001</v>
      </c>
      <c r="AR437" s="17">
        <v>44.9</v>
      </c>
      <c r="AS437" s="17">
        <v>20.3</v>
      </c>
      <c r="AT437" s="3" t="s">
        <v>603</v>
      </c>
      <c r="AU437" s="3"/>
    </row>
    <row r="438" spans="1:47" x14ac:dyDescent="0.2">
      <c r="A438" s="115">
        <v>437.00000000000114</v>
      </c>
      <c r="B438" s="3">
        <v>84</v>
      </c>
      <c r="C438" s="12">
        <v>21.437000000000001</v>
      </c>
      <c r="D438" s="126" t="s">
        <v>168</v>
      </c>
      <c r="E438" t="s">
        <v>232</v>
      </c>
      <c r="F438" s="17" t="s">
        <v>251</v>
      </c>
      <c r="G438" s="17"/>
      <c r="H438" s="3" t="s">
        <v>498</v>
      </c>
      <c r="I438" s="82">
        <v>44475</v>
      </c>
      <c r="J438" s="16" t="s">
        <v>142</v>
      </c>
      <c r="K438" s="16" t="s">
        <v>203</v>
      </c>
      <c r="L438" s="17"/>
      <c r="M438" s="17"/>
      <c r="N438" s="17">
        <v>220.4</v>
      </c>
      <c r="O438" s="17">
        <v>189.78</v>
      </c>
      <c r="P438" s="17">
        <v>191.63</v>
      </c>
      <c r="Q438" s="17">
        <v>38.33</v>
      </c>
      <c r="R438" s="17">
        <v>26.35</v>
      </c>
      <c r="S438" s="17">
        <v>130.94999999999999</v>
      </c>
      <c r="T438" s="17">
        <v>100.3</v>
      </c>
      <c r="U438" s="50">
        <v>69.599999999999994</v>
      </c>
      <c r="V438" s="50">
        <v>50.11</v>
      </c>
      <c r="W438" s="50">
        <v>74.36</v>
      </c>
      <c r="X438" s="50">
        <v>93.86</v>
      </c>
      <c r="Y438" s="50">
        <v>39.31</v>
      </c>
      <c r="Z438" s="50">
        <v>98.81</v>
      </c>
      <c r="AA438" s="50">
        <v>77.010000000000005</v>
      </c>
      <c r="AB438" s="50">
        <v>74.28</v>
      </c>
      <c r="AC438" s="50">
        <v>8.2899999999999991</v>
      </c>
      <c r="AD438" s="50">
        <v>46.89</v>
      </c>
      <c r="AE438" s="17">
        <v>39.26</v>
      </c>
      <c r="AF438" s="17">
        <v>35.49</v>
      </c>
      <c r="AG438" s="17">
        <v>45.21</v>
      </c>
      <c r="AH438" s="17">
        <v>46.14</v>
      </c>
      <c r="AI438" s="17">
        <v>1.431</v>
      </c>
      <c r="AJ438" s="17"/>
      <c r="AK438" s="17"/>
      <c r="AL438" s="17">
        <v>10</v>
      </c>
      <c r="AM438" s="17"/>
      <c r="AN438" s="17"/>
      <c r="AO438" s="17">
        <f>18.4-10.4</f>
        <v>7.9999999999999982</v>
      </c>
      <c r="AP438" s="17">
        <f>124.3-10.4</f>
        <v>113.89999999999999</v>
      </c>
      <c r="AQ438" s="17">
        <f>44.5-10.8</f>
        <v>33.700000000000003</v>
      </c>
      <c r="AR438" s="17">
        <v>46.4</v>
      </c>
      <c r="AS438" s="17">
        <v>21</v>
      </c>
      <c r="AT438" s="3" t="s">
        <v>603</v>
      </c>
      <c r="AU438" s="3"/>
    </row>
    <row r="439" spans="1:47" x14ac:dyDescent="0.2">
      <c r="A439" s="115">
        <v>437.99999999999886</v>
      </c>
      <c r="B439" s="3">
        <v>31</v>
      </c>
      <c r="C439" s="12">
        <v>21.437999999999999</v>
      </c>
      <c r="D439" s="131" t="s">
        <v>151</v>
      </c>
      <c r="E439" t="s">
        <v>162</v>
      </c>
      <c r="F439" s="14" t="s">
        <v>88</v>
      </c>
      <c r="G439" s="14" t="s">
        <v>88</v>
      </c>
      <c r="H439" s="17"/>
      <c r="I439" s="82">
        <v>44431</v>
      </c>
      <c r="J439" s="9" t="s">
        <v>142</v>
      </c>
      <c r="K439" s="9" t="s">
        <v>235</v>
      </c>
      <c r="N439" s="47"/>
      <c r="O439" s="3">
        <v>179.73</v>
      </c>
      <c r="P439" s="3">
        <v>187.5</v>
      </c>
      <c r="Q439" s="3">
        <v>32.43</v>
      </c>
      <c r="R439" s="3">
        <v>16.79</v>
      </c>
      <c r="S439" s="3">
        <v>130.35</v>
      </c>
      <c r="T439" s="3">
        <v>104.93</v>
      </c>
      <c r="U439" s="6">
        <v>67.47</v>
      </c>
      <c r="V439" s="6">
        <v>50.63</v>
      </c>
      <c r="W439" s="6">
        <v>71.23</v>
      </c>
      <c r="X439" s="6">
        <v>89.08</v>
      </c>
      <c r="Y439" s="6">
        <v>41.37</v>
      </c>
      <c r="Z439" s="6">
        <v>102.19</v>
      </c>
      <c r="AA439" s="6">
        <v>84.52</v>
      </c>
      <c r="AB439" s="6">
        <v>82.47</v>
      </c>
      <c r="AC439" s="6">
        <v>17.47</v>
      </c>
      <c r="AD439" s="6">
        <v>53.13</v>
      </c>
      <c r="AE439" s="3">
        <v>30.55</v>
      </c>
      <c r="AF439" s="3">
        <v>36.200000000000003</v>
      </c>
      <c r="AG439" s="3">
        <v>42.12</v>
      </c>
      <c r="AH439" s="3">
        <v>46.73</v>
      </c>
      <c r="AI439" s="3">
        <v>1.516</v>
      </c>
      <c r="AJ439" s="3">
        <f>56.2-10.7</f>
        <v>45.5</v>
      </c>
      <c r="AL439" s="47"/>
      <c r="AO439" s="3">
        <f>0.4</f>
        <v>0.4</v>
      </c>
      <c r="AP439" s="47"/>
      <c r="AQ439" s="47"/>
      <c r="AR439" s="3">
        <v>54.4</v>
      </c>
      <c r="AS439" s="3">
        <v>23.2</v>
      </c>
      <c r="AT439" s="3" t="s">
        <v>603</v>
      </c>
      <c r="AU439" s="3"/>
    </row>
    <row r="440" spans="1:47" x14ac:dyDescent="0.2">
      <c r="A440" s="115">
        <v>439.00000000000006</v>
      </c>
      <c r="B440" s="3">
        <v>145</v>
      </c>
      <c r="C440" s="3">
        <v>21.439</v>
      </c>
      <c r="D440" s="129" t="s">
        <v>140</v>
      </c>
      <c r="E440" t="s">
        <v>141</v>
      </c>
      <c r="F440" s="3" t="s">
        <v>60</v>
      </c>
      <c r="G440" s="9"/>
      <c r="H440" s="3" t="s">
        <v>60</v>
      </c>
      <c r="I440" s="82">
        <v>44480</v>
      </c>
      <c r="J440" s="17" t="s">
        <v>142</v>
      </c>
      <c r="K440" s="16" t="s">
        <v>203</v>
      </c>
      <c r="L440" s="17"/>
      <c r="M440" s="17">
        <v>201.4</v>
      </c>
      <c r="N440" s="17">
        <v>203</v>
      </c>
      <c r="O440" s="17">
        <v>161.22</v>
      </c>
      <c r="P440" s="17">
        <v>169.4</v>
      </c>
      <c r="Q440" s="17">
        <v>31.44</v>
      </c>
      <c r="R440" s="17">
        <v>18.96</v>
      </c>
      <c r="S440" s="17">
        <v>113.68</v>
      </c>
      <c r="T440" s="17">
        <v>91.34</v>
      </c>
      <c r="U440" s="50">
        <v>67.42</v>
      </c>
      <c r="V440" s="50">
        <v>45.67</v>
      </c>
      <c r="W440" s="50">
        <v>73.42</v>
      </c>
      <c r="X440" s="50">
        <v>88.31</v>
      </c>
      <c r="Y440" s="50">
        <v>44.04</v>
      </c>
      <c r="Z440" s="50">
        <v>93.95</v>
      </c>
      <c r="AA440" s="50">
        <v>74.14</v>
      </c>
      <c r="AB440" s="50">
        <v>68.02</v>
      </c>
      <c r="AC440" s="50">
        <v>2.41</v>
      </c>
      <c r="AD440" s="50">
        <v>46.37</v>
      </c>
      <c r="AE440" s="17">
        <v>28.12</v>
      </c>
      <c r="AF440" s="17">
        <v>33.9</v>
      </c>
      <c r="AG440" s="17">
        <v>37.96</v>
      </c>
      <c r="AH440" s="17">
        <v>38.840000000000003</v>
      </c>
      <c r="AI440" s="17">
        <v>1.8859999999999999</v>
      </c>
      <c r="AJ440" s="17"/>
      <c r="AK440" s="17"/>
      <c r="AL440" s="17">
        <v>22.5</v>
      </c>
      <c r="AM440" s="17"/>
      <c r="AN440" s="17"/>
      <c r="AO440" s="17">
        <f>24.4-10.3</f>
        <v>14.099999999999998</v>
      </c>
      <c r="AP440" s="17">
        <f>99.8-10</f>
        <v>89.8</v>
      </c>
      <c r="AQ440" s="17">
        <f>31-10.6</f>
        <v>20.399999999999999</v>
      </c>
      <c r="AR440" s="17">
        <v>49.6</v>
      </c>
      <c r="AS440" s="17">
        <v>21.9</v>
      </c>
      <c r="AT440" s="3" t="s">
        <v>603</v>
      </c>
      <c r="AU440" s="3"/>
    </row>
    <row r="441" spans="1:47" x14ac:dyDescent="0.2">
      <c r="A441" s="115">
        <v>440.00000000000125</v>
      </c>
      <c r="B441" s="3">
        <v>128</v>
      </c>
      <c r="C441" s="2" t="s">
        <v>606</v>
      </c>
      <c r="D441" s="129" t="s">
        <v>140</v>
      </c>
      <c r="E441" t="s">
        <v>141</v>
      </c>
      <c r="F441" s="3" t="s">
        <v>60</v>
      </c>
      <c r="G441" s="16"/>
      <c r="H441" s="3" t="s">
        <v>60</v>
      </c>
      <c r="I441" s="82">
        <v>44440</v>
      </c>
      <c r="J441" s="17" t="s">
        <v>142</v>
      </c>
      <c r="K441" s="16" t="s">
        <v>203</v>
      </c>
      <c r="L441" s="17"/>
      <c r="M441" s="17">
        <v>203.6</v>
      </c>
      <c r="N441" s="17">
        <v>207.5</v>
      </c>
      <c r="O441" s="17">
        <v>152.01</v>
      </c>
      <c r="P441" s="17">
        <v>161.9</v>
      </c>
      <c r="Q441" s="17">
        <v>26.41</v>
      </c>
      <c r="R441" s="17">
        <v>17.14</v>
      </c>
      <c r="S441" s="17">
        <v>113.74</v>
      </c>
      <c r="T441" s="17">
        <v>94.61</v>
      </c>
      <c r="U441" s="50">
        <v>61</v>
      </c>
      <c r="V441" s="50">
        <v>44.5</v>
      </c>
      <c r="W441" s="50">
        <v>72.52</v>
      </c>
      <c r="X441" s="50">
        <v>86.87</v>
      </c>
      <c r="Y441" s="50">
        <v>38.619999999999997</v>
      </c>
      <c r="Z441" s="50">
        <v>91.91</v>
      </c>
      <c r="AA441" s="50">
        <v>74.239999999999995</v>
      </c>
      <c r="AB441" s="50">
        <v>72.989999999999995</v>
      </c>
      <c r="AC441" s="50">
        <v>5.5</v>
      </c>
      <c r="AD441" s="50">
        <v>47.81</v>
      </c>
      <c r="AE441" s="17">
        <v>22.32</v>
      </c>
      <c r="AF441" s="17">
        <v>29.59</v>
      </c>
      <c r="AG441" s="17">
        <v>35.25</v>
      </c>
      <c r="AH441" s="17">
        <v>38.75</v>
      </c>
      <c r="AI441" s="17">
        <v>1.8149999999999999</v>
      </c>
      <c r="AJ441" s="17"/>
      <c r="AK441" s="17"/>
      <c r="AL441" s="17">
        <f>25+15+7</f>
        <v>47</v>
      </c>
      <c r="AM441" s="17"/>
      <c r="AN441" s="17"/>
      <c r="AO441" s="17">
        <f>18-10.9</f>
        <v>7.1</v>
      </c>
      <c r="AP441" s="17">
        <f>96.1-10.8</f>
        <v>85.3</v>
      </c>
      <c r="AQ441" s="17">
        <f>31.9-10.6</f>
        <v>21.299999999999997</v>
      </c>
      <c r="AR441" s="17">
        <v>46.1</v>
      </c>
      <c r="AS441" s="17">
        <v>21.7</v>
      </c>
      <c r="AT441" s="3" t="s">
        <v>603</v>
      </c>
      <c r="AU441" s="3"/>
    </row>
    <row r="442" spans="1:47" x14ac:dyDescent="0.2">
      <c r="A442" s="115">
        <v>440.99999999999898</v>
      </c>
      <c r="B442" s="3" t="s">
        <v>607</v>
      </c>
      <c r="C442" s="12">
        <v>21.440999999999999</v>
      </c>
      <c r="D442" s="131" t="s">
        <v>151</v>
      </c>
      <c r="E442" t="s">
        <v>162</v>
      </c>
      <c r="F442" s="3" t="s">
        <v>227</v>
      </c>
      <c r="G442" s="16"/>
      <c r="H442" s="3" t="s">
        <v>89</v>
      </c>
      <c r="I442" s="82">
        <v>44493</v>
      </c>
      <c r="J442" s="3" t="s">
        <v>142</v>
      </c>
      <c r="K442" s="9" t="s">
        <v>203</v>
      </c>
      <c r="N442" s="3">
        <v>248.5</v>
      </c>
      <c r="O442" s="3">
        <v>180.35</v>
      </c>
      <c r="P442" s="3">
        <v>184.54</v>
      </c>
      <c r="Q442" s="3">
        <v>37.79</v>
      </c>
      <c r="R442" s="3">
        <v>19.89</v>
      </c>
      <c r="S442" s="3">
        <v>127.22</v>
      </c>
      <c r="T442" s="3">
        <v>101.33</v>
      </c>
      <c r="U442" s="6">
        <v>59.48</v>
      </c>
      <c r="V442" s="6">
        <v>45.69</v>
      </c>
      <c r="W442" s="6">
        <v>68.72</v>
      </c>
      <c r="X442" s="6">
        <v>91.22</v>
      </c>
      <c r="Y442" s="6">
        <v>37.56</v>
      </c>
      <c r="Z442" s="6">
        <v>101.76</v>
      </c>
      <c r="AA442" s="6">
        <v>81.14</v>
      </c>
      <c r="AB442" s="6">
        <v>76.12</v>
      </c>
      <c r="AC442" s="6">
        <v>14.48</v>
      </c>
      <c r="AD442" s="6">
        <v>51.69</v>
      </c>
      <c r="AE442" s="3">
        <v>37.229999999999997</v>
      </c>
      <c r="AF442" s="3">
        <v>38.590000000000003</v>
      </c>
      <c r="AG442" s="3">
        <v>32.53</v>
      </c>
      <c r="AH442" s="3">
        <v>36.83</v>
      </c>
      <c r="AI442" s="3">
        <v>1.6759999999999999</v>
      </c>
      <c r="AL442" s="3">
        <v>6</v>
      </c>
      <c r="AO442" s="3">
        <f>19.5-3.2</f>
        <v>16.3</v>
      </c>
      <c r="AP442" s="3">
        <f>142.4-10.9</f>
        <v>131.5</v>
      </c>
      <c r="AQ442" s="3">
        <f>41.5-10.3</f>
        <v>31.2</v>
      </c>
      <c r="AR442" s="3">
        <v>55.7</v>
      </c>
      <c r="AS442" s="3">
        <v>23.5</v>
      </c>
      <c r="AT442" s="3" t="s">
        <v>603</v>
      </c>
      <c r="AU442" s="3"/>
    </row>
    <row r="443" spans="1:47" x14ac:dyDescent="0.2">
      <c r="A443" s="115">
        <v>442.00000000000017</v>
      </c>
      <c r="B443" s="3" t="s">
        <v>608</v>
      </c>
      <c r="C443" s="12">
        <v>21.442</v>
      </c>
      <c r="D443" s="131" t="s">
        <v>151</v>
      </c>
      <c r="E443" t="s">
        <v>162</v>
      </c>
      <c r="F443" s="3" t="s">
        <v>227</v>
      </c>
      <c r="H443" s="3" t="s">
        <v>89</v>
      </c>
      <c r="I443" s="82">
        <v>44490</v>
      </c>
      <c r="J443" s="3" t="s">
        <v>142</v>
      </c>
      <c r="K443" s="9" t="s">
        <v>203</v>
      </c>
      <c r="N443" s="3">
        <v>243.2</v>
      </c>
      <c r="O443" s="3">
        <v>181.37</v>
      </c>
      <c r="P443" s="3">
        <v>185.7</v>
      </c>
      <c r="Q443" s="3">
        <v>37.89</v>
      </c>
      <c r="R443" s="3">
        <v>19.739999999999998</v>
      </c>
      <c r="S443" s="3">
        <v>129.32</v>
      </c>
      <c r="T443" s="3">
        <v>104.27</v>
      </c>
      <c r="U443" s="6">
        <v>56.82</v>
      </c>
      <c r="V443" s="6">
        <v>46.87</v>
      </c>
      <c r="W443" s="6">
        <v>70.98</v>
      </c>
      <c r="X443" s="6">
        <v>92.42</v>
      </c>
      <c r="Y443" s="6">
        <v>37.659999999999997</v>
      </c>
      <c r="Z443" s="6">
        <v>99.47</v>
      </c>
      <c r="AA443" s="6">
        <v>79.28</v>
      </c>
      <c r="AB443" s="6">
        <v>72.3</v>
      </c>
      <c r="AC443" s="6">
        <v>15.9</v>
      </c>
      <c r="AD443" s="6">
        <v>48.82</v>
      </c>
      <c r="AE443" s="3">
        <v>29.75</v>
      </c>
      <c r="AF443" s="3">
        <v>34.68</v>
      </c>
      <c r="AG443" s="3">
        <v>37.32</v>
      </c>
      <c r="AH443" s="3">
        <v>39.06</v>
      </c>
      <c r="AI443" s="3">
        <v>1.7589999999999999</v>
      </c>
      <c r="AL443" s="3">
        <v>6</v>
      </c>
      <c r="AO443" s="3">
        <f>19.6-10.4</f>
        <v>9.2000000000000011</v>
      </c>
      <c r="AP443" s="3">
        <f>140.7-10.6</f>
        <v>130.1</v>
      </c>
      <c r="AQ443" s="3">
        <f>44.5-11.3</f>
        <v>33.200000000000003</v>
      </c>
      <c r="AS443" s="3">
        <v>23.6</v>
      </c>
      <c r="AT443" s="3" t="s">
        <v>603</v>
      </c>
      <c r="AU443" s="3"/>
    </row>
    <row r="444" spans="1:47" x14ac:dyDescent="0.2">
      <c r="A444" s="115">
        <v>443.00000000000136</v>
      </c>
      <c r="B444" s="3">
        <v>142</v>
      </c>
      <c r="C444" s="3">
        <v>21.443000000000001</v>
      </c>
      <c r="D444" s="129" t="s">
        <v>140</v>
      </c>
      <c r="E444" t="s">
        <v>141</v>
      </c>
      <c r="F444" s="3" t="s">
        <v>60</v>
      </c>
      <c r="H444" s="3" t="s">
        <v>60</v>
      </c>
      <c r="I444" s="82">
        <v>44480</v>
      </c>
      <c r="J444" s="17" t="s">
        <v>142</v>
      </c>
      <c r="K444" s="16" t="s">
        <v>203</v>
      </c>
      <c r="L444" s="17"/>
      <c r="M444" s="17">
        <v>215</v>
      </c>
      <c r="N444" s="17">
        <v>213.7</v>
      </c>
      <c r="O444" s="17">
        <v>157.13999999999999</v>
      </c>
      <c r="P444" s="17">
        <v>170.43</v>
      </c>
      <c r="Q444" s="17">
        <v>29.9</v>
      </c>
      <c r="R444" s="17">
        <v>16.27</v>
      </c>
      <c r="S444" s="17">
        <v>117.33</v>
      </c>
      <c r="T444" s="17">
        <v>98.62</v>
      </c>
      <c r="U444" s="50">
        <v>63.61</v>
      </c>
      <c r="V444" s="50">
        <v>48.84</v>
      </c>
      <c r="W444" s="50">
        <v>75.430000000000007</v>
      </c>
      <c r="X444" s="50">
        <v>88.72</v>
      </c>
      <c r="Y444" s="50">
        <v>40.909999999999997</v>
      </c>
      <c r="Z444" s="50">
        <v>96.61</v>
      </c>
      <c r="AA444" s="50">
        <v>74.790000000000006</v>
      </c>
      <c r="AB444" s="50">
        <v>74.44</v>
      </c>
      <c r="AC444" s="50">
        <v>11.17</v>
      </c>
      <c r="AD444" s="50">
        <v>46.34</v>
      </c>
      <c r="AE444" s="17">
        <v>27.2</v>
      </c>
      <c r="AF444" s="17">
        <v>28.91</v>
      </c>
      <c r="AG444" s="17">
        <v>31.44</v>
      </c>
      <c r="AH444" s="17">
        <v>37.44</v>
      </c>
      <c r="AI444" s="17">
        <v>1.85</v>
      </c>
      <c r="AJ444" s="17"/>
      <c r="AK444" s="17"/>
      <c r="AL444" s="17">
        <v>33</v>
      </c>
      <c r="AM444" s="17"/>
      <c r="AN444" s="17"/>
      <c r="AO444" s="17">
        <f>16.3-3.2</f>
        <v>13.100000000000001</v>
      </c>
      <c r="AP444" s="17">
        <f>98.8-11.4</f>
        <v>87.399999999999991</v>
      </c>
      <c r="AQ444" s="17">
        <f>32.6-10.7</f>
        <v>21.900000000000002</v>
      </c>
      <c r="AR444" s="17">
        <v>52.6</v>
      </c>
      <c r="AS444" s="17">
        <v>24</v>
      </c>
      <c r="AT444" s="3" t="s">
        <v>603</v>
      </c>
      <c r="AU444" s="3"/>
    </row>
    <row r="445" spans="1:47" x14ac:dyDescent="0.2">
      <c r="A445" s="115">
        <v>443.99999999999909</v>
      </c>
      <c r="B445" s="3">
        <v>138</v>
      </c>
      <c r="C445" s="3">
        <v>21.443999999999999</v>
      </c>
      <c r="D445" s="129" t="s">
        <v>140</v>
      </c>
      <c r="E445" t="s">
        <v>141</v>
      </c>
      <c r="F445" s="3" t="s">
        <v>61</v>
      </c>
      <c r="H445" s="3" t="s">
        <v>61</v>
      </c>
      <c r="I445" s="82">
        <v>44475</v>
      </c>
      <c r="J445" s="17" t="s">
        <v>142</v>
      </c>
      <c r="K445" s="16" t="s">
        <v>203</v>
      </c>
      <c r="L445" s="17"/>
      <c r="M445" s="17">
        <v>179</v>
      </c>
      <c r="N445" s="17">
        <v>181.6</v>
      </c>
      <c r="O445" s="17">
        <v>183.64</v>
      </c>
      <c r="P445" s="17">
        <v>187.29</v>
      </c>
      <c r="Q445" s="17">
        <v>36.69</v>
      </c>
      <c r="R445" s="17">
        <v>31.47</v>
      </c>
      <c r="S445" s="17">
        <v>125.51</v>
      </c>
      <c r="T445" s="17">
        <v>100.07</v>
      </c>
      <c r="U445" s="50">
        <v>57.22</v>
      </c>
      <c r="V445" s="50">
        <v>42.91</v>
      </c>
      <c r="W445" s="50">
        <v>70.709999999999994</v>
      </c>
      <c r="X445" s="50">
        <v>80.19</v>
      </c>
      <c r="Y445" s="50">
        <v>37.68</v>
      </c>
      <c r="Z445" s="50">
        <v>88</v>
      </c>
      <c r="AA445" s="50">
        <v>69.73</v>
      </c>
      <c r="AB445" s="50">
        <v>63.32</v>
      </c>
      <c r="AC445" s="50">
        <v>13.63</v>
      </c>
      <c r="AD445" s="50">
        <v>43.48</v>
      </c>
      <c r="AE445" s="17">
        <v>42.97</v>
      </c>
      <c r="AF445" s="17">
        <v>39.06</v>
      </c>
      <c r="AG445" s="17">
        <v>33.229999999999997</v>
      </c>
      <c r="AH445" s="17">
        <v>34.549999999999997</v>
      </c>
      <c r="AI445" s="17">
        <v>1.4059999999999999</v>
      </c>
      <c r="AJ445" s="17"/>
      <c r="AK445" s="17"/>
      <c r="AL445" s="17">
        <v>25</v>
      </c>
      <c r="AM445" s="17"/>
      <c r="AN445" s="17"/>
      <c r="AO445" s="17">
        <f>12.5-3.3</f>
        <v>9.1999999999999993</v>
      </c>
      <c r="AP445" s="17">
        <f>83.7-8.6</f>
        <v>75.100000000000009</v>
      </c>
      <c r="AQ445" s="17">
        <f>45.8-10.5</f>
        <v>35.299999999999997</v>
      </c>
      <c r="AR445" s="17">
        <v>36.1</v>
      </c>
      <c r="AS445" s="17">
        <v>16.399999999999999</v>
      </c>
      <c r="AT445" s="3" t="s">
        <v>603</v>
      </c>
      <c r="AU445" s="3"/>
    </row>
    <row r="446" spans="1:47" x14ac:dyDescent="0.2">
      <c r="A446" s="115">
        <v>445.00000000000028</v>
      </c>
      <c r="B446" s="3">
        <v>141</v>
      </c>
      <c r="C446" s="3">
        <v>21.445</v>
      </c>
      <c r="D446" s="129" t="s">
        <v>140</v>
      </c>
      <c r="E446" t="s">
        <v>141</v>
      </c>
      <c r="F446" s="3" t="s">
        <v>60</v>
      </c>
      <c r="H446" s="3" t="s">
        <v>60</v>
      </c>
      <c r="I446" s="82">
        <v>44480</v>
      </c>
      <c r="J446" s="17" t="s">
        <v>142</v>
      </c>
      <c r="K446" s="16" t="s">
        <v>203</v>
      </c>
      <c r="L446" s="17"/>
      <c r="M446" s="17">
        <v>203.2</v>
      </c>
      <c r="N446" s="17">
        <v>204.4</v>
      </c>
      <c r="O446" s="17">
        <v>157.19</v>
      </c>
      <c r="P446" s="17">
        <v>170.53</v>
      </c>
      <c r="Q446" s="17">
        <v>32.299999999999997</v>
      </c>
      <c r="R446" s="17">
        <v>16.739999999999998</v>
      </c>
      <c r="S446" s="17">
        <v>113.5</v>
      </c>
      <c r="T446" s="17">
        <v>92.66</v>
      </c>
      <c r="U446" s="50">
        <v>64.209999999999994</v>
      </c>
      <c r="V446" s="50">
        <v>48.2</v>
      </c>
      <c r="W446" s="50">
        <v>76.02</v>
      </c>
      <c r="X446" s="50">
        <v>90.34</v>
      </c>
      <c r="Y446" s="50">
        <v>44.71</v>
      </c>
      <c r="Z446" s="50">
        <v>96.6</v>
      </c>
      <c r="AA446" s="50">
        <v>73.14</v>
      </c>
      <c r="AB446" s="50">
        <v>73.540000000000006</v>
      </c>
      <c r="AC446" s="50">
        <v>3.97</v>
      </c>
      <c r="AD446" s="50">
        <v>45.78</v>
      </c>
      <c r="AE446" s="17">
        <v>26.43</v>
      </c>
      <c r="AF446" s="17">
        <v>28.52</v>
      </c>
      <c r="AG446" s="17">
        <v>31.91</v>
      </c>
      <c r="AH446" s="17">
        <v>38.08</v>
      </c>
      <c r="AI446" s="17">
        <v>1.8160000000000001</v>
      </c>
      <c r="AJ446" s="17"/>
      <c r="AK446" s="17"/>
      <c r="AL446" s="17">
        <v>27</v>
      </c>
      <c r="AM446" s="17"/>
      <c r="AN446" s="17"/>
      <c r="AO446" s="17">
        <f>18.2-3.2</f>
        <v>15</v>
      </c>
      <c r="AP446" s="17">
        <f>92.5-10.6</f>
        <v>81.900000000000006</v>
      </c>
      <c r="AQ446" s="17">
        <f>40.3-10.6</f>
        <v>29.699999999999996</v>
      </c>
      <c r="AR446" s="17">
        <v>48.6</v>
      </c>
      <c r="AS446" s="17">
        <v>21.1</v>
      </c>
      <c r="AT446" s="3" t="s">
        <v>603</v>
      </c>
      <c r="AU446" s="3"/>
    </row>
    <row r="447" spans="1:47" x14ac:dyDescent="0.2">
      <c r="A447" s="115">
        <v>446.00000000000148</v>
      </c>
      <c r="B447" s="3">
        <v>126</v>
      </c>
      <c r="C447" s="3">
        <v>21.446000000000002</v>
      </c>
      <c r="D447" s="129" t="s">
        <v>140</v>
      </c>
      <c r="E447" t="s">
        <v>141</v>
      </c>
      <c r="F447" s="3" t="s">
        <v>60</v>
      </c>
      <c r="H447" s="3" t="s">
        <v>60</v>
      </c>
      <c r="I447" s="82">
        <v>44457</v>
      </c>
      <c r="J447" s="17" t="s">
        <v>142</v>
      </c>
      <c r="K447" s="16" t="s">
        <v>203</v>
      </c>
      <c r="L447" s="17"/>
      <c r="M447" s="17">
        <v>211.6</v>
      </c>
      <c r="N447" s="17">
        <v>213</v>
      </c>
      <c r="O447" s="17">
        <v>157.51</v>
      </c>
      <c r="P447" s="17">
        <v>165.42</v>
      </c>
      <c r="Q447" s="17">
        <v>27.81</v>
      </c>
      <c r="R447" s="17">
        <v>19</v>
      </c>
      <c r="S447" s="17">
        <v>115.47</v>
      </c>
      <c r="T447" s="17">
        <v>97</v>
      </c>
      <c r="U447" s="50">
        <v>64.099999999999994</v>
      </c>
      <c r="V447" s="50">
        <v>45.2</v>
      </c>
      <c r="W447" s="50">
        <v>73.73</v>
      </c>
      <c r="X447" s="50">
        <v>88.67</v>
      </c>
      <c r="Y447" s="50">
        <v>42.64</v>
      </c>
      <c r="Z447" s="50">
        <v>93.23</v>
      </c>
      <c r="AA447" s="50">
        <v>72.61</v>
      </c>
      <c r="AB447" s="50">
        <v>74.569999999999993</v>
      </c>
      <c r="AC447" s="50">
        <v>9.2899999999999991</v>
      </c>
      <c r="AD447" s="50">
        <v>47.27</v>
      </c>
      <c r="AE447" s="17">
        <v>24.69</v>
      </c>
      <c r="AF447" s="17">
        <v>30.46</v>
      </c>
      <c r="AG447" s="17">
        <v>37.43</v>
      </c>
      <c r="AH447" s="17">
        <v>34.520000000000003</v>
      </c>
      <c r="AI447" s="17">
        <v>1.8440000000000001</v>
      </c>
      <c r="AJ447" s="17"/>
      <c r="AK447" s="17"/>
      <c r="AL447" s="17">
        <f>19+3+20</f>
        <v>42</v>
      </c>
      <c r="AM447" s="17"/>
      <c r="AN447" s="17"/>
      <c r="AO447" s="17">
        <f>15.9-3.2</f>
        <v>12.7</v>
      </c>
      <c r="AP447" s="17">
        <f>89-10.2</f>
        <v>78.8</v>
      </c>
      <c r="AQ447" s="17">
        <f>32.7-10.6</f>
        <v>22.1</v>
      </c>
      <c r="AR447" s="17">
        <v>47.2</v>
      </c>
      <c r="AS447" s="17">
        <v>21</v>
      </c>
      <c r="AT447" s="3" t="s">
        <v>603</v>
      </c>
      <c r="AU447" s="3"/>
    </row>
    <row r="448" spans="1:47" x14ac:dyDescent="0.2">
      <c r="A448" s="115">
        <v>446.9999999999992</v>
      </c>
      <c r="B448" s="3" t="s">
        <v>609</v>
      </c>
      <c r="C448" s="3">
        <v>21.446999999999999</v>
      </c>
      <c r="D448" s="125" t="s">
        <v>156</v>
      </c>
      <c r="E448" t="s">
        <v>491</v>
      </c>
      <c r="F448" s="3" t="s">
        <v>77</v>
      </c>
      <c r="G448" s="3" t="s">
        <v>77</v>
      </c>
      <c r="I448" s="82">
        <v>44416</v>
      </c>
      <c r="J448" s="16" t="s">
        <v>142</v>
      </c>
      <c r="K448" s="17" t="s">
        <v>203</v>
      </c>
      <c r="L448" s="17"/>
      <c r="M448" s="17"/>
      <c r="N448" s="17">
        <v>194.1</v>
      </c>
      <c r="O448" s="17">
        <v>160.81</v>
      </c>
      <c r="P448" s="17">
        <v>174.75</v>
      </c>
      <c r="Q448" s="17">
        <v>38.96</v>
      </c>
      <c r="R448" s="17">
        <v>17</v>
      </c>
      <c r="S448" s="17">
        <v>115.87</v>
      </c>
      <c r="T448" s="17">
        <v>91.21</v>
      </c>
      <c r="U448" s="50">
        <v>63.74</v>
      </c>
      <c r="V448" s="50">
        <v>47.38</v>
      </c>
      <c r="W448" s="50">
        <v>69.06</v>
      </c>
      <c r="X448" s="50">
        <v>83.71</v>
      </c>
      <c r="Y448" s="50">
        <v>37.29</v>
      </c>
      <c r="Z448" s="50">
        <v>87.52</v>
      </c>
      <c r="AA448" s="50">
        <v>72.34</v>
      </c>
      <c r="AB448" s="50">
        <v>70.45</v>
      </c>
      <c r="AC448" s="50">
        <v>5.42</v>
      </c>
      <c r="AD448" s="50">
        <v>47.22</v>
      </c>
      <c r="AE448" s="17">
        <v>23.86</v>
      </c>
      <c r="AF448" s="17">
        <v>39.67</v>
      </c>
      <c r="AG448" s="17">
        <v>24.8</v>
      </c>
      <c r="AH448" s="17">
        <v>40.15</v>
      </c>
      <c r="AI448" s="17">
        <v>1.3340000000000001</v>
      </c>
      <c r="AJ448" s="17"/>
      <c r="AK448" s="17"/>
      <c r="AL448" s="17">
        <v>3</v>
      </c>
      <c r="AM448" s="17"/>
      <c r="AN448" s="17"/>
      <c r="AO448" s="17">
        <f>11.9-3.2</f>
        <v>8.6999999999999993</v>
      </c>
      <c r="AP448" s="17">
        <f>71.6-9.5</f>
        <v>62.099999999999994</v>
      </c>
      <c r="AQ448" s="17">
        <f>78.8-10.7</f>
        <v>68.099999999999994</v>
      </c>
      <c r="AR448" s="17">
        <v>42.8</v>
      </c>
      <c r="AS448" s="17">
        <v>18.8</v>
      </c>
      <c r="AT448" s="3" t="s">
        <v>603</v>
      </c>
      <c r="AU448" s="3"/>
    </row>
    <row r="449" spans="1:47" x14ac:dyDescent="0.2">
      <c r="A449" s="115">
        <v>448.0000000000004</v>
      </c>
      <c r="B449" s="3">
        <v>151</v>
      </c>
      <c r="C449" s="3">
        <v>21.448</v>
      </c>
      <c r="D449" s="129" t="s">
        <v>140</v>
      </c>
      <c r="E449" t="s">
        <v>141</v>
      </c>
      <c r="F449" s="3" t="s">
        <v>60</v>
      </c>
      <c r="H449" s="3" t="s">
        <v>60</v>
      </c>
      <c r="I449" s="82">
        <v>44481</v>
      </c>
      <c r="J449" s="17" t="s">
        <v>142</v>
      </c>
      <c r="K449" s="16" t="s">
        <v>203</v>
      </c>
      <c r="L449" s="17"/>
      <c r="M449" s="17">
        <v>214.8</v>
      </c>
      <c r="N449" s="17">
        <v>216.6</v>
      </c>
      <c r="O449" s="17">
        <v>155.38999999999999</v>
      </c>
      <c r="P449" s="17">
        <v>165.95</v>
      </c>
      <c r="Q449" s="17">
        <v>26.72</v>
      </c>
      <c r="R449" s="17">
        <v>17.97</v>
      </c>
      <c r="S449" s="17">
        <v>117.08</v>
      </c>
      <c r="T449" s="17">
        <v>96.22</v>
      </c>
      <c r="U449" s="50">
        <v>71.680000000000007</v>
      </c>
      <c r="V449" s="50">
        <v>47.9</v>
      </c>
      <c r="W449" s="50">
        <v>78.33</v>
      </c>
      <c r="X449" s="50">
        <v>91.02</v>
      </c>
      <c r="Y449" s="50">
        <v>39.979999999999997</v>
      </c>
      <c r="Z449" s="50">
        <v>96.79</v>
      </c>
      <c r="AA449" s="50">
        <v>75.59</v>
      </c>
      <c r="AB449" s="50">
        <v>72.05</v>
      </c>
      <c r="AC449" s="50">
        <v>9.9700000000000006</v>
      </c>
      <c r="AD449" s="50">
        <v>45.7</v>
      </c>
      <c r="AE449" s="17">
        <v>21.75</v>
      </c>
      <c r="AF449" s="17">
        <v>29.59</v>
      </c>
      <c r="AG449" s="17">
        <v>23.46</v>
      </c>
      <c r="AH449" s="17">
        <v>35.01</v>
      </c>
      <c r="AI449" s="17">
        <v>1.8089999999999999</v>
      </c>
      <c r="AJ449" s="17"/>
      <c r="AK449" s="17"/>
      <c r="AL449" s="17">
        <v>28</v>
      </c>
      <c r="AM449" s="17"/>
      <c r="AN449" s="17"/>
      <c r="AO449" s="17">
        <f>18.1-10.9</f>
        <v>7.2000000000000011</v>
      </c>
      <c r="AP449" s="17">
        <f>114.9-10.1</f>
        <v>104.80000000000001</v>
      </c>
      <c r="AQ449" s="17">
        <f>25.7-10.9</f>
        <v>14.799999999999999</v>
      </c>
      <c r="AR449" s="17">
        <v>52.9</v>
      </c>
      <c r="AS449" s="17">
        <v>22.8</v>
      </c>
      <c r="AT449" s="3" t="s">
        <v>603</v>
      </c>
      <c r="AU449" s="3"/>
    </row>
    <row r="450" spans="1:47" x14ac:dyDescent="0.2">
      <c r="A450" s="115">
        <v>449.00000000000159</v>
      </c>
      <c r="B450" s="3">
        <v>143</v>
      </c>
      <c r="C450" s="3">
        <v>21.449000000000002</v>
      </c>
      <c r="D450" s="129" t="s">
        <v>140</v>
      </c>
      <c r="E450" t="s">
        <v>141</v>
      </c>
      <c r="F450" s="3" t="s">
        <v>60</v>
      </c>
      <c r="H450" s="3" t="s">
        <v>60</v>
      </c>
      <c r="I450" s="82">
        <v>44480</v>
      </c>
      <c r="J450" s="17" t="s">
        <v>142</v>
      </c>
      <c r="K450" s="16" t="s">
        <v>203</v>
      </c>
      <c r="L450" s="17"/>
      <c r="M450" s="17">
        <v>216.3</v>
      </c>
      <c r="N450" s="17">
        <v>217.2</v>
      </c>
      <c r="O450" s="17">
        <v>161.69999999999999</v>
      </c>
      <c r="P450" s="17">
        <v>173.68</v>
      </c>
      <c r="Q450" s="17">
        <v>27</v>
      </c>
      <c r="R450" s="17">
        <v>23.3</v>
      </c>
      <c r="S450" s="17">
        <v>119.03</v>
      </c>
      <c r="T450" s="17">
        <v>97.91</v>
      </c>
      <c r="U450" s="50">
        <v>63.1</v>
      </c>
      <c r="V450" s="50">
        <v>44.33</v>
      </c>
      <c r="W450" s="50">
        <v>74.23</v>
      </c>
      <c r="X450" s="50">
        <v>89.48</v>
      </c>
      <c r="Y450" s="50">
        <v>42.29</v>
      </c>
      <c r="Z450" s="50">
        <v>94.02</v>
      </c>
      <c r="AA450" s="50">
        <v>75.11</v>
      </c>
      <c r="AB450" s="50">
        <v>73.209999999999994</v>
      </c>
      <c r="AC450" s="50">
        <v>9.26</v>
      </c>
      <c r="AD450" s="50">
        <v>47.23</v>
      </c>
      <c r="AE450" s="17">
        <v>26.14</v>
      </c>
      <c r="AF450" s="17">
        <v>34.549999999999997</v>
      </c>
      <c r="AG450" s="17">
        <v>38.33</v>
      </c>
      <c r="AH450" s="17">
        <v>39.130000000000003</v>
      </c>
      <c r="AI450" s="17">
        <v>2.0950000000000002</v>
      </c>
      <c r="AJ450" s="17"/>
      <c r="AK450" s="17"/>
      <c r="AL450" s="17">
        <v>30</v>
      </c>
      <c r="AM450" s="17"/>
      <c r="AN450" s="17"/>
      <c r="AO450" s="17">
        <f>12.9-3.2</f>
        <v>9.6999999999999993</v>
      </c>
      <c r="AP450" s="17">
        <f>99.9-10.9</f>
        <v>89</v>
      </c>
      <c r="AQ450" s="17">
        <f>42.2-10.7</f>
        <v>31.500000000000004</v>
      </c>
      <c r="AR450" s="17">
        <v>52.1</v>
      </c>
      <c r="AS450" s="17">
        <v>21.9</v>
      </c>
      <c r="AT450" s="3" t="s">
        <v>603</v>
      </c>
      <c r="AU450" s="3"/>
    </row>
    <row r="451" spans="1:47" x14ac:dyDescent="0.2">
      <c r="A451" s="115">
        <v>449.99999999999932</v>
      </c>
      <c r="B451" s="3" t="s">
        <v>610</v>
      </c>
      <c r="C451" s="12" t="s">
        <v>611</v>
      </c>
      <c r="D451" s="125" t="s">
        <v>156</v>
      </c>
      <c r="E451" t="s">
        <v>491</v>
      </c>
      <c r="F451" s="3" t="s">
        <v>77</v>
      </c>
      <c r="G451" s="3" t="s">
        <v>77</v>
      </c>
      <c r="I451" s="82">
        <v>44458</v>
      </c>
      <c r="J451" s="16" t="s">
        <v>142</v>
      </c>
      <c r="K451" s="17" t="s">
        <v>203</v>
      </c>
      <c r="L451" s="17"/>
      <c r="M451" s="17"/>
      <c r="N451" s="17">
        <v>164.4</v>
      </c>
      <c r="O451" s="17">
        <v>167.94</v>
      </c>
      <c r="P451" s="17">
        <v>170.47</v>
      </c>
      <c r="Q451" s="17">
        <v>33.880000000000003</v>
      </c>
      <c r="R451" s="17">
        <v>21.77</v>
      </c>
      <c r="S451" s="17">
        <v>111.45</v>
      </c>
      <c r="T451" s="17">
        <v>85.6</v>
      </c>
      <c r="U451" s="50">
        <v>61.64</v>
      </c>
      <c r="V451" s="50">
        <v>44.95</v>
      </c>
      <c r="W451" s="50">
        <v>65.430000000000007</v>
      </c>
      <c r="X451" s="50">
        <v>83.58</v>
      </c>
      <c r="Y451" s="50">
        <v>35.75</v>
      </c>
      <c r="Z451" s="50">
        <v>86.84</v>
      </c>
      <c r="AA451" s="50">
        <v>72.52</v>
      </c>
      <c r="AB451" s="50">
        <v>70.78</v>
      </c>
      <c r="AC451" s="50">
        <v>6.21</v>
      </c>
      <c r="AD451" s="50">
        <v>41.44</v>
      </c>
      <c r="AE451" s="17">
        <v>29.11</v>
      </c>
      <c r="AF451" s="17">
        <v>37.51</v>
      </c>
      <c r="AG451" s="17">
        <v>22.17</v>
      </c>
      <c r="AH451" s="17">
        <v>37.83</v>
      </c>
      <c r="AI451" s="17">
        <v>1.3959999999999999</v>
      </c>
      <c r="AJ451" s="17"/>
      <c r="AK451" s="17"/>
      <c r="AL451" s="17"/>
      <c r="AM451" s="17"/>
      <c r="AN451" s="17"/>
      <c r="AO451" s="17">
        <f>12.3-3.1</f>
        <v>9.2000000000000011</v>
      </c>
      <c r="AP451" s="17">
        <f>84.5-10.8</f>
        <v>73.7</v>
      </c>
      <c r="AQ451" s="17">
        <f>49.1-10.7</f>
        <v>38.400000000000006</v>
      </c>
      <c r="AR451" s="17">
        <v>39.200000000000003</v>
      </c>
      <c r="AS451" s="17">
        <v>12.1</v>
      </c>
      <c r="AT451" s="3" t="s">
        <v>603</v>
      </c>
      <c r="AU451" s="3"/>
    </row>
    <row r="452" spans="1:47" x14ac:dyDescent="0.2">
      <c r="A452" s="115">
        <v>451.00000000000051</v>
      </c>
      <c r="B452" s="3" t="s">
        <v>612</v>
      </c>
      <c r="C452" s="3">
        <v>21.451000000000001</v>
      </c>
      <c r="D452" s="125" t="s">
        <v>156</v>
      </c>
      <c r="E452" t="s">
        <v>491</v>
      </c>
      <c r="F452" s="3" t="s">
        <v>77</v>
      </c>
      <c r="G452" s="3" t="s">
        <v>77</v>
      </c>
      <c r="I452" s="82">
        <v>44425</v>
      </c>
      <c r="J452" s="16" t="s">
        <v>142</v>
      </c>
      <c r="K452" s="17" t="s">
        <v>203</v>
      </c>
      <c r="L452" s="17"/>
      <c r="M452" s="17"/>
      <c r="N452" s="17">
        <v>194.6</v>
      </c>
      <c r="O452" s="17">
        <v>162.38</v>
      </c>
      <c r="P452" s="17">
        <v>172.17</v>
      </c>
      <c r="Q452" s="17">
        <v>37.11</v>
      </c>
      <c r="R452" s="17">
        <v>14.95</v>
      </c>
      <c r="S452" s="17">
        <v>114.97</v>
      </c>
      <c r="T452" s="17">
        <v>90.65</v>
      </c>
      <c r="U452" s="50">
        <v>63.4</v>
      </c>
      <c r="V452" s="50">
        <v>42.45</v>
      </c>
      <c r="W452" s="50">
        <v>68.349999999999994</v>
      </c>
      <c r="X452" s="50">
        <v>83.23</v>
      </c>
      <c r="Y452" s="50">
        <v>37.6</v>
      </c>
      <c r="Z452" s="50">
        <v>88.07</v>
      </c>
      <c r="AA452" s="50">
        <v>73.900000000000006</v>
      </c>
      <c r="AB452" s="50">
        <v>71.55</v>
      </c>
      <c r="AC452" s="50">
        <v>9.8699999999999992</v>
      </c>
      <c r="AD452" s="50">
        <v>46.47</v>
      </c>
      <c r="AE452" s="17">
        <v>25.56</v>
      </c>
      <c r="AF452" s="17">
        <v>36.35</v>
      </c>
      <c r="AG452" s="17">
        <v>22.47</v>
      </c>
      <c r="AH452" s="17">
        <v>35.29</v>
      </c>
      <c r="AI452" s="17">
        <v>1.2829999999999999</v>
      </c>
      <c r="AJ452" s="17"/>
      <c r="AK452" s="17"/>
      <c r="AL452" s="17">
        <v>14</v>
      </c>
      <c r="AM452" s="17"/>
      <c r="AN452" s="17"/>
      <c r="AO452" s="17">
        <f>11.5-3.4</f>
        <v>8.1</v>
      </c>
      <c r="AP452" s="17">
        <f>81-10.2</f>
        <v>70.8</v>
      </c>
      <c r="AQ452" s="17">
        <f>59.6-10.8</f>
        <v>48.8</v>
      </c>
      <c r="AR452" s="17">
        <v>45.3</v>
      </c>
      <c r="AS452" s="17">
        <v>18</v>
      </c>
      <c r="AT452" s="3" t="s">
        <v>603</v>
      </c>
      <c r="AU452" s="3"/>
    </row>
    <row r="453" spans="1:47" x14ac:dyDescent="0.2">
      <c r="A453" s="115">
        <v>452.00000000000171</v>
      </c>
      <c r="B453" s="3" t="s">
        <v>613</v>
      </c>
      <c r="C453" s="3">
        <v>21.452000000000002</v>
      </c>
      <c r="D453" s="125" t="s">
        <v>156</v>
      </c>
      <c r="E453" t="s">
        <v>491</v>
      </c>
      <c r="F453" s="3" t="s">
        <v>77</v>
      </c>
      <c r="G453" s="3" t="s">
        <v>77</v>
      </c>
      <c r="I453" s="82">
        <v>44416</v>
      </c>
      <c r="J453" s="16" t="s">
        <v>142</v>
      </c>
      <c r="K453" s="17" t="s">
        <v>203</v>
      </c>
      <c r="L453" s="17"/>
      <c r="M453" s="17"/>
      <c r="N453" s="17">
        <v>189.6</v>
      </c>
      <c r="O453" s="17">
        <v>164.95</v>
      </c>
      <c r="P453" s="17">
        <v>175.83</v>
      </c>
      <c r="Q453" s="17">
        <v>36.58</v>
      </c>
      <c r="R453" s="17">
        <v>23.9</v>
      </c>
      <c r="S453" s="17">
        <v>117.53</v>
      </c>
      <c r="T453" s="17">
        <v>95.25</v>
      </c>
      <c r="U453" s="50">
        <v>60.74</v>
      </c>
      <c r="V453" s="50">
        <v>44.97</v>
      </c>
      <c r="W453" s="50">
        <v>68.260000000000005</v>
      </c>
      <c r="X453" s="50">
        <v>81.63</v>
      </c>
      <c r="Y453" s="50">
        <v>38.96</v>
      </c>
      <c r="Z453" s="50">
        <v>86.83</v>
      </c>
      <c r="AA453" s="50">
        <v>71.8</v>
      </c>
      <c r="AB453" s="50">
        <v>68.569999999999993</v>
      </c>
      <c r="AC453" s="50">
        <v>11.74</v>
      </c>
      <c r="AD453" s="50">
        <v>46.06</v>
      </c>
      <c r="AE453" s="17">
        <v>24.37</v>
      </c>
      <c r="AF453" s="17">
        <v>35.840000000000003</v>
      </c>
      <c r="AG453" s="17">
        <v>32.020000000000003</v>
      </c>
      <c r="AH453" s="17">
        <v>38.4</v>
      </c>
      <c r="AI453" s="17">
        <v>1.516</v>
      </c>
      <c r="AJ453" s="17"/>
      <c r="AK453" s="17"/>
      <c r="AL453" s="17">
        <v>15</v>
      </c>
      <c r="AM453" s="17"/>
      <c r="AN453" s="17"/>
      <c r="AO453" s="17">
        <f>15.3-3.1</f>
        <v>12.200000000000001</v>
      </c>
      <c r="AP453" s="17">
        <f>78.1-11.5</f>
        <v>66.599999999999994</v>
      </c>
      <c r="AQ453" s="17">
        <f>59.9-10.8</f>
        <v>49.099999999999994</v>
      </c>
      <c r="AR453" s="17">
        <v>43.7</v>
      </c>
      <c r="AS453" s="17">
        <v>18.899999999999999</v>
      </c>
      <c r="AT453" s="3" t="s">
        <v>603</v>
      </c>
      <c r="AU453" s="3"/>
    </row>
    <row r="454" spans="1:47" x14ac:dyDescent="0.2">
      <c r="A454" s="115">
        <v>452.99999999999943</v>
      </c>
      <c r="B454" s="3" t="s">
        <v>614</v>
      </c>
      <c r="C454" s="3">
        <v>21.452999999999999</v>
      </c>
      <c r="D454" s="125" t="s">
        <v>156</v>
      </c>
      <c r="E454" t="s">
        <v>491</v>
      </c>
      <c r="F454" s="3" t="s">
        <v>77</v>
      </c>
      <c r="G454" s="3" t="s">
        <v>77</v>
      </c>
      <c r="I454" s="82">
        <v>44458</v>
      </c>
      <c r="J454" s="16" t="s">
        <v>142</v>
      </c>
      <c r="K454" s="17" t="s">
        <v>203</v>
      </c>
      <c r="L454" s="17"/>
      <c r="M454" s="17"/>
      <c r="N454" s="17">
        <v>180.3</v>
      </c>
      <c r="O454" s="17">
        <v>168.25</v>
      </c>
      <c r="P454" s="17">
        <v>178.16</v>
      </c>
      <c r="Q454" s="17">
        <v>39.89</v>
      </c>
      <c r="R454" s="17">
        <v>15.62</v>
      </c>
      <c r="S454" s="17">
        <v>120.31</v>
      </c>
      <c r="T454" s="17">
        <v>94.9</v>
      </c>
      <c r="U454" s="50">
        <v>61.01</v>
      </c>
      <c r="V454" s="50">
        <v>43.83</v>
      </c>
      <c r="W454" s="50">
        <v>64.760000000000005</v>
      </c>
      <c r="X454" s="50">
        <v>84.17</v>
      </c>
      <c r="Y454" s="50">
        <v>37.68</v>
      </c>
      <c r="Z454" s="50">
        <v>88.52</v>
      </c>
      <c r="AA454" s="50">
        <v>73.41</v>
      </c>
      <c r="AB454" s="50">
        <v>70.3</v>
      </c>
      <c r="AC454" s="50">
        <v>11.06</v>
      </c>
      <c r="AD454" s="50">
        <v>43.23</v>
      </c>
      <c r="AE454" s="17">
        <v>25.43</v>
      </c>
      <c r="AF454" s="17">
        <v>39</v>
      </c>
      <c r="AG454" s="17">
        <v>28.08</v>
      </c>
      <c r="AH454" s="17">
        <v>36.340000000000003</v>
      </c>
      <c r="AI454" s="17">
        <v>1.4670000000000001</v>
      </c>
      <c r="AJ454" s="17"/>
      <c r="AK454" s="17"/>
      <c r="AL454" s="17"/>
      <c r="AM454" s="17"/>
      <c r="AN454" s="17"/>
      <c r="AO454" s="17">
        <f>10.1-2.9</f>
        <v>7.1999999999999993</v>
      </c>
      <c r="AP454" s="17">
        <f>90.2-10.5</f>
        <v>79.7</v>
      </c>
      <c r="AQ454" s="17">
        <f>58.7-10.7</f>
        <v>48</v>
      </c>
      <c r="AR454" s="17">
        <v>40.9</v>
      </c>
      <c r="AS454" s="17">
        <v>19</v>
      </c>
      <c r="AT454" s="3" t="s">
        <v>603</v>
      </c>
      <c r="AU454" s="3"/>
    </row>
    <row r="455" spans="1:47" x14ac:dyDescent="0.2">
      <c r="A455" s="115">
        <v>454.00000000000063</v>
      </c>
      <c r="B455" s="3" t="s">
        <v>615</v>
      </c>
      <c r="C455" s="3">
        <v>21.454000000000001</v>
      </c>
      <c r="D455" s="125" t="s">
        <v>156</v>
      </c>
      <c r="E455" t="s">
        <v>491</v>
      </c>
      <c r="F455" s="3" t="s">
        <v>77</v>
      </c>
      <c r="G455" s="3" t="s">
        <v>77</v>
      </c>
      <c r="I455" s="82">
        <v>44458</v>
      </c>
      <c r="J455" s="16" t="s">
        <v>142</v>
      </c>
      <c r="K455" s="17" t="s">
        <v>203</v>
      </c>
      <c r="L455" s="17"/>
      <c r="M455" s="17"/>
      <c r="N455" s="17">
        <v>167.8</v>
      </c>
      <c r="O455" s="17">
        <v>166.2</v>
      </c>
      <c r="P455" s="17">
        <v>164.79</v>
      </c>
      <c r="Q455" s="17">
        <v>35.04</v>
      </c>
      <c r="R455" s="17">
        <v>19.29</v>
      </c>
      <c r="S455" s="17">
        <v>114.8</v>
      </c>
      <c r="T455" s="17">
        <v>89.04</v>
      </c>
      <c r="U455" s="50">
        <v>62.79</v>
      </c>
      <c r="V455" s="50">
        <v>44.09</v>
      </c>
      <c r="W455" s="50">
        <v>64.11</v>
      </c>
      <c r="X455" s="50">
        <v>82.36</v>
      </c>
      <c r="Y455" s="50">
        <v>37.72</v>
      </c>
      <c r="Z455" s="50">
        <v>88.26</v>
      </c>
      <c r="AA455" s="50">
        <v>74.569999999999993</v>
      </c>
      <c r="AB455" s="50">
        <v>71.25</v>
      </c>
      <c r="AC455" s="50">
        <v>8.2200000000000006</v>
      </c>
      <c r="AD455" s="50">
        <v>42.67</v>
      </c>
      <c r="AE455" s="17">
        <v>27.62</v>
      </c>
      <c r="AF455" s="17">
        <v>38.840000000000003</v>
      </c>
      <c r="AG455" s="17">
        <v>29.24</v>
      </c>
      <c r="AH455" s="17">
        <v>34.79</v>
      </c>
      <c r="AI455" s="17">
        <v>1.4059999999999999</v>
      </c>
      <c r="AJ455" s="17"/>
      <c r="AK455" s="17"/>
      <c r="AL455" s="17"/>
      <c r="AM455" s="17"/>
      <c r="AN455" s="17"/>
      <c r="AO455" s="17">
        <f>10.8-3</f>
        <v>7.8000000000000007</v>
      </c>
      <c r="AP455" s="17">
        <f>90.3-10.4</f>
        <v>79.899999999999991</v>
      </c>
      <c r="AQ455" s="17">
        <f>48.3-11.2</f>
        <v>37.099999999999994</v>
      </c>
      <c r="AR455" s="17">
        <v>39.5</v>
      </c>
      <c r="AS455" s="17">
        <v>18.100000000000001</v>
      </c>
      <c r="AT455" s="3" t="s">
        <v>603</v>
      </c>
      <c r="AU455" s="3"/>
    </row>
    <row r="456" spans="1:47" x14ac:dyDescent="0.2">
      <c r="A456" s="115">
        <v>454.99999999999829</v>
      </c>
      <c r="B456" s="3">
        <v>158</v>
      </c>
      <c r="C456" s="3">
        <v>21.454999999999998</v>
      </c>
      <c r="D456" s="129" t="s">
        <v>140</v>
      </c>
      <c r="E456" t="s">
        <v>141</v>
      </c>
      <c r="F456" s="3" t="s">
        <v>60</v>
      </c>
      <c r="H456" s="3" t="s">
        <v>60</v>
      </c>
      <c r="I456" s="82">
        <v>44496</v>
      </c>
      <c r="J456" s="17" t="s">
        <v>142</v>
      </c>
      <c r="K456" s="17" t="s">
        <v>203</v>
      </c>
      <c r="L456" s="17"/>
      <c r="M456" s="17">
        <v>204.7</v>
      </c>
      <c r="N456" s="17">
        <v>202.8</v>
      </c>
      <c r="O456" s="17">
        <v>160.5</v>
      </c>
      <c r="P456" s="17">
        <v>176.97</v>
      </c>
      <c r="Q456" s="17">
        <v>32.71</v>
      </c>
      <c r="R456" s="17">
        <v>25.01</v>
      </c>
      <c r="S456" s="17">
        <v>110.95</v>
      </c>
      <c r="T456" s="17">
        <v>92.53</v>
      </c>
      <c r="U456" s="50">
        <v>60.07</v>
      </c>
      <c r="V456" s="50">
        <v>49.27</v>
      </c>
      <c r="W456" s="50">
        <v>75.61</v>
      </c>
      <c r="X456" s="50">
        <v>92.03</v>
      </c>
      <c r="Y456" s="50">
        <v>44.57</v>
      </c>
      <c r="Z456" s="50">
        <v>97.7</v>
      </c>
      <c r="AA456" s="50">
        <v>76.25</v>
      </c>
      <c r="AB456" s="50">
        <v>77.849999999999994</v>
      </c>
      <c r="AC456" s="50">
        <v>12.32</v>
      </c>
      <c r="AD456" s="50">
        <v>43.9</v>
      </c>
      <c r="AE456" s="17">
        <v>32.200000000000003</v>
      </c>
      <c r="AF456" s="17">
        <v>35.36</v>
      </c>
      <c r="AG456" s="17">
        <v>32.799999999999997</v>
      </c>
      <c r="AH456" s="17">
        <v>35.03</v>
      </c>
      <c r="AI456" s="17">
        <v>1.8680000000000001</v>
      </c>
      <c r="AJ456" s="17"/>
      <c r="AK456" s="17"/>
      <c r="AL456" s="17">
        <v>14</v>
      </c>
      <c r="AM456" s="17"/>
      <c r="AN456" s="17"/>
      <c r="AO456" s="17">
        <f>9-3.2</f>
        <v>5.8</v>
      </c>
      <c r="AP456" s="17">
        <f>111.4-10.6+(14.3-10.6)</f>
        <v>104.50000000000001</v>
      </c>
      <c r="AQ456" s="17">
        <f>36.6-10.8</f>
        <v>25.8</v>
      </c>
      <c r="AR456" s="17">
        <v>46.4</v>
      </c>
      <c r="AS456" s="17">
        <v>20.8</v>
      </c>
      <c r="AT456" s="3" t="s">
        <v>603</v>
      </c>
      <c r="AU456" s="3"/>
    </row>
    <row r="457" spans="1:47" x14ac:dyDescent="0.2">
      <c r="A457" s="115">
        <v>455.99999999999955</v>
      </c>
      <c r="B457" s="3">
        <v>161</v>
      </c>
      <c r="C457" s="3">
        <v>21.456</v>
      </c>
      <c r="D457" s="129" t="s">
        <v>140</v>
      </c>
      <c r="E457" t="s">
        <v>141</v>
      </c>
      <c r="F457" s="3" t="s">
        <v>61</v>
      </c>
      <c r="H457" s="3" t="s">
        <v>61</v>
      </c>
      <c r="I457" s="82">
        <v>44496</v>
      </c>
      <c r="J457" s="17" t="s">
        <v>142</v>
      </c>
      <c r="K457" s="17" t="s">
        <v>203</v>
      </c>
      <c r="L457" s="17"/>
      <c r="M457" s="17">
        <v>188.2</v>
      </c>
      <c r="N457" s="17">
        <v>186.3</v>
      </c>
      <c r="O457" s="17">
        <v>197.27</v>
      </c>
      <c r="P457" s="17">
        <v>199.39</v>
      </c>
      <c r="Q457" s="17">
        <v>39.549999999999997</v>
      </c>
      <c r="R457" s="17">
        <v>39.799999999999997</v>
      </c>
      <c r="S457" s="17">
        <v>126.45</v>
      </c>
      <c r="T457" s="17">
        <v>99.07</v>
      </c>
      <c r="U457" s="50">
        <v>52.36</v>
      </c>
      <c r="V457" s="50">
        <v>40.58</v>
      </c>
      <c r="W457" s="50">
        <v>68.14</v>
      </c>
      <c r="X457" s="50">
        <v>80.98</v>
      </c>
      <c r="Y457" s="50">
        <v>33.17</v>
      </c>
      <c r="Z457" s="50">
        <v>91.18</v>
      </c>
      <c r="AA457" s="50">
        <v>71.150000000000006</v>
      </c>
      <c r="AB457" s="50">
        <v>65.73</v>
      </c>
      <c r="AC457" s="50">
        <v>13.59</v>
      </c>
      <c r="AD457" s="50">
        <v>43.96</v>
      </c>
      <c r="AE457" s="17">
        <v>48.71</v>
      </c>
      <c r="AF457" s="17">
        <v>41.71</v>
      </c>
      <c r="AG457" s="17">
        <v>31.94</v>
      </c>
      <c r="AH457" s="17">
        <v>35.36</v>
      </c>
      <c r="AI457" s="17">
        <v>1.498</v>
      </c>
      <c r="AJ457" s="17"/>
      <c r="AK457" s="17"/>
      <c r="AL457" s="17">
        <f>1.5+3.8</f>
        <v>5.3</v>
      </c>
      <c r="AM457" s="17"/>
      <c r="AN457" s="17"/>
      <c r="AO457" s="17">
        <f>6.7-3.2</f>
        <v>3.5</v>
      </c>
      <c r="AP457" s="17">
        <f>111-10.5</f>
        <v>100.5</v>
      </c>
      <c r="AQ457" s="17">
        <f>46.6-11.2</f>
        <v>35.400000000000006</v>
      </c>
      <c r="AR457" s="17">
        <v>36.5</v>
      </c>
      <c r="AS457" s="17">
        <v>16.600000000000001</v>
      </c>
      <c r="AT457" s="3" t="s">
        <v>603</v>
      </c>
      <c r="AU457" s="3"/>
    </row>
    <row r="458" spans="1:47" x14ac:dyDescent="0.2">
      <c r="A458" s="115">
        <v>457.00000000000074</v>
      </c>
      <c r="B458" s="3" t="s">
        <v>616</v>
      </c>
      <c r="C458" s="3">
        <v>21.457000000000001</v>
      </c>
      <c r="D458" s="125" t="s">
        <v>156</v>
      </c>
      <c r="E458" t="s">
        <v>491</v>
      </c>
      <c r="F458" s="3" t="s">
        <v>77</v>
      </c>
      <c r="G458" s="3" t="s">
        <v>77</v>
      </c>
      <c r="I458" s="82">
        <v>44425</v>
      </c>
      <c r="J458" s="16" t="s">
        <v>142</v>
      </c>
      <c r="K458" s="17" t="s">
        <v>203</v>
      </c>
      <c r="L458" s="17"/>
      <c r="M458" s="17"/>
      <c r="N458" s="17">
        <v>173.5</v>
      </c>
      <c r="O458" s="17">
        <v>171.4</v>
      </c>
      <c r="P458" s="17">
        <v>177.62</v>
      </c>
      <c r="Q458" s="17">
        <v>37.18</v>
      </c>
      <c r="R458" s="17">
        <v>24.98</v>
      </c>
      <c r="S458" s="17">
        <v>113.68</v>
      </c>
      <c r="T458" s="17">
        <v>83.85</v>
      </c>
      <c r="U458" s="50">
        <v>61.95</v>
      </c>
      <c r="V458" s="50">
        <v>44.46</v>
      </c>
      <c r="W458" s="50">
        <v>67.61</v>
      </c>
      <c r="X458" s="50">
        <v>84.69</v>
      </c>
      <c r="Y458" s="50">
        <v>37.85</v>
      </c>
      <c r="Z458" s="50">
        <v>89.39</v>
      </c>
      <c r="AA458" s="50">
        <v>75.459999999999994</v>
      </c>
      <c r="AB458" s="50">
        <v>74.28</v>
      </c>
      <c r="AC458" s="50">
        <v>9.6199999999999992</v>
      </c>
      <c r="AD458" s="50">
        <v>43.41</v>
      </c>
      <c r="AE458" s="17">
        <v>35.200000000000003</v>
      </c>
      <c r="AF458" s="17">
        <v>38</v>
      </c>
      <c r="AG458" s="17">
        <v>35.630000000000003</v>
      </c>
      <c r="AH458" s="17">
        <v>35.619999999999997</v>
      </c>
      <c r="AI458" s="17">
        <v>1.448</v>
      </c>
      <c r="AJ458" s="17"/>
      <c r="AK458" s="17"/>
      <c r="AL458" s="17"/>
      <c r="AM458" s="17"/>
      <c r="AN458" s="17"/>
      <c r="AO458" s="17">
        <f>8.6-3.2</f>
        <v>5.3999999999999995</v>
      </c>
      <c r="AP458" s="17">
        <f>77.8-10.4</f>
        <v>67.399999999999991</v>
      </c>
      <c r="AQ458" s="17">
        <f>68.9-10.8</f>
        <v>58.100000000000009</v>
      </c>
      <c r="AR458" s="17">
        <v>40</v>
      </c>
      <c r="AS458" s="17">
        <v>18</v>
      </c>
      <c r="AT458" s="3" t="s">
        <v>603</v>
      </c>
      <c r="AU458" s="3"/>
    </row>
    <row r="459" spans="1:47" x14ac:dyDescent="0.2">
      <c r="A459" s="115">
        <v>457.99999999999841</v>
      </c>
      <c r="B459" s="14" t="s">
        <v>617</v>
      </c>
      <c r="C459" s="14">
        <v>21.457999999999998</v>
      </c>
      <c r="D459" s="142" t="s">
        <v>156</v>
      </c>
      <c r="E459" s="18" t="s">
        <v>491</v>
      </c>
      <c r="F459" s="3" t="s">
        <v>77</v>
      </c>
      <c r="G459" s="3" t="s">
        <v>77</v>
      </c>
      <c r="I459" s="143">
        <v>44423</v>
      </c>
      <c r="J459" s="28" t="s">
        <v>142</v>
      </c>
      <c r="K459" s="28" t="s">
        <v>203</v>
      </c>
      <c r="L459" s="28"/>
      <c r="M459" s="28"/>
      <c r="N459" s="28">
        <v>194.5</v>
      </c>
      <c r="O459" s="28">
        <v>164.31</v>
      </c>
      <c r="P459" s="28">
        <v>177.6</v>
      </c>
      <c r="Q459" s="28">
        <v>30.71</v>
      </c>
      <c r="R459" s="28">
        <v>22.19</v>
      </c>
      <c r="S459" s="28">
        <v>115.66</v>
      </c>
      <c r="T459" s="28">
        <v>96.54</v>
      </c>
      <c r="U459" s="144">
        <v>62.07</v>
      </c>
      <c r="V459" s="144">
        <v>44.84</v>
      </c>
      <c r="W459" s="144">
        <v>70.27</v>
      </c>
      <c r="X459" s="144">
        <v>80.38</v>
      </c>
      <c r="Y459" s="144">
        <v>37.299999999999997</v>
      </c>
      <c r="Z459" s="144">
        <v>87.29</v>
      </c>
      <c r="AA459" s="144">
        <v>72.02</v>
      </c>
      <c r="AB459" s="144">
        <v>70.05</v>
      </c>
      <c r="AC459" s="144">
        <v>16.53</v>
      </c>
      <c r="AD459" s="144">
        <v>45.39</v>
      </c>
      <c r="AE459" s="28">
        <v>26.18</v>
      </c>
      <c r="AF459" s="28">
        <v>31.62</v>
      </c>
      <c r="AG459" s="28">
        <v>33.44</v>
      </c>
      <c r="AH459" s="28">
        <v>37.47</v>
      </c>
      <c r="AI459" s="28">
        <v>1.5589999999999999</v>
      </c>
      <c r="AJ459" s="28"/>
      <c r="AK459" s="28"/>
      <c r="AL459" s="28"/>
      <c r="AM459" s="28"/>
      <c r="AN459" s="28"/>
      <c r="AO459" s="28">
        <f>19.3-3.4</f>
        <v>15.9</v>
      </c>
      <c r="AP459" s="28">
        <f>73.3-11.4</f>
        <v>61.9</v>
      </c>
      <c r="AQ459" s="28">
        <f>45.2-10.9</f>
        <v>34.300000000000004</v>
      </c>
      <c r="AR459" s="28">
        <v>50.2</v>
      </c>
      <c r="AS459" s="28">
        <v>20.3</v>
      </c>
      <c r="AT459" s="14" t="s">
        <v>618</v>
      </c>
      <c r="AU459" s="14"/>
    </row>
    <row r="460" spans="1:47" x14ac:dyDescent="0.2">
      <c r="A460" s="115">
        <v>458.99999999999966</v>
      </c>
      <c r="B460" s="14" t="s">
        <v>619</v>
      </c>
      <c r="C460" s="14">
        <v>21.459</v>
      </c>
      <c r="D460" s="142" t="s">
        <v>156</v>
      </c>
      <c r="E460" s="18" t="s">
        <v>491</v>
      </c>
      <c r="F460" s="3" t="s">
        <v>77</v>
      </c>
      <c r="G460" s="3" t="s">
        <v>77</v>
      </c>
      <c r="I460" s="143">
        <v>44405</v>
      </c>
      <c r="J460" s="28" t="s">
        <v>142</v>
      </c>
      <c r="K460" s="28" t="s">
        <v>203</v>
      </c>
      <c r="L460" s="28"/>
      <c r="M460" s="28"/>
      <c r="N460" s="28">
        <v>189.9</v>
      </c>
      <c r="O460" s="28">
        <v>161.19999999999999</v>
      </c>
      <c r="P460" s="28">
        <v>173.98</v>
      </c>
      <c r="Q460" s="28">
        <v>32.25</v>
      </c>
      <c r="R460" s="28">
        <v>18.28</v>
      </c>
      <c r="S460" s="28">
        <v>115.78</v>
      </c>
      <c r="T460" s="28">
        <v>94.46</v>
      </c>
      <c r="U460" s="144">
        <v>62.33</v>
      </c>
      <c r="V460" s="144">
        <v>43.52</v>
      </c>
      <c r="W460" s="144">
        <v>67.88</v>
      </c>
      <c r="X460" s="144">
        <v>80.72</v>
      </c>
      <c r="Y460" s="144">
        <v>37.18</v>
      </c>
      <c r="Z460" s="144">
        <v>88.81</v>
      </c>
      <c r="AA460" s="144">
        <v>74.709999999999994</v>
      </c>
      <c r="AB460" s="144">
        <v>69.37</v>
      </c>
      <c r="AC460" s="144">
        <v>14.02</v>
      </c>
      <c r="AD460" s="144">
        <v>44.5</v>
      </c>
      <c r="AE460" s="28">
        <v>26.99</v>
      </c>
      <c r="AF460" s="28">
        <v>33.4</v>
      </c>
      <c r="AG460" s="28">
        <v>34.79</v>
      </c>
      <c r="AH460" s="28">
        <v>40.26</v>
      </c>
      <c r="AI460" s="28">
        <v>1.4239999999999999</v>
      </c>
      <c r="AJ460" s="28"/>
      <c r="AK460" s="28"/>
      <c r="AL460" s="28">
        <v>18</v>
      </c>
      <c r="AM460" s="28"/>
      <c r="AN460" s="28"/>
      <c r="AO460" s="28">
        <f>11.1-3.2</f>
        <v>7.8999999999999995</v>
      </c>
      <c r="AP460" s="28">
        <f>90.3-8.3</f>
        <v>82</v>
      </c>
      <c r="AQ460" s="28">
        <f>39.4-10.6</f>
        <v>28.799999999999997</v>
      </c>
      <c r="AR460" s="28">
        <v>44</v>
      </c>
      <c r="AS460" s="28">
        <v>19</v>
      </c>
      <c r="AT460" s="14" t="s">
        <v>618</v>
      </c>
      <c r="AU460" s="14"/>
    </row>
    <row r="461" spans="1:47" x14ac:dyDescent="0.2">
      <c r="A461" s="115">
        <v>460.00000000000085</v>
      </c>
      <c r="B461" s="14" t="s">
        <v>620</v>
      </c>
      <c r="C461" s="26" t="s">
        <v>621</v>
      </c>
      <c r="D461" s="142" t="s">
        <v>156</v>
      </c>
      <c r="E461" s="18" t="s">
        <v>491</v>
      </c>
      <c r="F461" s="3" t="s">
        <v>77</v>
      </c>
      <c r="G461" s="3" t="s">
        <v>77</v>
      </c>
      <c r="I461" s="143">
        <v>44405</v>
      </c>
      <c r="J461" s="28" t="s">
        <v>142</v>
      </c>
      <c r="K461" s="28" t="s">
        <v>203</v>
      </c>
      <c r="L461" s="28"/>
      <c r="M461" s="28"/>
      <c r="N461" s="28">
        <v>170.5</v>
      </c>
      <c r="O461" s="28">
        <v>167.68</v>
      </c>
      <c r="P461" s="28">
        <v>171.26</v>
      </c>
      <c r="Q461" s="28">
        <v>32.03</v>
      </c>
      <c r="R461" s="28">
        <v>17.72</v>
      </c>
      <c r="S461" s="28">
        <v>115.19</v>
      </c>
      <c r="T461" s="28">
        <v>90.66</v>
      </c>
      <c r="U461" s="144">
        <v>61.78</v>
      </c>
      <c r="V461" s="144">
        <v>43.89</v>
      </c>
      <c r="W461" s="144">
        <v>69.69</v>
      </c>
      <c r="X461" s="144">
        <v>81.99</v>
      </c>
      <c r="Y461" s="144">
        <v>36.64</v>
      </c>
      <c r="Z461" s="144">
        <v>86.9</v>
      </c>
      <c r="AA461" s="144">
        <v>71.39</v>
      </c>
      <c r="AB461" s="144">
        <v>69.89</v>
      </c>
      <c r="AC461" s="144">
        <v>15.07</v>
      </c>
      <c r="AD461" s="144">
        <v>41.7</v>
      </c>
      <c r="AE461" s="28">
        <v>30.8</v>
      </c>
      <c r="AF461" s="28">
        <v>31.61</v>
      </c>
      <c r="AG461" s="28">
        <v>39.090000000000003</v>
      </c>
      <c r="AH461" s="28">
        <v>36.94</v>
      </c>
      <c r="AI461" s="28">
        <v>1.381</v>
      </c>
      <c r="AJ461" s="28"/>
      <c r="AK461" s="28"/>
      <c r="AL461" s="28"/>
      <c r="AM461" s="28"/>
      <c r="AN461" s="28"/>
      <c r="AO461" s="28">
        <f>12.6-3.3</f>
        <v>9.3000000000000007</v>
      </c>
      <c r="AP461" s="28">
        <f>78.3-11.9</f>
        <v>66.399999999999991</v>
      </c>
      <c r="AQ461" s="28">
        <f>39-11</f>
        <v>28</v>
      </c>
      <c r="AR461" s="28">
        <v>43.9</v>
      </c>
      <c r="AS461" s="28">
        <v>18.2</v>
      </c>
      <c r="AT461" s="14" t="s">
        <v>618</v>
      </c>
      <c r="AU461" s="14"/>
    </row>
    <row r="462" spans="1:47" x14ac:dyDescent="0.2">
      <c r="A462" s="115">
        <v>460.99999999999852</v>
      </c>
      <c r="B462" s="14" t="s">
        <v>336</v>
      </c>
      <c r="C462" s="14">
        <v>21.460999999999999</v>
      </c>
      <c r="D462" s="145" t="s">
        <v>179</v>
      </c>
      <c r="E462" t="s">
        <v>180</v>
      </c>
      <c r="F462" s="3" t="s">
        <v>181</v>
      </c>
      <c r="H462" s="3" t="s">
        <v>182</v>
      </c>
      <c r="I462" s="82">
        <v>44462</v>
      </c>
      <c r="J462" s="28" t="s">
        <v>142</v>
      </c>
      <c r="K462" s="28" t="s">
        <v>203</v>
      </c>
      <c r="L462" s="28"/>
      <c r="M462" s="28">
        <v>225</v>
      </c>
      <c r="N462" s="28">
        <v>226.1</v>
      </c>
      <c r="O462" s="28">
        <v>198.28</v>
      </c>
      <c r="P462" s="28">
        <v>203.91</v>
      </c>
      <c r="Q462" s="28">
        <v>52.71</v>
      </c>
      <c r="R462" s="28">
        <v>21.79</v>
      </c>
      <c r="S462" s="28">
        <v>124.97</v>
      </c>
      <c r="T462" s="28">
        <v>102</v>
      </c>
      <c r="U462" s="144">
        <v>60.38</v>
      </c>
      <c r="V462" s="144">
        <v>45.5</v>
      </c>
      <c r="W462" s="144">
        <v>72.89</v>
      </c>
      <c r="X462" s="144">
        <v>86.18</v>
      </c>
      <c r="Y462" s="144">
        <v>40.94</v>
      </c>
      <c r="Z462" s="144">
        <v>92.58</v>
      </c>
      <c r="AA462" s="144">
        <v>72.22</v>
      </c>
      <c r="AB462" s="144">
        <v>65.73</v>
      </c>
      <c r="AC462" s="144">
        <v>7.5</v>
      </c>
      <c r="AD462" s="144">
        <v>48.41</v>
      </c>
      <c r="AE462" s="28">
        <v>29.26</v>
      </c>
      <c r="AF462" s="28">
        <v>28.05</v>
      </c>
      <c r="AG462" s="28">
        <v>39.880000000000003</v>
      </c>
      <c r="AH462" s="28">
        <v>44.16</v>
      </c>
      <c r="AI462" s="28">
        <v>1.48</v>
      </c>
      <c r="AJ462" s="28"/>
      <c r="AK462" s="28"/>
      <c r="AL462" s="28">
        <v>17</v>
      </c>
      <c r="AM462" s="28"/>
      <c r="AN462" s="28"/>
      <c r="AO462" s="28">
        <f>22.1-3.2</f>
        <v>18.900000000000002</v>
      </c>
      <c r="AP462" s="28">
        <f>109.6-8.7</f>
        <v>100.89999999999999</v>
      </c>
      <c r="AQ462" s="28">
        <f>41.4-11</f>
        <v>30.4</v>
      </c>
      <c r="AR462" s="28">
        <v>51.9</v>
      </c>
      <c r="AS462" s="17">
        <v>21.3</v>
      </c>
      <c r="AT462" s="14" t="s">
        <v>618</v>
      </c>
      <c r="AU462" s="14"/>
    </row>
    <row r="463" spans="1:47" x14ac:dyDescent="0.2">
      <c r="A463" s="115">
        <v>461.99999999999977</v>
      </c>
      <c r="B463" s="14" t="s">
        <v>622</v>
      </c>
      <c r="C463" s="14">
        <v>21.462</v>
      </c>
      <c r="D463" s="145" t="s">
        <v>179</v>
      </c>
      <c r="E463" t="s">
        <v>180</v>
      </c>
      <c r="F463" s="3" t="s">
        <v>181</v>
      </c>
      <c r="G463"/>
      <c r="H463" s="3" t="s">
        <v>280</v>
      </c>
      <c r="I463" s="82">
        <v>44473</v>
      </c>
      <c r="J463" s="28"/>
      <c r="K463" s="16" t="s">
        <v>203</v>
      </c>
      <c r="L463" s="28"/>
      <c r="M463" s="28">
        <v>225</v>
      </c>
      <c r="N463" s="28">
        <v>216.9</v>
      </c>
      <c r="O463" s="17">
        <v>183.52</v>
      </c>
      <c r="P463" s="17">
        <v>193.11</v>
      </c>
      <c r="Q463" s="17">
        <v>42.15</v>
      </c>
      <c r="R463" s="17">
        <v>24.11</v>
      </c>
      <c r="S463" s="17">
        <v>124.33</v>
      </c>
      <c r="T463" s="17">
        <v>97.28</v>
      </c>
      <c r="U463" s="50">
        <v>59.91</v>
      </c>
      <c r="V463" s="50">
        <v>47.03</v>
      </c>
      <c r="W463" s="50">
        <v>69.31</v>
      </c>
      <c r="X463" s="50">
        <v>83.32</v>
      </c>
      <c r="Y463" s="50">
        <v>38.99</v>
      </c>
      <c r="Z463" s="50">
        <v>92.92</v>
      </c>
      <c r="AA463" s="50">
        <v>74.11</v>
      </c>
      <c r="AB463" s="50">
        <v>72.540000000000006</v>
      </c>
      <c r="AC463" s="50">
        <v>8.15</v>
      </c>
      <c r="AD463" s="50">
        <v>47.04</v>
      </c>
      <c r="AE463" s="17">
        <v>30.31</v>
      </c>
      <c r="AF463" s="17">
        <v>43.63</v>
      </c>
      <c r="AG463" s="17">
        <v>42.27</v>
      </c>
      <c r="AH463" s="17">
        <v>44.66</v>
      </c>
      <c r="AI463" s="28">
        <v>1.24</v>
      </c>
      <c r="AJ463" s="28"/>
      <c r="AK463" s="28"/>
      <c r="AL463" s="28"/>
      <c r="AM463" s="28"/>
      <c r="AN463" s="28"/>
      <c r="AO463" s="28">
        <f>25.2-3.8</f>
        <v>21.4</v>
      </c>
      <c r="AP463" s="28">
        <f>92.5-12.3</f>
        <v>80.2</v>
      </c>
      <c r="AQ463" s="28">
        <f>55-10.9</f>
        <v>44.1</v>
      </c>
      <c r="AR463" s="28">
        <v>49.5</v>
      </c>
      <c r="AS463" s="28">
        <v>19.5</v>
      </c>
      <c r="AT463" s="14" t="s">
        <v>618</v>
      </c>
      <c r="AU463" s="14"/>
    </row>
    <row r="464" spans="1:47" x14ac:dyDescent="0.2">
      <c r="A464" s="115">
        <v>463.00000000000097</v>
      </c>
      <c r="B464" s="14" t="s">
        <v>284</v>
      </c>
      <c r="C464" s="14">
        <v>21.463000000000001</v>
      </c>
      <c r="D464" s="145" t="s">
        <v>179</v>
      </c>
      <c r="E464" t="s">
        <v>180</v>
      </c>
      <c r="F464" s="3" t="s">
        <v>181</v>
      </c>
      <c r="G464"/>
      <c r="H464" s="3" t="s">
        <v>268</v>
      </c>
      <c r="I464" s="82">
        <v>44442</v>
      </c>
      <c r="J464" s="28" t="s">
        <v>142</v>
      </c>
      <c r="K464" s="28" t="s">
        <v>203</v>
      </c>
      <c r="L464" s="28"/>
      <c r="M464" s="28">
        <v>215</v>
      </c>
      <c r="N464" s="28">
        <v>213.6</v>
      </c>
      <c r="O464" s="28">
        <v>200.31</v>
      </c>
      <c r="P464" s="28">
        <v>204.19</v>
      </c>
      <c r="Q464" s="28">
        <v>47.46</v>
      </c>
      <c r="R464" s="28">
        <v>24.99</v>
      </c>
      <c r="S464" s="28">
        <v>129.56</v>
      </c>
      <c r="T464" s="28">
        <v>103.36</v>
      </c>
      <c r="U464" s="144">
        <v>59.66</v>
      </c>
      <c r="V464" s="144">
        <v>45.67</v>
      </c>
      <c r="W464" s="144">
        <v>70.28</v>
      </c>
      <c r="X464" s="144">
        <v>84.36</v>
      </c>
      <c r="Y464" s="144">
        <v>41.21</v>
      </c>
      <c r="Z464" s="144">
        <v>90.16</v>
      </c>
      <c r="AA464" s="144">
        <v>70.66</v>
      </c>
      <c r="AB464" s="144">
        <v>61.19</v>
      </c>
      <c r="AC464" s="144">
        <v>13.14</v>
      </c>
      <c r="AD464" s="144">
        <v>47.94</v>
      </c>
      <c r="AE464" s="28">
        <v>30.9</v>
      </c>
      <c r="AF464" s="28">
        <v>36.35</v>
      </c>
      <c r="AG464" s="28">
        <v>40.29</v>
      </c>
      <c r="AH464" s="28">
        <v>42.59</v>
      </c>
      <c r="AI464" s="28">
        <v>1.266</v>
      </c>
      <c r="AJ464" s="28"/>
      <c r="AK464" s="28"/>
      <c r="AL464" s="28"/>
      <c r="AM464" s="28"/>
      <c r="AN464" s="28"/>
      <c r="AO464" s="28">
        <f>18.2-3.2</f>
        <v>15</v>
      </c>
      <c r="AP464" s="28">
        <f>73-10.2</f>
        <v>62.8</v>
      </c>
      <c r="AQ464" s="28">
        <f>98.7-12</f>
        <v>86.7</v>
      </c>
      <c r="AR464" s="28">
        <v>43.3</v>
      </c>
      <c r="AS464" s="28">
        <v>17.8</v>
      </c>
      <c r="AT464" s="14" t="s">
        <v>618</v>
      </c>
      <c r="AU464" s="14"/>
    </row>
    <row r="465" spans="1:47" x14ac:dyDescent="0.2">
      <c r="A465" s="115">
        <v>463.99999999999864</v>
      </c>
      <c r="B465" s="14" t="s">
        <v>328</v>
      </c>
      <c r="C465" s="14">
        <v>21.463999999999999</v>
      </c>
      <c r="D465" s="145" t="s">
        <v>179</v>
      </c>
      <c r="E465" t="s">
        <v>180</v>
      </c>
      <c r="F465" s="3" t="s">
        <v>181</v>
      </c>
      <c r="G465"/>
      <c r="H465" s="3" t="s">
        <v>182</v>
      </c>
      <c r="I465" s="82">
        <v>44451</v>
      </c>
      <c r="J465" s="28" t="s">
        <v>142</v>
      </c>
      <c r="K465" s="28" t="s">
        <v>203</v>
      </c>
      <c r="L465" s="28"/>
      <c r="M465" s="28">
        <v>220</v>
      </c>
      <c r="N465" s="28">
        <v>218.8</v>
      </c>
      <c r="O465" s="28">
        <v>196.23</v>
      </c>
      <c r="P465" s="28">
        <v>205.07</v>
      </c>
      <c r="Q465" s="28">
        <v>43.14</v>
      </c>
      <c r="R465" s="28">
        <v>24.74</v>
      </c>
      <c r="S465" s="28">
        <v>130.13999999999999</v>
      </c>
      <c r="T465" s="28">
        <v>107.57</v>
      </c>
      <c r="U465" s="144">
        <v>57.9</v>
      </c>
      <c r="V465" s="144">
        <v>39.81</v>
      </c>
      <c r="W465" s="144">
        <v>68.930000000000007</v>
      </c>
      <c r="X465" s="144">
        <v>82.4</v>
      </c>
      <c r="Y465" s="144">
        <v>38.840000000000003</v>
      </c>
      <c r="Z465" s="144">
        <v>91.66</v>
      </c>
      <c r="AA465" s="144">
        <v>70.8</v>
      </c>
      <c r="AB465" s="144">
        <v>62.24</v>
      </c>
      <c r="AC465" s="144">
        <v>12.39</v>
      </c>
      <c r="AD465" s="144">
        <v>46.91</v>
      </c>
      <c r="AE465" s="28">
        <v>29.74</v>
      </c>
      <c r="AF465" s="28">
        <v>37.65</v>
      </c>
      <c r="AG465" s="28">
        <v>28.38</v>
      </c>
      <c r="AH465" s="28">
        <v>38.700000000000003</v>
      </c>
      <c r="AI465" s="28">
        <v>1.4850000000000001</v>
      </c>
      <c r="AJ465" s="28"/>
      <c r="AK465" s="28"/>
      <c r="AL465" s="28"/>
      <c r="AM465" s="28"/>
      <c r="AN465" s="28"/>
      <c r="AO465" s="28">
        <f>17.7-3.6</f>
        <v>14.1</v>
      </c>
      <c r="AP465" s="28">
        <f>90.7-13.3+35.9-12.8</f>
        <v>100.50000000000001</v>
      </c>
      <c r="AQ465" s="28">
        <f>58-11.3</f>
        <v>46.7</v>
      </c>
      <c r="AR465" s="28">
        <v>53</v>
      </c>
      <c r="AS465" s="28">
        <v>20.3</v>
      </c>
      <c r="AT465" s="14" t="s">
        <v>618</v>
      </c>
      <c r="AU465" s="14"/>
    </row>
    <row r="466" spans="1:47" x14ac:dyDescent="0.2">
      <c r="A466" s="115">
        <v>464.99999999999989</v>
      </c>
      <c r="B466" s="3">
        <v>91</v>
      </c>
      <c r="C466" s="14">
        <v>21.465</v>
      </c>
      <c r="D466" s="129" t="s">
        <v>140</v>
      </c>
      <c r="E466" t="s">
        <v>141</v>
      </c>
      <c r="F466" s="3" t="s">
        <v>62</v>
      </c>
      <c r="G466"/>
      <c r="H466" s="3" t="s">
        <v>62</v>
      </c>
      <c r="I466" s="82">
        <v>44354</v>
      </c>
      <c r="J466" s="17" t="s">
        <v>142</v>
      </c>
      <c r="K466" s="16" t="s">
        <v>203</v>
      </c>
      <c r="L466" s="17"/>
      <c r="M466">
        <v>253.6</v>
      </c>
      <c r="N466" s="17">
        <v>256.72000000000003</v>
      </c>
      <c r="O466" s="17">
        <v>206.67</v>
      </c>
      <c r="P466" s="17">
        <v>225</v>
      </c>
      <c r="Q466" s="17">
        <v>49.19</v>
      </c>
      <c r="R466" s="17">
        <v>32.950000000000003</v>
      </c>
      <c r="S466" s="17">
        <v>138.04</v>
      </c>
      <c r="T466" s="17">
        <v>110.34</v>
      </c>
      <c r="U466" s="50">
        <v>68.8</v>
      </c>
      <c r="V466" s="50">
        <v>49.84</v>
      </c>
      <c r="W466" s="50">
        <v>77.180000000000007</v>
      </c>
      <c r="X466" s="50">
        <v>93.69</v>
      </c>
      <c r="Y466" s="50">
        <v>39.72</v>
      </c>
      <c r="Z466" s="50">
        <v>104.17</v>
      </c>
      <c r="AA466" s="50">
        <v>79.75</v>
      </c>
      <c r="AB466" s="50">
        <v>78.22</v>
      </c>
      <c r="AC466" s="50">
        <v>13.97</v>
      </c>
      <c r="AD466" s="50">
        <v>47.99</v>
      </c>
      <c r="AE466" s="17">
        <v>39.33</v>
      </c>
      <c r="AF466" s="17">
        <v>33.67</v>
      </c>
      <c r="AG466" s="17">
        <v>48.94</v>
      </c>
      <c r="AH466" s="17">
        <v>52.8</v>
      </c>
      <c r="AI466" s="17">
        <v>1.621</v>
      </c>
      <c r="AJ466" s="17"/>
      <c r="AK466" s="17"/>
      <c r="AL466" s="17"/>
      <c r="AM466" s="17"/>
      <c r="AN466" s="17"/>
      <c r="AO466" s="17">
        <v>8.77</v>
      </c>
      <c r="AP466" s="17">
        <v>53.65</v>
      </c>
      <c r="AQ466" s="17">
        <v>139.03</v>
      </c>
      <c r="AR466" s="17">
        <v>52.21</v>
      </c>
      <c r="AS466" s="17">
        <v>22.561</v>
      </c>
      <c r="AT466" s="3" t="s">
        <v>146</v>
      </c>
      <c r="AU466" s="3"/>
    </row>
    <row r="467" spans="1:47" x14ac:dyDescent="0.2">
      <c r="A467" s="115">
        <v>466.00000000000108</v>
      </c>
      <c r="B467" s="3">
        <v>94</v>
      </c>
      <c r="C467" s="14">
        <v>21.466000000000001</v>
      </c>
      <c r="D467" s="129" t="s">
        <v>140</v>
      </c>
      <c r="E467" t="s">
        <v>141</v>
      </c>
      <c r="F467" s="3" t="s">
        <v>62</v>
      </c>
      <c r="G467"/>
      <c r="H467" s="3" t="s">
        <v>62</v>
      </c>
      <c r="I467" s="82">
        <v>44360</v>
      </c>
      <c r="J467" s="17" t="s">
        <v>142</v>
      </c>
      <c r="K467" s="16" t="s">
        <v>203</v>
      </c>
      <c r="L467" s="17"/>
      <c r="M467">
        <v>249.4</v>
      </c>
      <c r="N467" s="17">
        <v>254.89</v>
      </c>
      <c r="O467" s="17">
        <v>191.36</v>
      </c>
      <c r="P467" s="17">
        <v>206.68</v>
      </c>
      <c r="Q467" s="17">
        <v>49.82</v>
      </c>
      <c r="R467" s="17">
        <v>25.31</v>
      </c>
      <c r="S467" s="17">
        <v>132.13</v>
      </c>
      <c r="T467" s="17">
        <v>106.63</v>
      </c>
      <c r="U467" s="50">
        <v>69.790000000000006</v>
      </c>
      <c r="V467" s="50">
        <v>54.68</v>
      </c>
      <c r="W467" s="50">
        <v>79.41</v>
      </c>
      <c r="X467" s="50">
        <v>93.22</v>
      </c>
      <c r="Y467" s="50">
        <v>39.979999999999997</v>
      </c>
      <c r="Z467" s="50">
        <v>105.29</v>
      </c>
      <c r="AA467" s="50">
        <v>79.180000000000007</v>
      </c>
      <c r="AB467" s="50">
        <v>79.53</v>
      </c>
      <c r="AC467" s="50">
        <v>13.6</v>
      </c>
      <c r="AD467" s="50">
        <v>46.85</v>
      </c>
      <c r="AE467" s="17">
        <v>29.92</v>
      </c>
      <c r="AF467" s="17">
        <v>39.24</v>
      </c>
      <c r="AG467" s="17">
        <v>48.51</v>
      </c>
      <c r="AH467" s="17">
        <v>52.96</v>
      </c>
      <c r="AI467" s="17">
        <v>1.724</v>
      </c>
      <c r="AJ467" s="17"/>
      <c r="AK467" s="17"/>
      <c r="AL467" s="17"/>
      <c r="AM467" s="17"/>
      <c r="AN467" s="17"/>
      <c r="AO467" s="17">
        <v>10.87</v>
      </c>
      <c r="AP467" s="17">
        <v>52.63</v>
      </c>
      <c r="AQ467" s="17">
        <v>137.13</v>
      </c>
      <c r="AR467" s="17">
        <v>52.21</v>
      </c>
      <c r="AS467" s="17">
        <v>22.332000000000001</v>
      </c>
      <c r="AT467" s="3" t="s">
        <v>146</v>
      </c>
      <c r="AU467" s="3"/>
    </row>
    <row r="468" spans="1:47" x14ac:dyDescent="0.2">
      <c r="A468" s="115">
        <v>466.99999999999875</v>
      </c>
      <c r="B468" s="3">
        <v>125</v>
      </c>
      <c r="C468" s="14">
        <v>21.466999999999999</v>
      </c>
      <c r="D468" s="129" t="s">
        <v>140</v>
      </c>
      <c r="E468" t="s">
        <v>141</v>
      </c>
      <c r="F468" s="3" t="s">
        <v>60</v>
      </c>
      <c r="G468"/>
      <c r="H468" s="3" t="s">
        <v>60</v>
      </c>
      <c r="I468" s="82">
        <v>44457</v>
      </c>
      <c r="J468" s="17" t="s">
        <v>142</v>
      </c>
      <c r="K468" s="16" t="s">
        <v>235</v>
      </c>
      <c r="L468" s="17"/>
      <c r="M468">
        <v>166.5</v>
      </c>
      <c r="N468" s="17">
        <v>277.02999999999997</v>
      </c>
      <c r="O468" s="17">
        <v>159.4</v>
      </c>
      <c r="P468" s="17">
        <v>174.75</v>
      </c>
      <c r="Q468" s="17">
        <v>28.95</v>
      </c>
      <c r="R468" s="17">
        <v>17.600000000000001</v>
      </c>
      <c r="S468" s="17">
        <v>119.59</v>
      </c>
      <c r="T468" s="17">
        <v>101.16</v>
      </c>
      <c r="U468" s="50">
        <v>66.040000000000006</v>
      </c>
      <c r="V468" s="50">
        <v>49.32</v>
      </c>
      <c r="W468" s="50">
        <v>72.64</v>
      </c>
      <c r="X468" s="50">
        <v>88.43</v>
      </c>
      <c r="Y468" s="50">
        <v>41.98</v>
      </c>
      <c r="Z468" s="50">
        <v>97.94</v>
      </c>
      <c r="AA468" s="50">
        <v>81.459999999999994</v>
      </c>
      <c r="AB468" s="50">
        <v>75.02</v>
      </c>
      <c r="AC468" s="50">
        <v>9.4</v>
      </c>
      <c r="AD468" s="50">
        <v>52.54</v>
      </c>
      <c r="AE468" s="17">
        <v>33.08</v>
      </c>
      <c r="AF468" s="17">
        <v>33.94</v>
      </c>
      <c r="AG468" s="17">
        <v>39.22</v>
      </c>
      <c r="AH468" s="17">
        <v>41.06</v>
      </c>
      <c r="AI468" s="17">
        <v>1.7849999999999999</v>
      </c>
      <c r="AJ468" s="17">
        <v>55.33</v>
      </c>
      <c r="AK468" s="17"/>
      <c r="AL468" s="17"/>
      <c r="AM468" s="17"/>
      <c r="AN468" s="17">
        <v>120</v>
      </c>
      <c r="AO468" s="17"/>
      <c r="AP468" s="17"/>
      <c r="AQ468" s="17"/>
      <c r="AR468" s="17"/>
      <c r="AS468" s="17"/>
      <c r="AT468" s="3" t="s">
        <v>146</v>
      </c>
      <c r="AU468" s="3"/>
    </row>
    <row r="469" spans="1:47" x14ac:dyDescent="0.2">
      <c r="A469" s="115">
        <v>468</v>
      </c>
      <c r="B469" s="3">
        <v>30</v>
      </c>
      <c r="C469" s="3">
        <v>21.468</v>
      </c>
      <c r="D469" s="131" t="s">
        <v>151</v>
      </c>
      <c r="E469" t="s">
        <v>162</v>
      </c>
      <c r="F469" s="3" t="s">
        <v>88</v>
      </c>
      <c r="G469" s="3" t="s">
        <v>88</v>
      </c>
      <c r="H469"/>
      <c r="I469" s="82">
        <v>44431</v>
      </c>
      <c r="J469" s="3" t="s">
        <v>142</v>
      </c>
      <c r="K469" s="9" t="s">
        <v>235</v>
      </c>
      <c r="N469" s="3">
        <v>297.43</v>
      </c>
      <c r="O469" s="3">
        <v>175.62</v>
      </c>
      <c r="P469" s="3">
        <v>196.45</v>
      </c>
      <c r="Q469" s="3">
        <v>43.07</v>
      </c>
      <c r="R469" s="3">
        <v>16.93</v>
      </c>
      <c r="S469" s="3">
        <v>129.09</v>
      </c>
      <c r="T469" s="3">
        <v>98.01</v>
      </c>
      <c r="U469" s="6">
        <v>68.569999999999993</v>
      </c>
      <c r="V469" s="6">
        <v>52.94</v>
      </c>
      <c r="W469" s="6">
        <v>73.510000000000005</v>
      </c>
      <c r="X469" s="6">
        <v>93.71</v>
      </c>
      <c r="Y469" s="6">
        <v>44.43</v>
      </c>
      <c r="Z469" s="6">
        <v>104.09</v>
      </c>
      <c r="AA469" s="6">
        <v>85.92</v>
      </c>
      <c r="AB469" s="6">
        <v>81.94</v>
      </c>
      <c r="AC469" s="6">
        <v>12.58</v>
      </c>
      <c r="AD469" s="6">
        <v>51.69</v>
      </c>
      <c r="AE469" s="3">
        <v>31.72</v>
      </c>
      <c r="AF469" s="3">
        <v>35.96</v>
      </c>
      <c r="AG469" s="3">
        <v>44.7</v>
      </c>
      <c r="AH469" s="3">
        <v>48.43</v>
      </c>
      <c r="AI469" s="3">
        <v>1.486</v>
      </c>
      <c r="AJ469" s="3">
        <v>51.26</v>
      </c>
      <c r="AN469" s="3">
        <v>166</v>
      </c>
      <c r="AT469" s="3" t="s">
        <v>146</v>
      </c>
      <c r="AU469" s="3"/>
    </row>
    <row r="470" spans="1:47" x14ac:dyDescent="0.2">
      <c r="A470" s="115">
        <v>469.00000000000119</v>
      </c>
      <c r="B470" s="3">
        <v>34</v>
      </c>
      <c r="C470" s="3">
        <v>21.469000000000001</v>
      </c>
      <c r="D470" s="131" t="s">
        <v>151</v>
      </c>
      <c r="E470" t="s">
        <v>152</v>
      </c>
      <c r="F470" s="3" t="s">
        <v>227</v>
      </c>
      <c r="G470"/>
      <c r="H470" s="14" t="s">
        <v>89</v>
      </c>
      <c r="I470" s="82">
        <v>44447</v>
      </c>
      <c r="J470" s="3" t="s">
        <v>142</v>
      </c>
      <c r="K470" s="9" t="s">
        <v>235</v>
      </c>
      <c r="N470" s="3">
        <v>316.20999999999998</v>
      </c>
      <c r="O470" s="14">
        <v>172.1</v>
      </c>
      <c r="P470" s="14">
        <v>176.02</v>
      </c>
      <c r="Q470" s="14">
        <v>34.96</v>
      </c>
      <c r="R470" s="14">
        <v>15.37</v>
      </c>
      <c r="S470" s="14">
        <v>129.26</v>
      </c>
      <c r="T470" s="14">
        <v>105.49</v>
      </c>
      <c r="U470" s="25">
        <v>62.91</v>
      </c>
      <c r="V470" s="25">
        <v>48.13</v>
      </c>
      <c r="W470" s="25">
        <v>67.03</v>
      </c>
      <c r="X470" s="25">
        <v>91.1</v>
      </c>
      <c r="Y470" s="25">
        <v>36.83</v>
      </c>
      <c r="Z470" s="25">
        <v>104.09</v>
      </c>
      <c r="AA470" s="25">
        <v>88.87</v>
      </c>
      <c r="AB470" s="25">
        <v>72.06</v>
      </c>
      <c r="AC470" s="25">
        <v>17.23</v>
      </c>
      <c r="AD470" s="25">
        <v>59.24</v>
      </c>
      <c r="AE470" s="14">
        <v>25.86</v>
      </c>
      <c r="AF470" s="14">
        <v>32.32</v>
      </c>
      <c r="AG470" s="14">
        <v>38.81</v>
      </c>
      <c r="AH470" s="14">
        <v>36.64</v>
      </c>
      <c r="AI470" s="3">
        <v>1.4279999999999999</v>
      </c>
      <c r="AJ470" s="3">
        <v>53.11</v>
      </c>
      <c r="AN470" s="3">
        <v>130</v>
      </c>
      <c r="AT470" s="3" t="s">
        <v>146</v>
      </c>
      <c r="AU470" s="3"/>
    </row>
    <row r="471" spans="1:47" x14ac:dyDescent="0.2">
      <c r="A471" s="115">
        <v>469.99999999999886</v>
      </c>
      <c r="B471" s="3">
        <v>209</v>
      </c>
      <c r="C471" s="2" t="s">
        <v>64</v>
      </c>
      <c r="D471" s="64" t="s">
        <v>223</v>
      </c>
      <c r="E471" s="11" t="s">
        <v>223</v>
      </c>
      <c r="F471" s="3" t="s">
        <v>73</v>
      </c>
      <c r="G471" s="3" t="s">
        <v>73</v>
      </c>
      <c r="H471"/>
      <c r="I471" s="82">
        <v>44348</v>
      </c>
      <c r="J471" s="16" t="s">
        <v>142</v>
      </c>
      <c r="K471" s="16" t="s">
        <v>235</v>
      </c>
      <c r="L471" s="17"/>
      <c r="M471" s="17"/>
      <c r="N471" s="17">
        <v>282.61</v>
      </c>
      <c r="O471" s="17">
        <v>166.71</v>
      </c>
      <c r="P471" s="17">
        <v>164.84</v>
      </c>
      <c r="Q471" s="17">
        <v>34.83</v>
      </c>
      <c r="R471" s="17">
        <v>19.239999999999998</v>
      </c>
      <c r="S471" s="17">
        <v>112.49</v>
      </c>
      <c r="T471" s="17">
        <v>94.22</v>
      </c>
      <c r="U471" s="50">
        <v>75.540000000000006</v>
      </c>
      <c r="V471" s="50">
        <v>52.04</v>
      </c>
      <c r="W471" s="50">
        <v>77.83</v>
      </c>
      <c r="X471" s="50">
        <v>91.74</v>
      </c>
      <c r="Y471" s="50">
        <v>40.15</v>
      </c>
      <c r="Z471" s="50">
        <v>104.08</v>
      </c>
      <c r="AA471" s="50">
        <v>84.71</v>
      </c>
      <c r="AB471" s="50">
        <v>79.069999999999993</v>
      </c>
      <c r="AC471" s="50">
        <v>14.55</v>
      </c>
      <c r="AD471" s="50">
        <v>58.71</v>
      </c>
      <c r="AE471" s="17">
        <v>30.35</v>
      </c>
      <c r="AF471" s="17">
        <v>32.76</v>
      </c>
      <c r="AG471" s="17">
        <v>33.61</v>
      </c>
      <c r="AH471" s="17">
        <v>32.57</v>
      </c>
      <c r="AI471" s="17">
        <v>1.3560000000000001</v>
      </c>
      <c r="AJ471" s="17">
        <v>49.83</v>
      </c>
      <c r="AK471" s="17"/>
      <c r="AL471" s="17"/>
      <c r="AM471" s="17"/>
      <c r="AN471" s="17">
        <v>133</v>
      </c>
      <c r="AO471" s="17"/>
      <c r="AP471" s="17"/>
      <c r="AQ471" s="17"/>
      <c r="AR471" s="17"/>
      <c r="AS471" s="17"/>
      <c r="AT471" s="3" t="s">
        <v>146</v>
      </c>
      <c r="AU471" s="3"/>
    </row>
    <row r="472" spans="1:47" x14ac:dyDescent="0.2">
      <c r="A472" s="115">
        <v>471.00000000000011</v>
      </c>
      <c r="B472" s="3">
        <v>210</v>
      </c>
      <c r="C472" s="3">
        <v>21.471</v>
      </c>
      <c r="D472" s="64" t="s">
        <v>223</v>
      </c>
      <c r="E472" s="11" t="s">
        <v>223</v>
      </c>
      <c r="F472" s="3" t="s">
        <v>73</v>
      </c>
      <c r="G472" s="3" t="s">
        <v>73</v>
      </c>
      <c r="H472"/>
      <c r="I472" s="82">
        <v>44348</v>
      </c>
      <c r="J472" s="16" t="s">
        <v>142</v>
      </c>
      <c r="K472" s="16" t="s">
        <v>235</v>
      </c>
      <c r="L472" s="17"/>
      <c r="M472" s="17"/>
      <c r="N472" s="17">
        <v>281.12</v>
      </c>
      <c r="O472" s="17">
        <v>166.51</v>
      </c>
      <c r="P472" s="17">
        <v>166.26</v>
      </c>
      <c r="Q472" s="17">
        <v>36.840000000000003</v>
      </c>
      <c r="R472" s="17">
        <v>18.32</v>
      </c>
      <c r="S472" s="17">
        <v>111.93</v>
      </c>
      <c r="T472" s="17">
        <v>89.15</v>
      </c>
      <c r="U472" s="50">
        <v>70.37</v>
      </c>
      <c r="V472" s="50">
        <v>54.29</v>
      </c>
      <c r="W472" s="50">
        <v>76.16</v>
      </c>
      <c r="X472" s="50">
        <v>90.12</v>
      </c>
      <c r="Y472" s="50">
        <v>41.04</v>
      </c>
      <c r="Z472" s="50">
        <v>102.8</v>
      </c>
      <c r="AA472" s="50">
        <v>83.78</v>
      </c>
      <c r="AB472" s="50">
        <v>80.069999999999993</v>
      </c>
      <c r="AC472" s="50">
        <v>16.27</v>
      </c>
      <c r="AD472" s="50">
        <v>58.86</v>
      </c>
      <c r="AE472" s="17">
        <v>26.65</v>
      </c>
      <c r="AF472" s="17">
        <v>34.89</v>
      </c>
      <c r="AG472" s="17">
        <v>31.22</v>
      </c>
      <c r="AH472" s="17">
        <v>33.82</v>
      </c>
      <c r="AI472" s="17">
        <v>1.4550000000000001</v>
      </c>
      <c r="AJ472" s="17">
        <v>49.71</v>
      </c>
      <c r="AK472" s="17"/>
      <c r="AL472" s="17"/>
      <c r="AM472" s="17"/>
      <c r="AN472" s="17">
        <v>132</v>
      </c>
      <c r="AO472" s="17"/>
      <c r="AP472" s="17"/>
      <c r="AQ472" s="17"/>
      <c r="AR472" s="17"/>
      <c r="AS472" s="17"/>
      <c r="AT472" s="3" t="s">
        <v>146</v>
      </c>
      <c r="AU472" s="3"/>
    </row>
    <row r="473" spans="1:47" x14ac:dyDescent="0.2">
      <c r="A473" s="115">
        <v>472.00000000000131</v>
      </c>
      <c r="B473" s="3">
        <v>212</v>
      </c>
      <c r="C473" s="3">
        <v>21.472000000000001</v>
      </c>
      <c r="D473" s="64" t="s">
        <v>223</v>
      </c>
      <c r="E473" s="11" t="s">
        <v>223</v>
      </c>
      <c r="F473" s="3" t="s">
        <v>73</v>
      </c>
      <c r="G473" s="3" t="s">
        <v>73</v>
      </c>
      <c r="H473"/>
      <c r="I473" s="82">
        <v>44348</v>
      </c>
      <c r="J473" s="16" t="s">
        <v>142</v>
      </c>
      <c r="K473" s="16" t="s">
        <v>235</v>
      </c>
      <c r="L473" s="17"/>
      <c r="M473" s="17"/>
      <c r="N473" s="17">
        <v>299.20999999999998</v>
      </c>
      <c r="O473" s="17">
        <v>168.32</v>
      </c>
      <c r="P473" s="17">
        <v>173.39</v>
      </c>
      <c r="Q473" s="17">
        <v>38.840000000000003</v>
      </c>
      <c r="R473" s="17">
        <v>15.41</v>
      </c>
      <c r="S473" s="17">
        <v>116.07</v>
      </c>
      <c r="T473" s="17">
        <v>95.86</v>
      </c>
      <c r="U473" s="50">
        <v>76.95</v>
      </c>
      <c r="V473" s="50">
        <v>52.99</v>
      </c>
      <c r="W473" s="50">
        <v>79.09</v>
      </c>
      <c r="X473" s="50">
        <v>95.25</v>
      </c>
      <c r="Y473" s="50">
        <v>43.47</v>
      </c>
      <c r="Z473" s="50">
        <v>103.73</v>
      </c>
      <c r="AA473" s="50">
        <v>82.32</v>
      </c>
      <c r="AB473" s="50">
        <v>81.41</v>
      </c>
      <c r="AC473" s="50">
        <v>17.489999999999998</v>
      </c>
      <c r="AD473" s="50">
        <v>58.7</v>
      </c>
      <c r="AE473" s="17">
        <v>24.7</v>
      </c>
      <c r="AF473" s="17">
        <v>37.18</v>
      </c>
      <c r="AG473" s="17">
        <v>19.100000000000001</v>
      </c>
      <c r="AH473" s="17">
        <v>32.39</v>
      </c>
      <c r="AI473" s="17">
        <v>1.506</v>
      </c>
      <c r="AJ473" s="17">
        <v>51.58</v>
      </c>
      <c r="AK473" s="17"/>
      <c r="AL473" s="17"/>
      <c r="AM473" s="17">
        <v>100</v>
      </c>
      <c r="AN473" s="17">
        <v>37</v>
      </c>
      <c r="AO473" s="17"/>
      <c r="AP473" s="17"/>
      <c r="AQ473" s="17"/>
      <c r="AR473" s="17"/>
      <c r="AS473" s="17"/>
      <c r="AT473" s="3" t="s">
        <v>146</v>
      </c>
      <c r="AU473" s="3"/>
    </row>
    <row r="474" spans="1:47" x14ac:dyDescent="0.2">
      <c r="A474" s="115">
        <v>472.99999999999898</v>
      </c>
      <c r="C474" s="4">
        <v>21.472999999999999</v>
      </c>
      <c r="D474" s="96" t="s">
        <v>290</v>
      </c>
      <c r="E474" s="11" t="s">
        <v>291</v>
      </c>
      <c r="F474" s="3" t="s">
        <v>292</v>
      </c>
      <c r="G474" s="17">
        <v>183</v>
      </c>
      <c r="H474" s="17"/>
      <c r="I474" s="82"/>
      <c r="J474" s="16" t="s">
        <v>142</v>
      </c>
      <c r="K474" s="17" t="s">
        <v>235</v>
      </c>
      <c r="L474" s="17"/>
      <c r="M474" s="17"/>
      <c r="N474" s="17">
        <v>321.56</v>
      </c>
      <c r="O474" s="17">
        <v>188.34</v>
      </c>
      <c r="P474" s="17">
        <v>96.99</v>
      </c>
      <c r="Q474" s="17">
        <v>43.07</v>
      </c>
      <c r="R474" s="17">
        <v>22.29</v>
      </c>
      <c r="S474" s="17">
        <v>125.02</v>
      </c>
      <c r="T474" s="17">
        <v>100.51</v>
      </c>
      <c r="U474" s="50">
        <v>63.83</v>
      </c>
      <c r="V474" s="50">
        <v>46.6</v>
      </c>
      <c r="W474" s="50">
        <v>69.819999999999993</v>
      </c>
      <c r="X474" s="50">
        <v>91.02</v>
      </c>
      <c r="Y474" s="50">
        <v>39.590000000000003</v>
      </c>
      <c r="Z474" s="50">
        <v>103.06</v>
      </c>
      <c r="AA474" s="50">
        <v>89.21</v>
      </c>
      <c r="AB474" s="50">
        <v>82.24</v>
      </c>
      <c r="AC474" s="50">
        <v>7.2</v>
      </c>
      <c r="AD474" s="50">
        <v>59.14</v>
      </c>
      <c r="AE474" s="17">
        <v>33.270000000000003</v>
      </c>
      <c r="AF474" s="17">
        <v>44.56</v>
      </c>
      <c r="AG474" s="17">
        <v>39.26</v>
      </c>
      <c r="AH474" s="17">
        <v>45.32</v>
      </c>
      <c r="AI474" s="17">
        <v>1.472</v>
      </c>
      <c r="AJ474" s="17">
        <v>49.54</v>
      </c>
      <c r="AK474" s="17"/>
      <c r="AL474" s="17"/>
      <c r="AM474" s="17"/>
      <c r="AN474" s="17">
        <v>175</v>
      </c>
      <c r="AO474" s="17"/>
      <c r="AP474" s="17"/>
      <c r="AQ474" s="17"/>
      <c r="AR474" s="17"/>
      <c r="AS474" s="17"/>
      <c r="AT474" s="3" t="s">
        <v>146</v>
      </c>
      <c r="AU474" s="3"/>
    </row>
    <row r="475" spans="1:47" x14ac:dyDescent="0.2">
      <c r="A475" s="115">
        <v>474.00000000000023</v>
      </c>
      <c r="C475" s="3">
        <v>21.474</v>
      </c>
      <c r="D475" s="96" t="s">
        <v>290</v>
      </c>
      <c r="E475" s="11" t="s">
        <v>291</v>
      </c>
      <c r="F475" s="3" t="s">
        <v>292</v>
      </c>
      <c r="G475" s="17"/>
      <c r="H475" s="17"/>
      <c r="I475" s="82"/>
      <c r="J475" s="16" t="s">
        <v>142</v>
      </c>
      <c r="K475" s="17" t="s">
        <v>235</v>
      </c>
      <c r="L475" s="17"/>
      <c r="M475" s="17"/>
      <c r="N475" s="17">
        <v>292.42</v>
      </c>
      <c r="O475" s="17">
        <v>183.88</v>
      </c>
      <c r="P475" s="17">
        <v>196.21</v>
      </c>
      <c r="Q475" s="17">
        <v>38.979999999999997</v>
      </c>
      <c r="R475" s="17">
        <v>23.99</v>
      </c>
      <c r="S475" s="17">
        <v>126.43</v>
      </c>
      <c r="T475" s="17">
        <v>103.77</v>
      </c>
      <c r="U475" s="50">
        <v>60.21</v>
      </c>
      <c r="V475" s="50">
        <v>42.98</v>
      </c>
      <c r="W475" s="50">
        <v>67.83</v>
      </c>
      <c r="X475" s="50">
        <v>90.93</v>
      </c>
      <c r="Y475" s="50">
        <v>39.35</v>
      </c>
      <c r="Z475" s="50">
        <v>104.17</v>
      </c>
      <c r="AA475" s="50">
        <v>88.02</v>
      </c>
      <c r="AB475" s="50">
        <v>81.89</v>
      </c>
      <c r="AC475" s="50">
        <v>3.13</v>
      </c>
      <c r="AD475" s="50">
        <v>60.88</v>
      </c>
      <c r="AE475" s="17">
        <v>31.86</v>
      </c>
      <c r="AF475" s="17">
        <v>43.05</v>
      </c>
      <c r="AG475" s="17">
        <v>39.340000000000003</v>
      </c>
      <c r="AH475" s="17">
        <v>45.85</v>
      </c>
      <c r="AI475" s="17">
        <v>1.651</v>
      </c>
      <c r="AJ475" s="17">
        <v>49.47</v>
      </c>
      <c r="AK475" s="17"/>
      <c r="AL475" s="17"/>
      <c r="AM475" s="17">
        <v>118</v>
      </c>
      <c r="AN475" s="17">
        <v>37</v>
      </c>
      <c r="AO475" s="17"/>
      <c r="AP475" s="17"/>
      <c r="AQ475" s="17"/>
      <c r="AR475" s="17"/>
      <c r="AS475" s="17"/>
      <c r="AT475" s="3" t="s">
        <v>146</v>
      </c>
      <c r="AU475" s="3"/>
    </row>
    <row r="476" spans="1:47" x14ac:dyDescent="0.2">
      <c r="A476" s="115">
        <v>475.00000000000142</v>
      </c>
      <c r="C476" s="3">
        <v>21.475000000000001</v>
      </c>
      <c r="D476" s="96" t="s">
        <v>290</v>
      </c>
      <c r="E476" s="11" t="s">
        <v>291</v>
      </c>
      <c r="F476" s="3" t="s">
        <v>292</v>
      </c>
      <c r="G476" s="17"/>
      <c r="H476" s="17"/>
      <c r="I476" s="82"/>
      <c r="J476" s="16" t="s">
        <v>142</v>
      </c>
      <c r="K476" s="17" t="s">
        <v>235</v>
      </c>
      <c r="L476" s="17"/>
      <c r="M476" s="17"/>
      <c r="N476" s="17">
        <v>327.47000000000003</v>
      </c>
      <c r="O476" s="17">
        <v>193.79</v>
      </c>
      <c r="P476" s="17">
        <v>203.96</v>
      </c>
      <c r="Q476" s="17">
        <v>44.1</v>
      </c>
      <c r="R476" s="17">
        <v>23.91</v>
      </c>
      <c r="S476" s="17">
        <v>131.72999999999999</v>
      </c>
      <c r="T476" s="17">
        <v>105.52</v>
      </c>
      <c r="U476" s="50">
        <v>62.9</v>
      </c>
      <c r="V476" s="50">
        <v>44.15</v>
      </c>
      <c r="W476" s="50">
        <v>66.03</v>
      </c>
      <c r="X476" s="50">
        <v>92.99</v>
      </c>
      <c r="Y476" s="50">
        <v>38.68</v>
      </c>
      <c r="Z476" s="50">
        <v>104.52</v>
      </c>
      <c r="AA476" s="50">
        <v>90.12</v>
      </c>
      <c r="AB476" s="50">
        <v>81.62</v>
      </c>
      <c r="AC476" s="50">
        <v>3.65</v>
      </c>
      <c r="AD476" s="50">
        <v>59.25</v>
      </c>
      <c r="AE476" s="17">
        <v>32.99</v>
      </c>
      <c r="AF476" s="17">
        <v>45.23</v>
      </c>
      <c r="AG476" s="17">
        <v>39.590000000000003</v>
      </c>
      <c r="AH476" s="17">
        <v>45.84</v>
      </c>
      <c r="AI476" s="17">
        <v>1.3460000000000001</v>
      </c>
      <c r="AJ476" s="17">
        <v>51.89</v>
      </c>
      <c r="AK476" s="17"/>
      <c r="AL476" s="17"/>
      <c r="AM476" s="17">
        <v>148</v>
      </c>
      <c r="AN476" s="17">
        <v>18</v>
      </c>
      <c r="AO476" s="17"/>
      <c r="AP476" s="17"/>
      <c r="AQ476" s="17"/>
      <c r="AR476" s="17"/>
      <c r="AS476" s="17"/>
      <c r="AT476" s="3" t="s">
        <v>146</v>
      </c>
      <c r="AU476" s="3"/>
    </row>
    <row r="477" spans="1:47" x14ac:dyDescent="0.2">
      <c r="A477" s="115">
        <v>475.99999999999909</v>
      </c>
      <c r="B477" s="3">
        <v>225</v>
      </c>
      <c r="C477" s="3">
        <v>21.475999999999999</v>
      </c>
      <c r="D477" s="126" t="s">
        <v>168</v>
      </c>
      <c r="E477" t="s">
        <v>232</v>
      </c>
      <c r="F477" s="17" t="s">
        <v>251</v>
      </c>
      <c r="G477" s="17"/>
      <c r="H477" s="3" t="s">
        <v>498</v>
      </c>
      <c r="I477" s="82">
        <v>44503</v>
      </c>
      <c r="J477" s="16" t="s">
        <v>142</v>
      </c>
      <c r="K477" s="16" t="s">
        <v>203</v>
      </c>
      <c r="L477" s="17"/>
      <c r="M477" s="17"/>
      <c r="N477" s="17">
        <v>217.8</v>
      </c>
      <c r="O477" s="17">
        <v>179.62</v>
      </c>
      <c r="P477" s="17">
        <v>197.56</v>
      </c>
      <c r="Q477" s="17">
        <v>42.63</v>
      </c>
      <c r="R477" s="17">
        <v>17.13</v>
      </c>
      <c r="S477" s="17">
        <v>127.17</v>
      </c>
      <c r="T477" s="17">
        <v>102.78</v>
      </c>
      <c r="U477" s="50">
        <v>73.010000000000005</v>
      </c>
      <c r="V477" s="50">
        <v>49.87</v>
      </c>
      <c r="W477" s="50">
        <v>76.239999999999995</v>
      </c>
      <c r="X477" s="50">
        <v>93.79</v>
      </c>
      <c r="Y477" s="50">
        <v>38.5</v>
      </c>
      <c r="Z477" s="50">
        <v>97.75</v>
      </c>
      <c r="AA477" s="50">
        <v>76.58</v>
      </c>
      <c r="AB477" s="50">
        <v>71.87</v>
      </c>
      <c r="AC477" s="50">
        <v>5.01</v>
      </c>
      <c r="AD477" s="50">
        <v>44.54</v>
      </c>
      <c r="AE477" s="17">
        <v>29.95</v>
      </c>
      <c r="AF477" s="17">
        <v>38.85</v>
      </c>
      <c r="AG477" s="17">
        <v>31.07</v>
      </c>
      <c r="AH477" s="17">
        <v>35.04</v>
      </c>
      <c r="AI477" s="17">
        <v>1.4119999999999999</v>
      </c>
      <c r="AJ477" s="17"/>
      <c r="AK477" s="17"/>
      <c r="AL477" s="17">
        <v>10</v>
      </c>
      <c r="AM477" s="17"/>
      <c r="AN477" s="17"/>
      <c r="AO477" s="17">
        <f>19.1-3.2</f>
        <v>15.900000000000002</v>
      </c>
      <c r="AP477" s="17">
        <f>106-10.6</f>
        <v>95.4</v>
      </c>
      <c r="AQ477" s="17">
        <f>56.3-10.6</f>
        <v>45.699999999999996</v>
      </c>
      <c r="AR477" s="17">
        <v>44.2</v>
      </c>
      <c r="AS477" s="17">
        <v>19</v>
      </c>
      <c r="AT477" s="3" t="s">
        <v>623</v>
      </c>
      <c r="AU477" s="3"/>
    </row>
    <row r="478" spans="1:47" x14ac:dyDescent="0.2">
      <c r="A478" s="115">
        <v>477.00000000000034</v>
      </c>
      <c r="B478" s="3">
        <v>229</v>
      </c>
      <c r="C478" s="3">
        <v>21.477</v>
      </c>
      <c r="D478" s="126" t="s">
        <v>168</v>
      </c>
      <c r="E478" t="s">
        <v>232</v>
      </c>
      <c r="F478" s="17" t="s">
        <v>251</v>
      </c>
      <c r="G478" s="17"/>
      <c r="I478" s="81">
        <v>44504</v>
      </c>
      <c r="J478" s="16" t="s">
        <v>142</v>
      </c>
      <c r="K478" s="16" t="s">
        <v>203</v>
      </c>
      <c r="L478" s="17"/>
      <c r="M478" s="17"/>
      <c r="N478" s="17">
        <v>188</v>
      </c>
      <c r="O478" s="17">
        <v>187.26</v>
      </c>
      <c r="P478" s="17">
        <v>186.99</v>
      </c>
      <c r="Q478" s="17">
        <v>43.77</v>
      </c>
      <c r="R478" s="17">
        <v>22.17</v>
      </c>
      <c r="S478" s="17">
        <v>122.19</v>
      </c>
      <c r="T478" s="17">
        <v>92.64</v>
      </c>
      <c r="U478" s="50">
        <v>72.069999999999993</v>
      </c>
      <c r="V478" s="50">
        <v>50.18</v>
      </c>
      <c r="W478" s="50">
        <v>77.400000000000006</v>
      </c>
      <c r="X478" s="50">
        <v>94.34</v>
      </c>
      <c r="Y478" s="50">
        <v>37.71</v>
      </c>
      <c r="Z478" s="50">
        <v>99.06</v>
      </c>
      <c r="AA478" s="50">
        <v>74.569999999999993</v>
      </c>
      <c r="AB478" s="50">
        <v>72.16</v>
      </c>
      <c r="AC478" s="50">
        <v>6.89</v>
      </c>
      <c r="AD478" s="50">
        <v>41.14</v>
      </c>
      <c r="AE478" s="17">
        <v>36.29</v>
      </c>
      <c r="AF478" s="17">
        <v>35.64</v>
      </c>
      <c r="AG478" s="17">
        <v>37.6</v>
      </c>
      <c r="AH478" s="17">
        <v>42.42</v>
      </c>
      <c r="AI478" s="17">
        <v>1.3759999999999999</v>
      </c>
      <c r="AJ478" s="17"/>
      <c r="AK478" s="17"/>
      <c r="AL478" s="17">
        <v>3</v>
      </c>
      <c r="AM478" s="17"/>
      <c r="AN478" s="17"/>
      <c r="AO478" s="17">
        <f>18.7-3.2</f>
        <v>15.5</v>
      </c>
      <c r="AP478" s="17">
        <f>94.7-10.5</f>
        <v>84.2</v>
      </c>
      <c r="AQ478" s="17">
        <f>51.6-10.7</f>
        <v>40.900000000000006</v>
      </c>
      <c r="AR478" s="17">
        <v>39.9</v>
      </c>
      <c r="AS478" s="17">
        <v>17.100000000000001</v>
      </c>
      <c r="AT478" s="3" t="s">
        <v>624</v>
      </c>
      <c r="AU478" s="3"/>
    </row>
    <row r="479" spans="1:47" x14ac:dyDescent="0.2">
      <c r="A479" s="115">
        <v>478.00000000000153</v>
      </c>
      <c r="B479" s="3">
        <v>165</v>
      </c>
      <c r="C479" s="3">
        <v>21.478000000000002</v>
      </c>
      <c r="D479" s="129" t="s">
        <v>140</v>
      </c>
      <c r="E479" s="11" t="s">
        <v>141</v>
      </c>
      <c r="F479" s="9" t="s">
        <v>60</v>
      </c>
      <c r="H479" s="3" t="s">
        <v>60</v>
      </c>
      <c r="I479" s="82">
        <v>44500</v>
      </c>
      <c r="J479" s="17" t="s">
        <v>142</v>
      </c>
      <c r="K479" s="17" t="s">
        <v>203</v>
      </c>
      <c r="L479" s="17"/>
      <c r="M479" s="17">
        <v>135.9</v>
      </c>
      <c r="N479" s="17">
        <v>134</v>
      </c>
      <c r="O479" s="17">
        <v>159</v>
      </c>
      <c r="P479" s="17">
        <v>166.62</v>
      </c>
      <c r="Q479" s="17">
        <v>29.57</v>
      </c>
      <c r="R479" s="17">
        <v>20.87</v>
      </c>
      <c r="S479" s="17">
        <v>113.98</v>
      </c>
      <c r="T479" s="17">
        <v>98.69</v>
      </c>
      <c r="U479" s="50">
        <v>67.34</v>
      </c>
      <c r="V479" s="50">
        <v>45.99</v>
      </c>
      <c r="W479" s="50">
        <v>75.33</v>
      </c>
      <c r="X479" s="50">
        <v>89.33</v>
      </c>
      <c r="Y479" s="50">
        <v>41.63</v>
      </c>
      <c r="Z479" s="50">
        <v>98.01</v>
      </c>
      <c r="AA479" s="50">
        <v>77.3</v>
      </c>
      <c r="AB479" s="50">
        <v>77.44</v>
      </c>
      <c r="AC479" s="50">
        <v>7.55</v>
      </c>
      <c r="AD479" s="50">
        <v>24.16</v>
      </c>
      <c r="AE479" s="17">
        <v>25.12</v>
      </c>
      <c r="AF479" s="17">
        <v>28.72</v>
      </c>
      <c r="AG479" s="17">
        <v>34.549999999999997</v>
      </c>
      <c r="AH479" s="17">
        <v>38.85</v>
      </c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3" t="s">
        <v>624</v>
      </c>
      <c r="AU479" s="3"/>
    </row>
    <row r="480" spans="1:47" x14ac:dyDescent="0.2">
      <c r="A480" s="115">
        <v>478.9999999999992</v>
      </c>
      <c r="B480" s="3" t="s">
        <v>625</v>
      </c>
      <c r="C480" s="3">
        <v>21.478999999999999</v>
      </c>
      <c r="D480" s="125" t="s">
        <v>156</v>
      </c>
      <c r="E480" t="s">
        <v>491</v>
      </c>
      <c r="F480" s="3" t="s">
        <v>77</v>
      </c>
      <c r="G480" s="3" t="s">
        <v>77</v>
      </c>
      <c r="H480" s="17"/>
      <c r="I480" s="82"/>
      <c r="J480" s="17" t="s">
        <v>142</v>
      </c>
      <c r="K480" s="17" t="s">
        <v>203</v>
      </c>
      <c r="L480" s="17"/>
      <c r="M480" s="17"/>
      <c r="N480" s="17">
        <v>185.5</v>
      </c>
      <c r="O480" s="17">
        <v>159.66999999999999</v>
      </c>
      <c r="P480" s="17">
        <v>168.37</v>
      </c>
      <c r="Q480" s="17">
        <v>27.61</v>
      </c>
      <c r="R480" s="17">
        <v>22.35</v>
      </c>
      <c r="S480" s="17">
        <v>111.99</v>
      </c>
      <c r="T480" s="17">
        <v>92.4</v>
      </c>
      <c r="U480" s="50">
        <v>60.8</v>
      </c>
      <c r="V480" s="50">
        <v>42.57</v>
      </c>
      <c r="W480" s="50">
        <v>68.260000000000005</v>
      </c>
      <c r="X480" s="50">
        <v>81.010000000000005</v>
      </c>
      <c r="Y480" s="50">
        <v>34.630000000000003</v>
      </c>
      <c r="Z480" s="50">
        <v>88.42</v>
      </c>
      <c r="AA480" s="50">
        <v>74.34</v>
      </c>
      <c r="AB480" s="50">
        <v>67.98</v>
      </c>
      <c r="AC480" s="50">
        <v>14.32</v>
      </c>
      <c r="AD480" s="50">
        <v>44.59</v>
      </c>
      <c r="AE480" s="17">
        <v>26.83</v>
      </c>
      <c r="AF480" s="17">
        <v>25.72</v>
      </c>
      <c r="AG480" s="17">
        <v>33.729999999999997</v>
      </c>
      <c r="AH480" s="17">
        <v>36.19</v>
      </c>
      <c r="AI480" s="17">
        <v>1.403</v>
      </c>
      <c r="AJ480" s="17"/>
      <c r="AK480" s="17"/>
      <c r="AL480" s="17">
        <v>15</v>
      </c>
      <c r="AM480" s="17"/>
      <c r="AN480" s="17"/>
      <c r="AO480" s="17">
        <f>12.7-3.2</f>
        <v>9.5</v>
      </c>
      <c r="AP480" s="17">
        <f>71-11.6</f>
        <v>59.4</v>
      </c>
      <c r="AQ480" s="17">
        <f>66.3-10.9</f>
        <v>55.4</v>
      </c>
      <c r="AR480" s="17">
        <v>41</v>
      </c>
      <c r="AS480" s="17">
        <v>18.3</v>
      </c>
      <c r="AT480" s="3" t="s">
        <v>624</v>
      </c>
      <c r="AU480" s="3"/>
    </row>
    <row r="481" spans="1:47" x14ac:dyDescent="0.2">
      <c r="A481" s="115">
        <v>480.00000000000045</v>
      </c>
      <c r="B481" s="3" t="s">
        <v>626</v>
      </c>
      <c r="C481" s="12" t="s">
        <v>627</v>
      </c>
      <c r="D481" s="125" t="s">
        <v>156</v>
      </c>
      <c r="E481" t="s">
        <v>491</v>
      </c>
      <c r="F481" s="3" t="s">
        <v>77</v>
      </c>
      <c r="G481" s="3" t="s">
        <v>77</v>
      </c>
      <c r="H481" s="17"/>
      <c r="I481" s="82">
        <v>44425</v>
      </c>
      <c r="J481" s="16" t="s">
        <v>142</v>
      </c>
      <c r="K481" s="17" t="s">
        <v>203</v>
      </c>
      <c r="L481" s="17"/>
      <c r="M481" s="17"/>
      <c r="N481" s="17"/>
      <c r="O481" s="17">
        <v>164.76</v>
      </c>
      <c r="P481" s="17">
        <v>175.75</v>
      </c>
      <c r="Q481" s="17">
        <v>38.450000000000003</v>
      </c>
      <c r="R481" s="17">
        <v>17.510000000000002</v>
      </c>
      <c r="S481" s="17">
        <v>116.06</v>
      </c>
      <c r="T481" s="17">
        <v>94.55</v>
      </c>
      <c r="U481" s="50">
        <v>62.42</v>
      </c>
      <c r="V481" s="50">
        <v>45.1</v>
      </c>
      <c r="W481" s="50">
        <v>66.58</v>
      </c>
      <c r="X481" s="50">
        <v>81.8</v>
      </c>
      <c r="Y481" s="50">
        <v>36.74</v>
      </c>
      <c r="Z481" s="50">
        <v>90.15</v>
      </c>
      <c r="AA481" s="50">
        <v>77.42</v>
      </c>
      <c r="AB481" s="50">
        <v>74.150000000000006</v>
      </c>
      <c r="AC481" s="50">
        <v>10.51</v>
      </c>
      <c r="AD481" s="50"/>
      <c r="AE481" s="17">
        <v>24.72</v>
      </c>
      <c r="AF481" s="17">
        <v>36.71</v>
      </c>
      <c r="AG481" s="17">
        <v>26.69</v>
      </c>
      <c r="AH481" s="17">
        <v>39.03</v>
      </c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3" t="s">
        <v>624</v>
      </c>
      <c r="AU481" s="3"/>
    </row>
    <row r="482" spans="1:47" x14ac:dyDescent="0.2">
      <c r="A482" s="115">
        <v>481.00000000000165</v>
      </c>
      <c r="B482" s="3" t="s">
        <v>628</v>
      </c>
      <c r="C482" s="3">
        <v>21.481000000000002</v>
      </c>
      <c r="D482" s="125" t="s">
        <v>156</v>
      </c>
      <c r="E482" t="s">
        <v>491</v>
      </c>
      <c r="F482" s="3" t="s">
        <v>77</v>
      </c>
      <c r="G482" s="3" t="s">
        <v>77</v>
      </c>
      <c r="H482" s="17"/>
      <c r="I482" s="82">
        <v>44425</v>
      </c>
      <c r="J482" s="16" t="s">
        <v>142</v>
      </c>
      <c r="K482" s="17" t="s">
        <v>203</v>
      </c>
      <c r="L482" s="17"/>
      <c r="M482" s="17"/>
      <c r="N482" s="17">
        <v>168.7</v>
      </c>
      <c r="O482" s="17">
        <v>166.67</v>
      </c>
      <c r="P482" s="17">
        <v>168.77</v>
      </c>
      <c r="Q482" s="17">
        <v>35.97</v>
      </c>
      <c r="R482" s="17">
        <v>23.1</v>
      </c>
      <c r="S482" s="17">
        <v>111.13</v>
      </c>
      <c r="T482" s="17">
        <v>85.15</v>
      </c>
      <c r="U482" s="50">
        <v>63.39</v>
      </c>
      <c r="V482" s="50">
        <v>44.02</v>
      </c>
      <c r="W482" s="50">
        <v>68.459999999999994</v>
      </c>
      <c r="X482" s="50">
        <v>82.12</v>
      </c>
      <c r="Y482" s="50">
        <v>37.75</v>
      </c>
      <c r="Z482" s="50">
        <v>87.19</v>
      </c>
      <c r="AA482" s="50">
        <v>74.319999999999993</v>
      </c>
      <c r="AB482" s="50">
        <v>70.62</v>
      </c>
      <c r="AC482" s="50">
        <v>5.29</v>
      </c>
      <c r="AD482" s="50">
        <v>43.44</v>
      </c>
      <c r="AE482" s="17">
        <v>28.72</v>
      </c>
      <c r="AF482" s="17">
        <v>37.86</v>
      </c>
      <c r="AG482" s="17">
        <v>30.59</v>
      </c>
      <c r="AH482" s="17">
        <v>35.82</v>
      </c>
      <c r="AI482" s="17">
        <v>1.2809999999999999</v>
      </c>
      <c r="AJ482" s="17"/>
      <c r="AK482" s="17"/>
      <c r="AL482" s="17"/>
      <c r="AM482" s="17"/>
      <c r="AN482" s="17"/>
      <c r="AO482" s="17">
        <f>12.4-3.2</f>
        <v>9.1999999999999993</v>
      </c>
      <c r="AP482" s="17">
        <f>65.1-11.8</f>
        <v>53.3</v>
      </c>
      <c r="AQ482" s="17">
        <f>73.1-10.6</f>
        <v>62.499999999999993</v>
      </c>
      <c r="AR482" s="17">
        <v>40.4</v>
      </c>
      <c r="AS482" s="17">
        <v>17.899999999999999</v>
      </c>
      <c r="AT482" s="3" t="s">
        <v>624</v>
      </c>
      <c r="AU482" s="3"/>
    </row>
    <row r="483" spans="1:47" x14ac:dyDescent="0.2">
      <c r="A483" s="115">
        <v>481.99999999999932</v>
      </c>
      <c r="B483" s="3" t="s">
        <v>629</v>
      </c>
      <c r="C483" s="3">
        <v>21.481999999999999</v>
      </c>
      <c r="D483" s="125" t="s">
        <v>156</v>
      </c>
      <c r="E483" t="s">
        <v>491</v>
      </c>
      <c r="F483" s="3" t="s">
        <v>77</v>
      </c>
      <c r="G483" s="3" t="s">
        <v>77</v>
      </c>
      <c r="H483" s="17"/>
      <c r="I483" s="82">
        <v>44416</v>
      </c>
      <c r="J483" s="16" t="s">
        <v>142</v>
      </c>
      <c r="K483" s="17" t="s">
        <v>203</v>
      </c>
      <c r="L483" s="17"/>
      <c r="M483" s="17"/>
      <c r="N483" s="17">
        <v>163.9</v>
      </c>
      <c r="O483" s="17">
        <v>170.31</v>
      </c>
      <c r="P483" s="17">
        <v>170.72</v>
      </c>
      <c r="Q483" s="17">
        <v>35.54</v>
      </c>
      <c r="R483" s="17">
        <v>28.7</v>
      </c>
      <c r="S483" s="17">
        <v>112.32</v>
      </c>
      <c r="T483" s="17">
        <v>90.58</v>
      </c>
      <c r="U483" s="50">
        <v>62.87</v>
      </c>
      <c r="V483" s="50">
        <v>48</v>
      </c>
      <c r="W483" s="50">
        <v>67.91</v>
      </c>
      <c r="X483" s="50">
        <v>82.62</v>
      </c>
      <c r="Y483" s="50">
        <v>39.58</v>
      </c>
      <c r="Z483" s="50">
        <v>88.41</v>
      </c>
      <c r="AA483" s="50">
        <v>74.12</v>
      </c>
      <c r="AB483" s="50">
        <v>72.34</v>
      </c>
      <c r="AC483" s="50">
        <v>11.81</v>
      </c>
      <c r="AD483" s="50">
        <v>42.43</v>
      </c>
      <c r="AE483" s="17">
        <v>27.43</v>
      </c>
      <c r="AF483" s="17">
        <v>37.44</v>
      </c>
      <c r="AG483" s="17">
        <v>32.33</v>
      </c>
      <c r="AH483" s="17">
        <v>37.700000000000003</v>
      </c>
      <c r="AI483" s="17">
        <v>1.3109999999999999</v>
      </c>
      <c r="AJ483" s="17"/>
      <c r="AK483" s="17"/>
      <c r="AL483" s="17"/>
      <c r="AM483" s="17"/>
      <c r="AN483" s="17"/>
      <c r="AO483" s="17">
        <f>10.1-3.2</f>
        <v>6.8999999999999995</v>
      </c>
      <c r="AP483" s="17">
        <f>64.3-10.7</f>
        <v>53.599999999999994</v>
      </c>
      <c r="AQ483" s="17">
        <f>73.5-10.8</f>
        <v>62.7</v>
      </c>
      <c r="AR483" s="17">
        <v>39.299999999999997</v>
      </c>
      <c r="AS483" s="17">
        <v>17.7</v>
      </c>
      <c r="AT483" s="3" t="s">
        <v>624</v>
      </c>
      <c r="AU483" s="3"/>
    </row>
    <row r="484" spans="1:47" x14ac:dyDescent="0.2">
      <c r="A484" s="115">
        <v>483.00000000000057</v>
      </c>
      <c r="B484" s="3" t="s">
        <v>630</v>
      </c>
      <c r="C484" s="3">
        <v>21.483000000000001</v>
      </c>
      <c r="D484" s="125" t="s">
        <v>156</v>
      </c>
      <c r="E484" t="s">
        <v>491</v>
      </c>
      <c r="F484" s="3" t="s">
        <v>77</v>
      </c>
      <c r="G484" s="3" t="s">
        <v>77</v>
      </c>
      <c r="H484" s="17"/>
      <c r="I484" s="82">
        <v>44458</v>
      </c>
      <c r="J484" s="16" t="s">
        <v>142</v>
      </c>
      <c r="K484" s="17" t="s">
        <v>203</v>
      </c>
      <c r="L484" s="17"/>
      <c r="M484" s="17"/>
      <c r="N484" s="17">
        <v>184.9</v>
      </c>
      <c r="O484" s="17">
        <v>166.16</v>
      </c>
      <c r="P484" s="17">
        <v>174.33</v>
      </c>
      <c r="Q484" s="17">
        <v>38.54</v>
      </c>
      <c r="R484" s="17">
        <v>21.11</v>
      </c>
      <c r="S484" s="17">
        <v>116.69</v>
      </c>
      <c r="T484" s="17">
        <v>91.81</v>
      </c>
      <c r="U484" s="50">
        <v>58.93</v>
      </c>
      <c r="V484" s="50">
        <v>43.61</v>
      </c>
      <c r="W484" s="50">
        <v>64.25</v>
      </c>
      <c r="X484" s="50">
        <v>81.55</v>
      </c>
      <c r="Y484" s="50">
        <v>35</v>
      </c>
      <c r="Z484" s="50">
        <v>87.57</v>
      </c>
      <c r="AA484" s="50">
        <v>72.98</v>
      </c>
      <c r="AB484" s="50">
        <v>70.510000000000005</v>
      </c>
      <c r="AC484" s="50">
        <v>6.45</v>
      </c>
      <c r="AD484" s="50">
        <v>44.89</v>
      </c>
      <c r="AE484" s="17">
        <v>27.97</v>
      </c>
      <c r="AF484" s="17">
        <v>37.81</v>
      </c>
      <c r="AG484" s="17">
        <v>27.01</v>
      </c>
      <c r="AH484" s="17">
        <v>34.79</v>
      </c>
      <c r="AI484" s="17">
        <v>1.2410000000000001</v>
      </c>
      <c r="AJ484" s="17"/>
      <c r="AK484" s="17"/>
      <c r="AL484" s="17">
        <v>10</v>
      </c>
      <c r="AM484" s="17"/>
      <c r="AN484" s="17"/>
      <c r="AO484" s="17">
        <f>13.5-3.1</f>
        <v>10.4</v>
      </c>
      <c r="AP484" s="17">
        <f>83.2-10.5</f>
        <v>72.7</v>
      </c>
      <c r="AQ484" s="17">
        <f>57.6-10.7</f>
        <v>46.900000000000006</v>
      </c>
      <c r="AR484" s="17">
        <v>42.6</v>
      </c>
      <c r="AS484" s="17">
        <v>19.100000000000001</v>
      </c>
      <c r="AT484" s="3" t="s">
        <v>624</v>
      </c>
      <c r="AU484" s="3"/>
    </row>
    <row r="485" spans="1:47" x14ac:dyDescent="0.2">
      <c r="A485" s="115">
        <v>484.00000000000176</v>
      </c>
      <c r="B485" s="3" t="s">
        <v>631</v>
      </c>
      <c r="C485" s="3">
        <v>21.484000000000002</v>
      </c>
      <c r="D485" s="125" t="s">
        <v>156</v>
      </c>
      <c r="E485" t="s">
        <v>491</v>
      </c>
      <c r="F485" s="3" t="s">
        <v>77</v>
      </c>
      <c r="G485" s="3" t="s">
        <v>77</v>
      </c>
      <c r="H485" s="17"/>
      <c r="I485" s="82">
        <v>44414</v>
      </c>
      <c r="J485" s="16" t="s">
        <v>142</v>
      </c>
      <c r="K485" s="17" t="s">
        <v>203</v>
      </c>
      <c r="L485" s="17"/>
      <c r="M485" s="17"/>
      <c r="N485" s="17">
        <v>187.1</v>
      </c>
      <c r="O485" s="17">
        <v>160.78</v>
      </c>
      <c r="P485" s="17">
        <v>174.68</v>
      </c>
      <c r="Q485" s="17">
        <v>35.619999999999997</v>
      </c>
      <c r="R485" s="17">
        <v>15.8</v>
      </c>
      <c r="S485" s="17">
        <v>16.489999999999998</v>
      </c>
      <c r="T485" s="17">
        <v>90.32</v>
      </c>
      <c r="U485" s="50">
        <v>62.5</v>
      </c>
      <c r="V485" s="50">
        <v>47.15</v>
      </c>
      <c r="W485" s="50">
        <v>65.83</v>
      </c>
      <c r="X485" s="50">
        <v>81.77</v>
      </c>
      <c r="Y485" s="50">
        <v>36.93</v>
      </c>
      <c r="Z485" s="50">
        <v>88.08</v>
      </c>
      <c r="AA485" s="50">
        <v>74.19</v>
      </c>
      <c r="AB485" s="50">
        <v>69.8</v>
      </c>
      <c r="AC485" s="50">
        <v>7.7</v>
      </c>
      <c r="AD485" s="50">
        <v>45.85</v>
      </c>
      <c r="AE485" s="17">
        <v>26.51</v>
      </c>
      <c r="AF485" s="17">
        <v>38.22</v>
      </c>
      <c r="AG485" s="17">
        <v>26.31</v>
      </c>
      <c r="AH485" s="17">
        <v>40.21</v>
      </c>
      <c r="AI485" s="17">
        <v>1.264</v>
      </c>
      <c r="AJ485" s="17"/>
      <c r="AK485" s="17"/>
      <c r="AL485" s="17"/>
      <c r="AM485" s="17"/>
      <c r="AN485" s="17"/>
      <c r="AO485" s="17">
        <f>11.2-3.2</f>
        <v>7.9999999999999991</v>
      </c>
      <c r="AP485" s="17">
        <f>68-10.9</f>
        <v>57.1</v>
      </c>
      <c r="AQ485" s="17">
        <f>89.3-11.2</f>
        <v>78.099999999999994</v>
      </c>
      <c r="AR485" s="17">
        <v>40.9</v>
      </c>
      <c r="AS485" s="17">
        <v>18.2</v>
      </c>
      <c r="AT485" s="3" t="s">
        <v>624</v>
      </c>
      <c r="AU485" s="3"/>
    </row>
    <row r="486" spans="1:47" x14ac:dyDescent="0.2">
      <c r="A486" s="115">
        <v>484.99999999999943</v>
      </c>
      <c r="B486" s="3" t="s">
        <v>632</v>
      </c>
      <c r="C486" s="3">
        <v>21.484999999999999</v>
      </c>
      <c r="D486" s="139" t="s">
        <v>179</v>
      </c>
      <c r="E486" s="146" t="s">
        <v>180</v>
      </c>
      <c r="F486" s="3" t="s">
        <v>181</v>
      </c>
      <c r="G486" s="17"/>
      <c r="H486" s="147" t="s">
        <v>280</v>
      </c>
      <c r="I486" s="82">
        <v>44473</v>
      </c>
      <c r="J486" s="17" t="s">
        <v>142</v>
      </c>
      <c r="K486" s="17" t="s">
        <v>203</v>
      </c>
      <c r="L486" s="17"/>
      <c r="M486" s="17"/>
      <c r="N486" s="17"/>
      <c r="O486" s="17">
        <v>186.26</v>
      </c>
      <c r="P486" s="17">
        <v>196.06</v>
      </c>
      <c r="Q486" s="17">
        <v>37.54</v>
      </c>
      <c r="R486" s="17">
        <v>19.670000000000002</v>
      </c>
      <c r="S486" s="17">
        <v>132.12</v>
      </c>
      <c r="T486" s="17">
        <v>101.16</v>
      </c>
      <c r="U486" s="50">
        <v>58.94</v>
      </c>
      <c r="V486" s="50">
        <v>42.99</v>
      </c>
      <c r="W486" s="50">
        <v>67.48</v>
      </c>
      <c r="X486" s="50">
        <v>80.45</v>
      </c>
      <c r="Y486" s="50">
        <v>40.01</v>
      </c>
      <c r="Z486" s="50">
        <v>91.88</v>
      </c>
      <c r="AA486" s="50">
        <v>73.319999999999993</v>
      </c>
      <c r="AB486" s="50">
        <v>69.77</v>
      </c>
      <c r="AC486" s="50">
        <v>5.61</v>
      </c>
      <c r="AD486" s="50">
        <v>46.09</v>
      </c>
      <c r="AE486" s="17">
        <v>30.83</v>
      </c>
      <c r="AF486" s="17">
        <v>36.83</v>
      </c>
      <c r="AG486" s="17">
        <v>29.9</v>
      </c>
      <c r="AH486" s="17">
        <v>40.380000000000003</v>
      </c>
      <c r="AI486" s="17">
        <v>1.3069999999999999</v>
      </c>
      <c r="AJ486" s="17"/>
      <c r="AK486" s="17"/>
      <c r="AL486" s="17"/>
      <c r="AM486" s="17"/>
      <c r="AN486" s="17"/>
      <c r="AO486" s="17">
        <v>9.8000000000000007</v>
      </c>
      <c r="AP486" s="17">
        <v>90.1</v>
      </c>
      <c r="AQ486" s="17">
        <v>66.099999999999994</v>
      </c>
      <c r="AR486" s="17">
        <v>47.5</v>
      </c>
      <c r="AS486" s="17">
        <v>20.399999999999999</v>
      </c>
      <c r="AT486" s="3" t="s">
        <v>624</v>
      </c>
      <c r="AU486" s="3"/>
    </row>
    <row r="487" spans="1:47" x14ac:dyDescent="0.2">
      <c r="A487" s="115">
        <v>486.00000000000068</v>
      </c>
      <c r="B487" s="3">
        <v>160</v>
      </c>
      <c r="C487" s="3">
        <v>21.486000000000001</v>
      </c>
      <c r="D487" s="129" t="s">
        <v>140</v>
      </c>
      <c r="E487" t="s">
        <v>141</v>
      </c>
      <c r="F487" s="3" t="s">
        <v>60</v>
      </c>
      <c r="G487" s="17"/>
      <c r="H487" s="3" t="s">
        <v>60</v>
      </c>
      <c r="I487" s="82">
        <v>44496</v>
      </c>
      <c r="J487" s="17" t="s">
        <v>142</v>
      </c>
      <c r="K487" s="17" t="s">
        <v>203</v>
      </c>
      <c r="L487" s="17"/>
      <c r="M487" s="17">
        <v>215.6</v>
      </c>
      <c r="N487" s="17"/>
      <c r="O487" s="17">
        <v>164.41</v>
      </c>
      <c r="P487" s="17">
        <v>176.92</v>
      </c>
      <c r="Q487" s="17">
        <v>27.08</v>
      </c>
      <c r="R487" s="17">
        <v>24.84</v>
      </c>
      <c r="S487" s="17">
        <v>119.16</v>
      </c>
      <c r="T487" s="17">
        <v>98.74</v>
      </c>
      <c r="U487" s="50">
        <v>62.3</v>
      </c>
      <c r="V487" s="50">
        <v>45.62</v>
      </c>
      <c r="W487" s="50">
        <v>73.819999999999993</v>
      </c>
      <c r="X487" s="50">
        <v>89.18</v>
      </c>
      <c r="Y487" s="50">
        <v>38.58</v>
      </c>
      <c r="Z487" s="50">
        <v>95.5</v>
      </c>
      <c r="AA487" s="50">
        <v>74.38</v>
      </c>
      <c r="AB487" s="50">
        <v>75.5</v>
      </c>
      <c r="AC487" s="50">
        <v>10.15</v>
      </c>
      <c r="AD487" s="50">
        <v>47.02</v>
      </c>
      <c r="AE487" s="17">
        <v>29.65</v>
      </c>
      <c r="AF487" s="17">
        <v>34.03</v>
      </c>
      <c r="AG487" s="17">
        <v>34.39</v>
      </c>
      <c r="AH487" s="17">
        <v>41.05</v>
      </c>
      <c r="AI487" s="17">
        <v>1.712</v>
      </c>
      <c r="AJ487" s="17"/>
      <c r="AK487" s="17"/>
      <c r="AL487" s="17">
        <v>12</v>
      </c>
      <c r="AM487" s="17"/>
      <c r="AN487" s="17"/>
      <c r="AO487" s="17">
        <f>13.3-3.1</f>
        <v>10.200000000000001</v>
      </c>
      <c r="AP487" s="17">
        <f>106.3-8.7</f>
        <v>97.6</v>
      </c>
      <c r="AQ487" s="17">
        <f>49.7-10.8</f>
        <v>38.900000000000006</v>
      </c>
      <c r="AR487" s="17">
        <v>50.7</v>
      </c>
      <c r="AS487" s="17">
        <v>22</v>
      </c>
      <c r="AT487" s="3" t="s">
        <v>624</v>
      </c>
      <c r="AU487" s="3"/>
    </row>
    <row r="488" spans="1:47" x14ac:dyDescent="0.2">
      <c r="A488" s="115">
        <v>486.99999999999829</v>
      </c>
      <c r="B488" s="3">
        <v>150</v>
      </c>
      <c r="C488" s="3">
        <v>21.486999999999998</v>
      </c>
      <c r="D488" s="129" t="s">
        <v>140</v>
      </c>
      <c r="E488" t="s">
        <v>141</v>
      </c>
      <c r="F488" s="147" t="s">
        <v>61</v>
      </c>
      <c r="G488" s="17"/>
      <c r="H488" s="147" t="s">
        <v>61</v>
      </c>
      <c r="I488" s="82">
        <v>44481</v>
      </c>
      <c r="J488" s="17" t="s">
        <v>142</v>
      </c>
      <c r="K488" s="17" t="s">
        <v>203</v>
      </c>
      <c r="L488" s="17"/>
      <c r="M488" s="17">
        <v>176.5</v>
      </c>
      <c r="N488" s="17"/>
      <c r="O488" s="17"/>
      <c r="P488" s="17"/>
      <c r="Q488" s="17"/>
      <c r="R488" s="17"/>
      <c r="S488" s="17"/>
      <c r="T488" s="17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17"/>
      <c r="AF488" s="17"/>
      <c r="AG488" s="17"/>
      <c r="AH488" s="17"/>
      <c r="AI488" s="17">
        <v>1.2010000000000001</v>
      </c>
      <c r="AJ488" s="17"/>
      <c r="AK488" s="17"/>
      <c r="AL488" s="17"/>
      <c r="AM488" s="17"/>
      <c r="AN488" s="17"/>
      <c r="AO488" s="17">
        <f>7.3-3.2</f>
        <v>4.0999999999999996</v>
      </c>
      <c r="AP488" s="17">
        <f>91-10.9</f>
        <v>80.099999999999994</v>
      </c>
      <c r="AQ488" s="17">
        <f>68-10.3</f>
        <v>57.7</v>
      </c>
      <c r="AR488" s="17">
        <v>37.200000000000003</v>
      </c>
      <c r="AS488" s="17">
        <v>17</v>
      </c>
      <c r="AT488" s="3" t="s">
        <v>624</v>
      </c>
      <c r="AU488" s="3"/>
    </row>
    <row r="489" spans="1:47" x14ac:dyDescent="0.2">
      <c r="A489" s="115">
        <v>487.99999999999955</v>
      </c>
      <c r="B489" s="3">
        <v>156</v>
      </c>
      <c r="C489" s="3">
        <v>21.488</v>
      </c>
      <c r="D489" s="129" t="s">
        <v>140</v>
      </c>
      <c r="E489" t="s">
        <v>141</v>
      </c>
      <c r="F489" s="3" t="s">
        <v>60</v>
      </c>
      <c r="G489" s="17"/>
      <c r="H489" s="3" t="s">
        <v>60</v>
      </c>
      <c r="I489" s="82">
        <v>44495</v>
      </c>
      <c r="J489" s="17" t="s">
        <v>142</v>
      </c>
      <c r="K489" s="17" t="s">
        <v>203</v>
      </c>
      <c r="L489" s="17"/>
      <c r="M489" s="17">
        <v>206.1</v>
      </c>
      <c r="N489" s="17"/>
      <c r="O489" s="17">
        <v>139.29</v>
      </c>
      <c r="P489" s="17">
        <v>158.65</v>
      </c>
      <c r="Q489" s="17">
        <v>29.43</v>
      </c>
      <c r="R489" s="17">
        <v>18.09</v>
      </c>
      <c r="S489" s="17">
        <v>102.44</v>
      </c>
      <c r="T489" s="17">
        <v>84.67</v>
      </c>
      <c r="U489" s="50">
        <v>63.44</v>
      </c>
      <c r="V489" s="50">
        <v>51.23</v>
      </c>
      <c r="W489" s="50">
        <v>73.430000000000007</v>
      </c>
      <c r="X489" s="50">
        <v>90.04</v>
      </c>
      <c r="Y489" s="50">
        <v>39.799999999999997</v>
      </c>
      <c r="Z489" s="50">
        <v>98.75</v>
      </c>
      <c r="AA489" s="50">
        <v>80.78</v>
      </c>
      <c r="AB489" s="50">
        <v>75.52</v>
      </c>
      <c r="AC489" s="50">
        <v>14.07</v>
      </c>
      <c r="AD489" s="50">
        <v>48.42</v>
      </c>
      <c r="AE489" s="17">
        <v>34</v>
      </c>
      <c r="AF489" s="17">
        <v>35.97</v>
      </c>
      <c r="AG489" s="17">
        <v>27.87</v>
      </c>
      <c r="AH489" s="17">
        <v>39.78</v>
      </c>
      <c r="AI489" s="17">
        <v>2.3780000000000001</v>
      </c>
      <c r="AJ489" s="17"/>
      <c r="AK489" s="17"/>
      <c r="AL489" s="17">
        <v>22</v>
      </c>
      <c r="AM489" s="17"/>
      <c r="AN489" s="17"/>
      <c r="AO489" s="17">
        <f>12-3.2</f>
        <v>8.8000000000000007</v>
      </c>
      <c r="AP489" s="17">
        <f>88.1-9.4</f>
        <v>78.699999999999989</v>
      </c>
      <c r="AQ489" s="17">
        <f>47.6-10.5</f>
        <v>37.1</v>
      </c>
      <c r="AR489" s="17">
        <v>49.9</v>
      </c>
      <c r="AS489" s="17">
        <v>21.4</v>
      </c>
      <c r="AT489" s="3" t="s">
        <v>624</v>
      </c>
      <c r="AU489" s="3"/>
    </row>
    <row r="490" spans="1:47" x14ac:dyDescent="0.2">
      <c r="A490" s="115">
        <v>489.0000000000008</v>
      </c>
      <c r="B490" s="3">
        <v>159</v>
      </c>
      <c r="C490" s="3">
        <v>21.489000000000001</v>
      </c>
      <c r="D490" s="129" t="s">
        <v>140</v>
      </c>
      <c r="E490" t="s">
        <v>141</v>
      </c>
      <c r="F490" s="3" t="s">
        <v>60</v>
      </c>
      <c r="G490" s="17"/>
      <c r="H490" s="3" t="s">
        <v>60</v>
      </c>
      <c r="I490" s="82">
        <v>44496</v>
      </c>
      <c r="J490" s="17" t="s">
        <v>142</v>
      </c>
      <c r="K490" s="17" t="s">
        <v>203</v>
      </c>
      <c r="L490" s="17"/>
      <c r="M490" s="17">
        <v>204.4</v>
      </c>
      <c r="N490" s="17"/>
      <c r="O490" s="17">
        <v>163.07</v>
      </c>
      <c r="P490" s="17">
        <v>175.28</v>
      </c>
      <c r="Q490" s="17">
        <v>31.83</v>
      </c>
      <c r="R490" s="17">
        <v>24.86</v>
      </c>
      <c r="S490" s="17">
        <v>113.59</v>
      </c>
      <c r="T490" s="17">
        <v>94.87</v>
      </c>
      <c r="U490" s="50">
        <v>61.01</v>
      </c>
      <c r="V490" s="50">
        <v>45.81</v>
      </c>
      <c r="W490" s="50">
        <v>74.959999999999994</v>
      </c>
      <c r="X490" s="50">
        <v>91.51</v>
      </c>
      <c r="Y490" s="50">
        <v>41.71</v>
      </c>
      <c r="Z490" s="50">
        <v>95.59</v>
      </c>
      <c r="AA490" s="50">
        <v>75.53</v>
      </c>
      <c r="AB490" s="50">
        <v>74.77</v>
      </c>
      <c r="AC490" s="50">
        <v>6.92</v>
      </c>
      <c r="AD490" s="50">
        <v>45.85</v>
      </c>
      <c r="AE490" s="17">
        <v>24.56</v>
      </c>
      <c r="AF490" s="17">
        <v>33.53</v>
      </c>
      <c r="AG490" s="17">
        <v>35.4</v>
      </c>
      <c r="AH490" s="17">
        <v>39.75</v>
      </c>
      <c r="AI490" s="17">
        <v>1.7789999999999999</v>
      </c>
      <c r="AJ490" s="17"/>
      <c r="AK490" s="17"/>
      <c r="AL490" s="17">
        <v>19</v>
      </c>
      <c r="AM490" s="17"/>
      <c r="AN490" s="17"/>
      <c r="AO490" s="17">
        <f>8.1-3.2</f>
        <v>4.8999999999999995</v>
      </c>
      <c r="AP490" s="17">
        <f>116.1-11.2</f>
        <v>104.89999999999999</v>
      </c>
      <c r="AQ490" s="17">
        <f>31.1-10.2</f>
        <v>20.900000000000002</v>
      </c>
      <c r="AR490" s="17">
        <v>45.4</v>
      </c>
      <c r="AS490" s="17">
        <v>20.5</v>
      </c>
      <c r="AT490" s="3" t="s">
        <v>624</v>
      </c>
      <c r="AU490" s="3"/>
    </row>
    <row r="491" spans="1:47" x14ac:dyDescent="0.2">
      <c r="A491" s="115">
        <v>489.99999999999841</v>
      </c>
      <c r="B491" s="3">
        <v>154</v>
      </c>
      <c r="C491" s="12" t="s">
        <v>633</v>
      </c>
      <c r="D491" s="129" t="s">
        <v>140</v>
      </c>
      <c r="E491" t="s">
        <v>141</v>
      </c>
      <c r="F491" s="3" t="s">
        <v>60</v>
      </c>
      <c r="H491" s="3" t="s">
        <v>60</v>
      </c>
      <c r="I491" s="82">
        <v>44495</v>
      </c>
      <c r="J491" s="17" t="s">
        <v>142</v>
      </c>
      <c r="K491" s="17" t="s">
        <v>203</v>
      </c>
      <c r="L491" s="17"/>
      <c r="M491" s="17">
        <v>214.2</v>
      </c>
      <c r="N491" s="17"/>
      <c r="O491" s="17">
        <v>156.6</v>
      </c>
      <c r="P491" s="17">
        <v>170.88</v>
      </c>
      <c r="Q491" s="17">
        <v>30.53</v>
      </c>
      <c r="R491" s="17">
        <v>16.760000000000002</v>
      </c>
      <c r="S491" s="17">
        <v>112.95</v>
      </c>
      <c r="T491" s="17">
        <v>95.67</v>
      </c>
      <c r="U491" s="50">
        <v>62.05</v>
      </c>
      <c r="V491" s="50">
        <v>50.77</v>
      </c>
      <c r="W491" s="50">
        <v>75.260000000000005</v>
      </c>
      <c r="X491" s="50">
        <v>87.18</v>
      </c>
      <c r="Y491" s="50">
        <v>39.58</v>
      </c>
      <c r="Z491" s="50">
        <v>97.33</v>
      </c>
      <c r="AA491" s="50">
        <v>75.650000000000006</v>
      </c>
      <c r="AB491" s="50">
        <v>75.400000000000006</v>
      </c>
      <c r="AC491" s="50">
        <v>6.34</v>
      </c>
      <c r="AD491" s="50">
        <v>46.53</v>
      </c>
      <c r="AE491" s="17">
        <v>25.07</v>
      </c>
      <c r="AF491" s="17">
        <v>36.53</v>
      </c>
      <c r="AG491" s="17">
        <v>39.86</v>
      </c>
      <c r="AH491" s="17">
        <v>41.05</v>
      </c>
      <c r="AI491" s="17">
        <v>2.2050000000000001</v>
      </c>
      <c r="AJ491" s="17"/>
      <c r="AK491" s="17"/>
      <c r="AL491" s="17">
        <v>21</v>
      </c>
      <c r="AM491" s="17"/>
      <c r="AN491" s="17"/>
      <c r="AO491" s="17">
        <f>9.1-3.2</f>
        <v>5.8999999999999995</v>
      </c>
      <c r="AP491" s="17">
        <f>100-11.2</f>
        <v>88.8</v>
      </c>
      <c r="AQ491" s="17">
        <f>44.7-10.2</f>
        <v>34.5</v>
      </c>
      <c r="AR491" s="17">
        <v>52.5</v>
      </c>
      <c r="AS491" s="17">
        <v>22.6</v>
      </c>
      <c r="AT491" s="3" t="s">
        <v>624</v>
      </c>
      <c r="AU491" s="3"/>
    </row>
    <row r="492" spans="1:47" x14ac:dyDescent="0.2">
      <c r="A492" s="115">
        <v>490.99999999999966</v>
      </c>
      <c r="B492" s="3">
        <v>155</v>
      </c>
      <c r="C492" s="3">
        <v>21.491</v>
      </c>
      <c r="D492" s="129" t="s">
        <v>140</v>
      </c>
      <c r="E492" t="s">
        <v>141</v>
      </c>
      <c r="F492" s="3" t="s">
        <v>60</v>
      </c>
      <c r="H492" s="3" t="s">
        <v>60</v>
      </c>
      <c r="I492" s="82">
        <v>44495</v>
      </c>
      <c r="J492" s="17" t="s">
        <v>142</v>
      </c>
      <c r="K492" s="17" t="s">
        <v>203</v>
      </c>
      <c r="L492" s="17"/>
      <c r="M492" s="17">
        <v>216.6</v>
      </c>
      <c r="N492" s="17"/>
      <c r="O492" s="17">
        <v>158.97999999999999</v>
      </c>
      <c r="P492" s="17">
        <v>168.05</v>
      </c>
      <c r="Q492" s="17">
        <v>28.94</v>
      </c>
      <c r="R492" s="17">
        <v>21.95</v>
      </c>
      <c r="S492" s="17">
        <v>115.29</v>
      </c>
      <c r="T492" s="17">
        <v>95.13</v>
      </c>
      <c r="U492" s="50">
        <v>62.56</v>
      </c>
      <c r="V492" s="50">
        <v>45.74</v>
      </c>
      <c r="W492" s="50">
        <v>74.87</v>
      </c>
      <c r="X492" s="50">
        <v>88.74</v>
      </c>
      <c r="Y492" s="50">
        <v>38</v>
      </c>
      <c r="Z492" s="50">
        <v>94.49</v>
      </c>
      <c r="AA492" s="50">
        <v>73.77</v>
      </c>
      <c r="AB492" s="50">
        <v>72.760000000000005</v>
      </c>
      <c r="AC492" s="50">
        <v>6.09</v>
      </c>
      <c r="AD492" s="50">
        <v>47.12</v>
      </c>
      <c r="AE492" s="17">
        <v>26.65</v>
      </c>
      <c r="AF492" s="17">
        <v>31.36</v>
      </c>
      <c r="AG492" s="17">
        <v>22.24</v>
      </c>
      <c r="AH492" s="17">
        <v>41.42</v>
      </c>
      <c r="AI492" s="17">
        <v>2.177</v>
      </c>
      <c r="AJ492" s="17"/>
      <c r="AK492" s="17"/>
      <c r="AL492" s="17">
        <v>27</v>
      </c>
      <c r="AM492" s="17"/>
      <c r="AN492" s="17"/>
      <c r="AO492" s="17">
        <f>12.1-3.2</f>
        <v>8.8999999999999986</v>
      </c>
      <c r="AP492" s="17">
        <f>113.2-11.2</f>
        <v>102</v>
      </c>
      <c r="AQ492" s="17">
        <f>31-10.2</f>
        <v>20.8</v>
      </c>
      <c r="AR492" s="17">
        <v>53.1</v>
      </c>
      <c r="AS492" s="17">
        <v>22.9</v>
      </c>
      <c r="AT492" s="3" t="s">
        <v>624</v>
      </c>
      <c r="AU492" s="3"/>
    </row>
    <row r="493" spans="1:47" x14ac:dyDescent="0.2">
      <c r="A493" s="115">
        <v>492.00000000000091</v>
      </c>
      <c r="B493" s="3">
        <v>129</v>
      </c>
      <c r="C493" s="3">
        <v>21.492000000000001</v>
      </c>
      <c r="D493" s="129" t="s">
        <v>140</v>
      </c>
      <c r="E493" t="s">
        <v>141</v>
      </c>
      <c r="F493" s="3" t="s">
        <v>60</v>
      </c>
      <c r="H493" s="3" t="s">
        <v>60</v>
      </c>
      <c r="I493" s="82">
        <v>44464</v>
      </c>
      <c r="J493" s="17" t="s">
        <v>142</v>
      </c>
      <c r="K493" s="16" t="s">
        <v>203</v>
      </c>
      <c r="L493" s="17"/>
      <c r="M493" s="17">
        <v>216.4</v>
      </c>
      <c r="N493" s="17"/>
      <c r="O493" s="17">
        <v>152.53</v>
      </c>
      <c r="P493" s="17">
        <v>171.03</v>
      </c>
      <c r="Q493" s="17">
        <v>28.18</v>
      </c>
      <c r="R493" s="17">
        <v>16.920000000000002</v>
      </c>
      <c r="S493" s="17">
        <v>114.29</v>
      </c>
      <c r="T493" s="17">
        <v>91.77</v>
      </c>
      <c r="U493" s="50">
        <v>65.84</v>
      </c>
      <c r="V493" s="50">
        <v>47.65</v>
      </c>
      <c r="W493" s="50">
        <v>74.97</v>
      </c>
      <c r="X493" s="50">
        <v>88.45</v>
      </c>
      <c r="Y493" s="50">
        <v>41.24</v>
      </c>
      <c r="Z493" s="50">
        <v>96.49</v>
      </c>
      <c r="AA493" s="50">
        <v>75.75</v>
      </c>
      <c r="AB493" s="50">
        <v>71.760000000000005</v>
      </c>
      <c r="AC493" s="50">
        <v>11.1</v>
      </c>
      <c r="AD493" s="50">
        <v>47.09</v>
      </c>
      <c r="AE493" s="17">
        <v>26.25</v>
      </c>
      <c r="AF493" s="17">
        <v>29.3</v>
      </c>
      <c r="AG493" s="17">
        <v>36.619999999999997</v>
      </c>
      <c r="AH493" s="17">
        <v>40.049999999999997</v>
      </c>
      <c r="AI493" s="17">
        <v>2.0059999999999998</v>
      </c>
      <c r="AJ493" s="17"/>
      <c r="AK493" s="17"/>
      <c r="AL493" s="17">
        <v>37</v>
      </c>
      <c r="AM493" s="17"/>
      <c r="AN493" s="17"/>
      <c r="AO493" s="17">
        <f>10.1-3.2</f>
        <v>6.8999999999999995</v>
      </c>
      <c r="AP493" s="17">
        <f>111.5-11.2</f>
        <v>100.3</v>
      </c>
      <c r="AQ493" s="17">
        <f>28.2-10.2</f>
        <v>18</v>
      </c>
      <c r="AR493" s="17">
        <v>52.8</v>
      </c>
      <c r="AS493" s="17">
        <v>23.3</v>
      </c>
      <c r="AT493" s="3" t="s">
        <v>624</v>
      </c>
      <c r="AU493" s="3"/>
    </row>
    <row r="494" spans="1:47" x14ac:dyDescent="0.2">
      <c r="A494" s="115">
        <v>492.99999999999852</v>
      </c>
      <c r="B494" s="3">
        <v>162</v>
      </c>
      <c r="C494" s="3">
        <v>21.492999999999999</v>
      </c>
      <c r="D494" s="129" t="s">
        <v>140</v>
      </c>
      <c r="E494" t="s">
        <v>141</v>
      </c>
      <c r="F494" s="3" t="s">
        <v>61</v>
      </c>
      <c r="H494" s="3" t="s">
        <v>61</v>
      </c>
      <c r="I494" s="82">
        <v>44496</v>
      </c>
      <c r="J494" s="17" t="s">
        <v>142</v>
      </c>
      <c r="K494" s="17" t="s">
        <v>203</v>
      </c>
      <c r="L494" s="17"/>
      <c r="M494" s="17">
        <v>172.9</v>
      </c>
      <c r="N494" s="17"/>
      <c r="O494" s="17">
        <v>184.3</v>
      </c>
      <c r="P494" s="17">
        <v>189.5</v>
      </c>
      <c r="Q494" s="17">
        <v>39</v>
      </c>
      <c r="R494" s="17">
        <v>30.93</v>
      </c>
      <c r="S494" s="17">
        <v>119.49</v>
      </c>
      <c r="T494" s="17">
        <v>101.63</v>
      </c>
      <c r="U494" s="50">
        <v>56.08</v>
      </c>
      <c r="V494" s="50">
        <v>40.75</v>
      </c>
      <c r="W494" s="50">
        <v>66.23</v>
      </c>
      <c r="X494" s="50">
        <v>79.930000000000007</v>
      </c>
      <c r="Y494" s="50">
        <v>31.87</v>
      </c>
      <c r="Z494" s="50">
        <v>88.9</v>
      </c>
      <c r="AA494" s="50">
        <v>69.7</v>
      </c>
      <c r="AB494" s="50">
        <v>66.09</v>
      </c>
      <c r="AC494" s="50">
        <v>11.48</v>
      </c>
      <c r="AD494" s="50">
        <v>43.56</v>
      </c>
      <c r="AE494" s="17">
        <v>36.61</v>
      </c>
      <c r="AF494" s="17">
        <v>39.75</v>
      </c>
      <c r="AG494" s="17">
        <v>35.56</v>
      </c>
      <c r="AH494" s="17">
        <v>34.4</v>
      </c>
      <c r="AI494" s="17">
        <v>1.1379999999999999</v>
      </c>
      <c r="AJ494" s="17"/>
      <c r="AK494" s="17"/>
      <c r="AL494" s="17">
        <v>17</v>
      </c>
      <c r="AM494" s="17"/>
      <c r="AN494" s="17"/>
      <c r="AO494" s="17">
        <f>13.8-3.2</f>
        <v>10.600000000000001</v>
      </c>
      <c r="AP494" s="17">
        <f>92.4-10.3</f>
        <v>82.100000000000009</v>
      </c>
      <c r="AQ494" s="17">
        <f>34.2-10.5</f>
        <v>23.700000000000003</v>
      </c>
      <c r="AR494" s="17">
        <v>34</v>
      </c>
      <c r="AS494" s="17">
        <v>14.9</v>
      </c>
      <c r="AT494" s="3" t="s">
        <v>624</v>
      </c>
      <c r="AU494" s="3"/>
    </row>
    <row r="495" spans="1:47" x14ac:dyDescent="0.2">
      <c r="A495" s="115">
        <v>493.99999999999977</v>
      </c>
      <c r="B495" s="3">
        <v>131</v>
      </c>
      <c r="C495" s="3">
        <v>21.494</v>
      </c>
      <c r="D495" s="129" t="s">
        <v>140</v>
      </c>
      <c r="E495" t="s">
        <v>141</v>
      </c>
      <c r="F495" s="3" t="s">
        <v>61</v>
      </c>
      <c r="G495" s="17"/>
      <c r="H495" s="3" t="s">
        <v>61</v>
      </c>
      <c r="I495" s="82">
        <v>44470</v>
      </c>
      <c r="J495" s="17" t="s">
        <v>142</v>
      </c>
      <c r="K495" s="16" t="s">
        <v>203</v>
      </c>
      <c r="L495" s="17"/>
      <c r="M495" s="17">
        <v>180</v>
      </c>
      <c r="N495" s="17"/>
      <c r="O495" s="17">
        <v>192.46</v>
      </c>
      <c r="P495" s="17">
        <v>194.08</v>
      </c>
      <c r="Q495" s="17">
        <v>37.86</v>
      </c>
      <c r="R495" s="17">
        <v>30.11</v>
      </c>
      <c r="S495" s="17">
        <v>127.47</v>
      </c>
      <c r="T495" s="17">
        <v>100.47</v>
      </c>
      <c r="U495" s="50">
        <v>61.69</v>
      </c>
      <c r="V495" s="50">
        <v>40.93</v>
      </c>
      <c r="W495" s="50">
        <v>71.44</v>
      </c>
      <c r="X495" s="50">
        <v>79.53</v>
      </c>
      <c r="Y495" s="50">
        <v>31.08</v>
      </c>
      <c r="Z495" s="50">
        <v>85.63</v>
      </c>
      <c r="AA495" s="50">
        <v>67.540000000000006</v>
      </c>
      <c r="AB495" s="50">
        <v>62.04</v>
      </c>
      <c r="AC495" s="50">
        <v>19.14</v>
      </c>
      <c r="AD495" s="50">
        <v>44.12</v>
      </c>
      <c r="AE495" s="17">
        <v>42.03</v>
      </c>
      <c r="AF495" s="17">
        <v>44</v>
      </c>
      <c r="AG495" s="17">
        <v>35.51</v>
      </c>
      <c r="AH495" s="17">
        <v>33.92</v>
      </c>
      <c r="AI495" s="17">
        <v>1.337</v>
      </c>
      <c r="AJ495" s="17"/>
      <c r="AK495" s="17"/>
      <c r="AL495" s="17">
        <v>21</v>
      </c>
      <c r="AM495" s="17"/>
      <c r="AN495" s="17"/>
      <c r="AO495" s="17">
        <f>15.5-3.2</f>
        <v>12.3</v>
      </c>
      <c r="AP495" s="17">
        <f>79.9-11.6</f>
        <v>68.300000000000011</v>
      </c>
      <c r="AQ495" s="17">
        <f>46.7-10.6</f>
        <v>36.1</v>
      </c>
      <c r="AR495" s="17">
        <v>40.200000000000003</v>
      </c>
      <c r="AS495" s="17">
        <v>18.7</v>
      </c>
      <c r="AT495" s="3" t="s">
        <v>624</v>
      </c>
      <c r="AU495" s="3"/>
    </row>
    <row r="496" spans="1:47" x14ac:dyDescent="0.2">
      <c r="A496" s="115">
        <v>495.00000000000102</v>
      </c>
      <c r="B496" s="3">
        <v>146</v>
      </c>
      <c r="C496" s="3">
        <v>21.495000000000001</v>
      </c>
      <c r="D496" s="129" t="s">
        <v>140</v>
      </c>
      <c r="E496" t="s">
        <v>141</v>
      </c>
      <c r="F496" s="3" t="s">
        <v>60</v>
      </c>
      <c r="G496" s="17"/>
      <c r="H496" s="3" t="s">
        <v>60</v>
      </c>
      <c r="I496" s="82">
        <v>44480</v>
      </c>
      <c r="J496" s="17" t="s">
        <v>142</v>
      </c>
      <c r="K496" s="16" t="s">
        <v>203</v>
      </c>
      <c r="L496" s="17"/>
      <c r="M496" s="17">
        <v>213.4</v>
      </c>
      <c r="N496" s="17"/>
      <c r="O496" s="17">
        <v>159.55000000000001</v>
      </c>
      <c r="P496" s="17">
        <v>167.19</v>
      </c>
      <c r="Q496" s="17">
        <v>27.81</v>
      </c>
      <c r="R496" s="17">
        <v>17.16</v>
      </c>
      <c r="S496" s="17">
        <v>117.37</v>
      </c>
      <c r="T496" s="17">
        <v>97.28</v>
      </c>
      <c r="U496" s="50">
        <v>68.17</v>
      </c>
      <c r="V496" s="50">
        <v>43.74</v>
      </c>
      <c r="W496" s="50">
        <v>74.61</v>
      </c>
      <c r="X496" s="50">
        <v>88.62</v>
      </c>
      <c r="Y496" s="50">
        <v>40.119999999999997</v>
      </c>
      <c r="Z496" s="50">
        <v>95.22</v>
      </c>
      <c r="AA496" s="50">
        <v>73.56</v>
      </c>
      <c r="AB496" s="50">
        <v>70.69</v>
      </c>
      <c r="AC496" s="50">
        <v>7.53</v>
      </c>
      <c r="AD496" s="50">
        <v>46.7</v>
      </c>
      <c r="AE496" s="17">
        <v>26.24</v>
      </c>
      <c r="AF496" s="17">
        <v>30.39</v>
      </c>
      <c r="AG496" s="17">
        <v>34.409999999999997</v>
      </c>
      <c r="AH496" s="17">
        <v>36.94</v>
      </c>
      <c r="AI496" s="17">
        <v>1.895</v>
      </c>
      <c r="AJ496" s="17"/>
      <c r="AK496" s="17"/>
      <c r="AL496" s="17">
        <v>42</v>
      </c>
      <c r="AM496" s="17"/>
      <c r="AN496" s="17"/>
      <c r="AO496" s="17">
        <f>17.8-3.2</f>
        <v>14.600000000000001</v>
      </c>
      <c r="AP496" s="17">
        <f>94.4-10.6</f>
        <v>83.800000000000011</v>
      </c>
      <c r="AQ496" s="17">
        <f>29.6-10.8</f>
        <v>18.8</v>
      </c>
      <c r="AR496" s="17">
        <v>52</v>
      </c>
      <c r="AS496" s="17">
        <v>23.2</v>
      </c>
      <c r="AT496" s="3" t="s">
        <v>624</v>
      </c>
      <c r="AU496" s="3"/>
    </row>
    <row r="497" spans="1:47" x14ac:dyDescent="0.2">
      <c r="A497" s="115">
        <v>495.99999999999864</v>
      </c>
      <c r="B497" s="3" t="s">
        <v>350</v>
      </c>
      <c r="C497" s="3">
        <v>21.495999999999999</v>
      </c>
      <c r="D497" s="139" t="s">
        <v>179</v>
      </c>
      <c r="E497" s="146" t="s">
        <v>180</v>
      </c>
      <c r="F497" s="17" t="s">
        <v>181</v>
      </c>
      <c r="G497" s="17"/>
      <c r="H497" s="147" t="s">
        <v>268</v>
      </c>
      <c r="I497" s="82">
        <v>44470</v>
      </c>
      <c r="J497" s="17" t="s">
        <v>142</v>
      </c>
      <c r="K497" s="17" t="s">
        <v>203</v>
      </c>
      <c r="L497" s="17"/>
      <c r="M497" s="17">
        <v>215</v>
      </c>
      <c r="N497" s="17"/>
      <c r="O497" s="17">
        <v>194.33</v>
      </c>
      <c r="P497" s="17">
        <v>206.67</v>
      </c>
      <c r="Q497" s="17">
        <v>47.2</v>
      </c>
      <c r="R497" s="17">
        <v>26.47</v>
      </c>
      <c r="S497" s="17">
        <v>127.68</v>
      </c>
      <c r="T497" s="17">
        <v>105.45</v>
      </c>
      <c r="U497" s="50">
        <v>57.44</v>
      </c>
      <c r="V497" s="50">
        <v>44.19</v>
      </c>
      <c r="W497" s="50">
        <v>67.92</v>
      </c>
      <c r="X497" s="50">
        <v>83.57</v>
      </c>
      <c r="Y497" s="50">
        <v>40.22</v>
      </c>
      <c r="Z497" s="50">
        <v>93.25</v>
      </c>
      <c r="AA497" s="50">
        <v>71.5</v>
      </c>
      <c r="AB497" s="50">
        <v>64.25</v>
      </c>
      <c r="AC497" s="50">
        <v>10.6</v>
      </c>
      <c r="AD497" s="50">
        <v>47.9</v>
      </c>
      <c r="AE497" s="17">
        <v>32.93</v>
      </c>
      <c r="AF497" s="17">
        <v>31.45</v>
      </c>
      <c r="AG497" s="17">
        <v>38.479999999999997</v>
      </c>
      <c r="AH497" s="17">
        <v>42.08</v>
      </c>
      <c r="AI497" s="17"/>
      <c r="AJ497" s="17"/>
      <c r="AK497" s="17"/>
      <c r="AL497" s="17"/>
      <c r="AM497" s="17"/>
      <c r="AN497" s="17"/>
      <c r="AO497" s="17">
        <f>14.6-3.1</f>
        <v>11.5</v>
      </c>
      <c r="AP497" s="17">
        <f>120.9-4.5</f>
        <v>116.4</v>
      </c>
      <c r="AQ497" s="17">
        <f>59.8-10.2</f>
        <v>49.599999999999994</v>
      </c>
      <c r="AR497" s="17">
        <v>43.6</v>
      </c>
      <c r="AS497" s="17">
        <v>19.399999999999999</v>
      </c>
      <c r="AT497" s="3" t="s">
        <v>372</v>
      </c>
      <c r="AU497" s="3"/>
    </row>
    <row r="498" spans="1:47" x14ac:dyDescent="0.2">
      <c r="A498" s="115">
        <v>496.99999999999989</v>
      </c>
      <c r="B498" s="3" t="s">
        <v>257</v>
      </c>
      <c r="C498" s="3">
        <v>21.497</v>
      </c>
      <c r="D498" s="139" t="s">
        <v>179</v>
      </c>
      <c r="E498" s="146" t="s">
        <v>180</v>
      </c>
      <c r="F498" s="17" t="s">
        <v>181</v>
      </c>
      <c r="G498" s="17"/>
      <c r="H498" s="147" t="s">
        <v>199</v>
      </c>
      <c r="I498" s="82">
        <v>44410</v>
      </c>
      <c r="J498" s="17" t="s">
        <v>142</v>
      </c>
      <c r="K498" s="17" t="s">
        <v>203</v>
      </c>
      <c r="L498" s="17"/>
      <c r="M498" s="17">
        <v>215</v>
      </c>
      <c r="N498" s="17">
        <v>216.9</v>
      </c>
      <c r="O498" s="17">
        <v>194.11</v>
      </c>
      <c r="P498" s="17">
        <v>204.22</v>
      </c>
      <c r="Q498" s="17">
        <v>47.3</v>
      </c>
      <c r="R498" s="17">
        <v>26.91</v>
      </c>
      <c r="S498" s="17">
        <v>133.09</v>
      </c>
      <c r="T498" s="17">
        <v>103.7</v>
      </c>
      <c r="U498" s="50">
        <v>60.58</v>
      </c>
      <c r="V498" s="50">
        <v>42.76</v>
      </c>
      <c r="W498" s="50">
        <v>69.31</v>
      </c>
      <c r="X498" s="50">
        <v>84.67</v>
      </c>
      <c r="Y498" s="50">
        <v>39.75</v>
      </c>
      <c r="Z498" s="50">
        <v>91.49</v>
      </c>
      <c r="AA498" s="50">
        <v>70.64</v>
      </c>
      <c r="AB498" s="50">
        <v>64.28</v>
      </c>
      <c r="AC498" s="50">
        <v>13.95</v>
      </c>
      <c r="AD498" s="50">
        <v>47.17</v>
      </c>
      <c r="AE498" s="17">
        <v>33.04</v>
      </c>
      <c r="AF498" s="17">
        <v>35.01</v>
      </c>
      <c r="AG498" s="17">
        <v>37.28</v>
      </c>
      <c r="AH498" s="17">
        <v>38.39</v>
      </c>
      <c r="AI498" s="17">
        <v>1.3919999999999999</v>
      </c>
      <c r="AJ498" s="17"/>
      <c r="AK498" s="17"/>
      <c r="AL498" s="17">
        <v>14</v>
      </c>
      <c r="AM498" s="17"/>
      <c r="AN498" s="17"/>
      <c r="AO498" s="17">
        <f>10.5-3.1</f>
        <v>7.4</v>
      </c>
      <c r="AP498" s="17">
        <f>135-4.5</f>
        <v>130.5</v>
      </c>
      <c r="AQ498" s="17">
        <f>26.8-10.2</f>
        <v>16.600000000000001</v>
      </c>
      <c r="AR498" s="17">
        <v>49.3</v>
      </c>
      <c r="AS498" s="17">
        <v>21.7</v>
      </c>
      <c r="AT498" s="3" t="s">
        <v>372</v>
      </c>
      <c r="AU498" s="3"/>
    </row>
    <row r="499" spans="1:47" x14ac:dyDescent="0.2">
      <c r="A499" s="115">
        <v>498.00000000000114</v>
      </c>
      <c r="B499" s="3" t="s">
        <v>354</v>
      </c>
      <c r="C499" s="3">
        <v>21.498000000000001</v>
      </c>
      <c r="D499" s="139" t="s">
        <v>179</v>
      </c>
      <c r="E499" s="146" t="s">
        <v>180</v>
      </c>
      <c r="F499" s="17" t="s">
        <v>181</v>
      </c>
      <c r="G499" s="17"/>
      <c r="H499" s="147" t="s">
        <v>280</v>
      </c>
      <c r="I499" s="82">
        <v>44473</v>
      </c>
      <c r="J499" s="17" t="s">
        <v>142</v>
      </c>
      <c r="K499" s="17" t="s">
        <v>203</v>
      </c>
      <c r="L499" s="17"/>
      <c r="M499" s="17">
        <v>210</v>
      </c>
      <c r="N499" s="17">
        <v>213.1</v>
      </c>
      <c r="O499" s="17">
        <v>186.58</v>
      </c>
      <c r="P499" s="17">
        <v>191.56</v>
      </c>
      <c r="Q499" s="17">
        <v>42.74</v>
      </c>
      <c r="R499" s="17">
        <v>21.93</v>
      </c>
      <c r="S499" s="17">
        <v>121.53</v>
      </c>
      <c r="T499" s="17">
        <v>97.12</v>
      </c>
      <c r="U499" s="50">
        <v>62.44</v>
      </c>
      <c r="V499" s="50">
        <v>45.17</v>
      </c>
      <c r="W499" s="50">
        <v>69.09</v>
      </c>
      <c r="X499" s="50">
        <v>83.75</v>
      </c>
      <c r="Y499" s="50">
        <v>36.909999999999997</v>
      </c>
      <c r="Z499" s="50">
        <v>92.56</v>
      </c>
      <c r="AA499" s="50">
        <v>76.87</v>
      </c>
      <c r="AB499" s="50">
        <v>73.260000000000005</v>
      </c>
      <c r="AC499" s="50">
        <v>9.5299999999999994</v>
      </c>
      <c r="AD499" s="50">
        <v>45.78</v>
      </c>
      <c r="AE499" s="17">
        <v>29.78</v>
      </c>
      <c r="AF499" s="17">
        <v>32.68</v>
      </c>
      <c r="AG499" s="17">
        <v>40.42</v>
      </c>
      <c r="AH499" s="17">
        <v>43.07</v>
      </c>
      <c r="AI499" s="17">
        <v>1.1419999999999999</v>
      </c>
      <c r="AJ499" s="17"/>
      <c r="AK499" s="17"/>
      <c r="AL499" s="17">
        <v>10.5</v>
      </c>
      <c r="AM499" s="17"/>
      <c r="AN499" s="17"/>
      <c r="AO499" s="17">
        <f>12.7-3.1</f>
        <v>9.6</v>
      </c>
      <c r="AP499" s="17">
        <f>106.6-10</f>
        <v>96.6</v>
      </c>
      <c r="AQ499" s="17">
        <f>61.1-10.4</f>
        <v>50.7</v>
      </c>
      <c r="AR499" s="17">
        <v>42.6</v>
      </c>
      <c r="AS499" s="17">
        <v>18.7</v>
      </c>
      <c r="AT499" s="3" t="s">
        <v>372</v>
      </c>
      <c r="AU499" s="3"/>
    </row>
    <row r="500" spans="1:47" x14ac:dyDescent="0.2">
      <c r="A500" s="115">
        <v>498.99999999999875</v>
      </c>
      <c r="B500" s="3">
        <v>57</v>
      </c>
      <c r="C500" s="3">
        <v>21.498999999999999</v>
      </c>
      <c r="D500" s="129" t="s">
        <v>140</v>
      </c>
      <c r="E500" t="s">
        <v>141</v>
      </c>
      <c r="F500" s="3" t="s">
        <v>164</v>
      </c>
      <c r="G500" s="17"/>
      <c r="H500" s="3" t="s">
        <v>62</v>
      </c>
      <c r="I500" s="82">
        <v>44298</v>
      </c>
      <c r="J500" s="17" t="s">
        <v>142</v>
      </c>
      <c r="K500" s="17" t="s">
        <v>203</v>
      </c>
      <c r="L500" s="17"/>
      <c r="M500" s="17">
        <v>248.4</v>
      </c>
      <c r="N500" s="17">
        <v>254.3</v>
      </c>
      <c r="O500" s="17">
        <v>190.47</v>
      </c>
      <c r="P500" s="17">
        <v>217</v>
      </c>
      <c r="Q500" s="17">
        <v>48.23</v>
      </c>
      <c r="R500" s="17">
        <v>26.48</v>
      </c>
      <c r="S500" s="17">
        <v>135.21</v>
      </c>
      <c r="T500" s="17">
        <v>102.88</v>
      </c>
      <c r="U500" s="50">
        <v>68.150000000000006</v>
      </c>
      <c r="V500" s="50">
        <v>54.16</v>
      </c>
      <c r="W500" s="50">
        <v>74.97</v>
      </c>
      <c r="X500" s="50">
        <v>89.35</v>
      </c>
      <c r="Y500" s="50">
        <v>38.57</v>
      </c>
      <c r="Z500" s="50">
        <v>102.16</v>
      </c>
      <c r="AA500" s="50">
        <v>76.91</v>
      </c>
      <c r="AB500" s="50">
        <v>77.02</v>
      </c>
      <c r="AC500" s="50">
        <v>13.17</v>
      </c>
      <c r="AD500" s="50">
        <v>47.55</v>
      </c>
      <c r="AE500" s="17">
        <v>33.18</v>
      </c>
      <c r="AF500" s="17">
        <v>41.07</v>
      </c>
      <c r="AG500" s="17">
        <v>46.63</v>
      </c>
      <c r="AH500" s="17">
        <v>51.68</v>
      </c>
      <c r="AI500" s="17">
        <v>1.47</v>
      </c>
      <c r="AJ500" s="17"/>
      <c r="AK500" s="17"/>
      <c r="AL500" s="17"/>
      <c r="AM500" s="17"/>
      <c r="AN500" s="17">
        <v>160</v>
      </c>
      <c r="AO500" s="17">
        <f>6.1-3.2</f>
        <v>2.8999999999999995</v>
      </c>
      <c r="AP500" s="17">
        <f>27.1-10.3</f>
        <v>16.8</v>
      </c>
      <c r="AQ500" s="17"/>
      <c r="AR500" s="17">
        <v>54.1</v>
      </c>
      <c r="AS500" s="17"/>
      <c r="AT500" s="3" t="s">
        <v>147</v>
      </c>
      <c r="AU500" s="3"/>
    </row>
    <row r="501" spans="1:47" x14ac:dyDescent="0.2">
      <c r="A501" s="115">
        <v>500</v>
      </c>
      <c r="B501" s="3">
        <v>53</v>
      </c>
      <c r="C501" s="12" t="s">
        <v>634</v>
      </c>
      <c r="D501" s="129" t="s">
        <v>140</v>
      </c>
      <c r="E501" t="s">
        <v>141</v>
      </c>
      <c r="F501" s="3" t="s">
        <v>497</v>
      </c>
      <c r="G501" s="17"/>
      <c r="H501" s="17"/>
      <c r="I501" s="82">
        <v>44289</v>
      </c>
      <c r="J501" s="17" t="s">
        <v>142</v>
      </c>
      <c r="K501" s="17" t="s">
        <v>203</v>
      </c>
      <c r="L501" s="17"/>
      <c r="M501" s="17">
        <v>197.8</v>
      </c>
      <c r="N501" s="17">
        <v>147.80000000000001</v>
      </c>
      <c r="O501" s="17">
        <v>184.17</v>
      </c>
      <c r="P501" s="17">
        <v>193.26</v>
      </c>
      <c r="Q501" s="17">
        <v>47.61</v>
      </c>
      <c r="R501" s="17">
        <v>28.12</v>
      </c>
      <c r="S501" s="17">
        <v>114.69</v>
      </c>
      <c r="T501" s="17">
        <v>95.68</v>
      </c>
      <c r="U501" s="50">
        <v>65.84</v>
      </c>
      <c r="V501" s="50">
        <v>53.01</v>
      </c>
      <c r="W501" s="50">
        <v>75.489999999999995</v>
      </c>
      <c r="X501" s="50">
        <v>88.42</v>
      </c>
      <c r="Y501" s="50">
        <v>42.71</v>
      </c>
      <c r="Z501" s="50">
        <v>99.14</v>
      </c>
      <c r="AA501" s="50">
        <v>73.739999999999995</v>
      </c>
      <c r="AB501" s="50">
        <v>79.98</v>
      </c>
      <c r="AC501" s="50">
        <v>19.350000000000001</v>
      </c>
      <c r="AD501" s="50">
        <v>42.67</v>
      </c>
      <c r="AE501" s="17">
        <v>37.24</v>
      </c>
      <c r="AF501" s="17">
        <v>33.08</v>
      </c>
      <c r="AG501" s="17">
        <v>39.18</v>
      </c>
      <c r="AH501" s="17">
        <v>44.1</v>
      </c>
      <c r="AI501" s="17"/>
      <c r="AJ501" s="17"/>
      <c r="AK501" s="17"/>
      <c r="AL501" s="17"/>
      <c r="AM501" s="17"/>
      <c r="AN501" s="17">
        <v>60</v>
      </c>
      <c r="AO501" s="17">
        <f>6.3-3.5</f>
        <v>2.8</v>
      </c>
      <c r="AP501" s="17">
        <f>33.6-10.3</f>
        <v>23.3</v>
      </c>
      <c r="AQ501" s="17"/>
      <c r="AR501" s="17">
        <v>42.6</v>
      </c>
      <c r="AS501" s="17"/>
      <c r="AT501" s="3" t="s">
        <v>147</v>
      </c>
      <c r="AU501" s="3"/>
    </row>
    <row r="502" spans="1:47" x14ac:dyDescent="0.2">
      <c r="A502" s="115">
        <v>501.00000000000125</v>
      </c>
      <c r="B502" s="3">
        <v>165</v>
      </c>
      <c r="C502" s="3">
        <v>21.501000000000001</v>
      </c>
      <c r="D502" s="126" t="s">
        <v>168</v>
      </c>
      <c r="E502" t="s">
        <v>169</v>
      </c>
      <c r="F502" s="17"/>
      <c r="G502" s="3" t="s">
        <v>30</v>
      </c>
      <c r="H502" s="17"/>
      <c r="I502" s="127">
        <v>44419</v>
      </c>
      <c r="J502" s="16" t="s">
        <v>142</v>
      </c>
      <c r="K502" s="16" t="s">
        <v>235</v>
      </c>
      <c r="L502" s="17">
        <v>306</v>
      </c>
      <c r="M502" s="17">
        <v>312</v>
      </c>
      <c r="N502" s="17">
        <v>312.45</v>
      </c>
      <c r="O502" s="17">
        <v>195.75</v>
      </c>
      <c r="P502" s="17">
        <v>200.99</v>
      </c>
      <c r="Q502" s="17">
        <v>35.869999999999997</v>
      </c>
      <c r="R502" s="17">
        <v>29.27</v>
      </c>
      <c r="S502" s="17">
        <v>131.31</v>
      </c>
      <c r="T502" s="17">
        <v>105.16</v>
      </c>
      <c r="U502" s="50">
        <v>78.87</v>
      </c>
      <c r="V502" s="50">
        <v>54.12</v>
      </c>
      <c r="W502" s="133">
        <v>80.53</v>
      </c>
      <c r="X502" s="133">
        <v>100.5</v>
      </c>
      <c r="Y502" s="50">
        <v>41.42</v>
      </c>
      <c r="Z502" s="50">
        <v>106.68</v>
      </c>
      <c r="AA502" s="50">
        <v>91.04</v>
      </c>
      <c r="AB502" s="50">
        <v>85.65</v>
      </c>
      <c r="AC502" s="50">
        <v>1.81</v>
      </c>
      <c r="AD502" s="50">
        <v>54.79</v>
      </c>
      <c r="AE502" s="17">
        <v>29.13</v>
      </c>
      <c r="AF502" s="17">
        <v>39.58</v>
      </c>
      <c r="AG502" s="17">
        <v>32.56</v>
      </c>
      <c r="AH502" s="17">
        <v>36.82</v>
      </c>
      <c r="AI502" s="17">
        <v>1.016</v>
      </c>
      <c r="AJ502" s="17">
        <v>61.83</v>
      </c>
      <c r="AK502" s="17"/>
      <c r="AL502" s="17"/>
      <c r="AM502" s="17"/>
      <c r="AN502" s="17">
        <v>58</v>
      </c>
      <c r="AO502" s="17"/>
      <c r="AP502" s="17"/>
      <c r="AQ502" s="17"/>
      <c r="AR502" s="17"/>
      <c r="AS502" s="17"/>
      <c r="AT502" s="3" t="s">
        <v>146</v>
      </c>
      <c r="AU502" s="3"/>
    </row>
    <row r="503" spans="1:47" x14ac:dyDescent="0.2">
      <c r="A503" s="115">
        <v>501.99999999999886</v>
      </c>
      <c r="B503" s="3">
        <v>164</v>
      </c>
      <c r="C503" s="3">
        <v>21.501999999999999</v>
      </c>
      <c r="D503" s="126" t="s">
        <v>168</v>
      </c>
      <c r="E503" t="s">
        <v>169</v>
      </c>
      <c r="F503" s="17"/>
      <c r="G503" s="3" t="s">
        <v>30</v>
      </c>
      <c r="H503" s="17"/>
      <c r="I503" s="127">
        <v>44419</v>
      </c>
      <c r="J503" s="16" t="s">
        <v>142</v>
      </c>
      <c r="K503" s="16" t="s">
        <v>235</v>
      </c>
      <c r="L503" s="17">
        <v>301</v>
      </c>
      <c r="M503" s="17">
        <v>305</v>
      </c>
      <c r="N503" s="17">
        <v>306.02</v>
      </c>
      <c r="O503" s="17">
        <v>196.92</v>
      </c>
      <c r="P503" s="17">
        <v>199.41</v>
      </c>
      <c r="Q503" s="17">
        <v>34.97</v>
      </c>
      <c r="R503" s="17">
        <v>33.22</v>
      </c>
      <c r="S503" s="17">
        <v>134</v>
      </c>
      <c r="T503" s="17">
        <v>106.37</v>
      </c>
      <c r="U503" s="50">
        <v>76.92</v>
      </c>
      <c r="V503" s="50">
        <v>53.55</v>
      </c>
      <c r="W503" s="133">
        <v>80.59</v>
      </c>
      <c r="X503" s="133">
        <v>100.81</v>
      </c>
      <c r="Y503" s="50">
        <v>42.12</v>
      </c>
      <c r="Z503" s="50">
        <v>106.18</v>
      </c>
      <c r="AA503" s="50">
        <v>87.48</v>
      </c>
      <c r="AB503" s="50">
        <v>86.28</v>
      </c>
      <c r="AC503" s="50">
        <v>2.4300000000000002</v>
      </c>
      <c r="AD503" s="50">
        <v>52.69</v>
      </c>
      <c r="AE503" s="17">
        <v>30.92</v>
      </c>
      <c r="AF503" s="17">
        <v>36.020000000000003</v>
      </c>
      <c r="AG503" s="17">
        <v>34.130000000000003</v>
      </c>
      <c r="AH503" s="17">
        <v>34.92</v>
      </c>
      <c r="AI503" s="17">
        <v>1.05</v>
      </c>
      <c r="AJ503" s="17">
        <v>63.11</v>
      </c>
      <c r="AK503" s="17"/>
      <c r="AL503" s="17"/>
      <c r="AM503" s="17"/>
      <c r="AN503" s="17">
        <v>55</v>
      </c>
      <c r="AO503" s="17"/>
      <c r="AP503" s="17"/>
      <c r="AQ503" s="17"/>
      <c r="AR503" s="17"/>
      <c r="AS503" s="17"/>
      <c r="AT503" s="3" t="s">
        <v>146</v>
      </c>
      <c r="AU503" s="3"/>
    </row>
    <row r="504" spans="1:47" x14ac:dyDescent="0.2">
      <c r="A504" s="115">
        <v>503.00000000000011</v>
      </c>
      <c r="B504" s="3">
        <v>166</v>
      </c>
      <c r="C504" s="3">
        <v>21.503</v>
      </c>
      <c r="D504" s="126" t="s">
        <v>168</v>
      </c>
      <c r="E504" t="s">
        <v>169</v>
      </c>
      <c r="F504" s="17"/>
      <c r="G504" s="3" t="s">
        <v>30</v>
      </c>
      <c r="H504" s="17"/>
      <c r="I504" s="127">
        <v>44419</v>
      </c>
      <c r="J504" s="16" t="s">
        <v>142</v>
      </c>
      <c r="K504" s="16" t="s">
        <v>235</v>
      </c>
      <c r="L504" s="17">
        <v>299</v>
      </c>
      <c r="M504" s="17">
        <v>304</v>
      </c>
      <c r="N504" s="17">
        <v>302.82</v>
      </c>
      <c r="O504" s="17">
        <v>197.27</v>
      </c>
      <c r="P504" s="17">
        <v>204.06</v>
      </c>
      <c r="Q504" s="17">
        <v>36.840000000000003</v>
      </c>
      <c r="R504" s="17">
        <v>32.85</v>
      </c>
      <c r="S504" s="17">
        <v>129.91999999999999</v>
      </c>
      <c r="T504" s="17">
        <v>104.23</v>
      </c>
      <c r="U504" s="50">
        <v>75.77</v>
      </c>
      <c r="V504" s="50">
        <v>56.06</v>
      </c>
      <c r="W504" s="50">
        <v>77.16</v>
      </c>
      <c r="X504" s="50">
        <v>96.33</v>
      </c>
      <c r="Y504" s="50">
        <v>41.88</v>
      </c>
      <c r="Z504" s="50">
        <v>104.59</v>
      </c>
      <c r="AA504" s="50">
        <v>88.31</v>
      </c>
      <c r="AB504" s="50">
        <v>83.34</v>
      </c>
      <c r="AC504" s="50">
        <v>0.02</v>
      </c>
      <c r="AD504" s="50">
        <v>51.7</v>
      </c>
      <c r="AE504" s="17">
        <v>35.64</v>
      </c>
      <c r="AF504" s="17">
        <v>40.5</v>
      </c>
      <c r="AG504" s="17">
        <v>32.630000000000003</v>
      </c>
      <c r="AH504" s="17">
        <v>36.909999999999997</v>
      </c>
      <c r="AI504" s="17">
        <v>0.98</v>
      </c>
      <c r="AJ504" s="17">
        <v>54.91</v>
      </c>
      <c r="AK504" s="17"/>
      <c r="AL504" s="17"/>
      <c r="AM504" s="17"/>
      <c r="AN504" s="17">
        <v>146</v>
      </c>
      <c r="AO504" s="17"/>
      <c r="AP504" s="17"/>
      <c r="AQ504" s="17"/>
      <c r="AR504" s="17"/>
      <c r="AS504" s="17"/>
      <c r="AT504" s="3" t="s">
        <v>146</v>
      </c>
      <c r="AU504" s="3"/>
    </row>
    <row r="505" spans="1:47" x14ac:dyDescent="0.2">
      <c r="A505" s="115">
        <v>504.00000000000136</v>
      </c>
      <c r="B505" s="3">
        <v>97</v>
      </c>
      <c r="C505" s="3">
        <v>21.504000000000001</v>
      </c>
      <c r="D505" s="126" t="s">
        <v>168</v>
      </c>
      <c r="E505" t="s">
        <v>169</v>
      </c>
      <c r="F505" s="17"/>
      <c r="G505" s="3" t="s">
        <v>30</v>
      </c>
      <c r="H505" s="17"/>
      <c r="I505" s="82">
        <v>44433</v>
      </c>
      <c r="J505" s="16" t="s">
        <v>142</v>
      </c>
      <c r="K505" s="17" t="s">
        <v>235</v>
      </c>
      <c r="L505" s="17">
        <v>304</v>
      </c>
      <c r="M505" s="17"/>
      <c r="N505" s="17">
        <v>298.99</v>
      </c>
      <c r="O505" s="17">
        <v>194.05</v>
      </c>
      <c r="P505" s="17">
        <v>197.56</v>
      </c>
      <c r="Q505" s="17">
        <v>40.44</v>
      </c>
      <c r="R505" s="17">
        <v>27.1</v>
      </c>
      <c r="S505" s="17">
        <v>129.63999999999999</v>
      </c>
      <c r="T505" s="17">
        <v>104.65</v>
      </c>
      <c r="U505" s="50">
        <v>74.02</v>
      </c>
      <c r="V505" s="50">
        <v>55.57</v>
      </c>
      <c r="W505" s="50">
        <v>78.75</v>
      </c>
      <c r="X505" s="50">
        <v>101.35</v>
      </c>
      <c r="Y505" s="50">
        <v>42.55</v>
      </c>
      <c r="Z505" s="50">
        <v>107.55</v>
      </c>
      <c r="AA505" s="50">
        <v>88.5</v>
      </c>
      <c r="AB505" s="50">
        <v>84.85</v>
      </c>
      <c r="AC505" s="50">
        <v>1.24</v>
      </c>
      <c r="AD505" s="50">
        <v>54.2</v>
      </c>
      <c r="AE505" s="17">
        <v>24.51</v>
      </c>
      <c r="AF505" s="17">
        <v>39.31</v>
      </c>
      <c r="AG505" s="17">
        <v>27.1</v>
      </c>
      <c r="AH505" s="17">
        <v>39.549999999999997</v>
      </c>
      <c r="AI505" s="17">
        <v>1.004</v>
      </c>
      <c r="AJ505" s="17">
        <v>66.510000000000005</v>
      </c>
      <c r="AK505" s="17"/>
      <c r="AL505" s="17"/>
      <c r="AM505" s="17"/>
      <c r="AN505" s="17">
        <v>10</v>
      </c>
      <c r="AO505" s="17"/>
      <c r="AP505" s="17"/>
      <c r="AQ505" s="17"/>
      <c r="AR505" s="17"/>
      <c r="AS505" s="17"/>
      <c r="AT505" s="3" t="s">
        <v>146</v>
      </c>
      <c r="AU505" s="3"/>
    </row>
    <row r="506" spans="1:47" x14ac:dyDescent="0.2">
      <c r="A506" s="115">
        <v>504.99999999999898</v>
      </c>
      <c r="B506" s="3">
        <v>148</v>
      </c>
      <c r="C506" s="3">
        <v>21.504999999999999</v>
      </c>
      <c r="D506" s="126" t="s">
        <v>168</v>
      </c>
      <c r="E506" t="s">
        <v>169</v>
      </c>
      <c r="F506" s="17"/>
      <c r="G506" s="3" t="s">
        <v>30</v>
      </c>
      <c r="H506" s="17"/>
      <c r="I506" s="127">
        <v>44381</v>
      </c>
      <c r="J506" s="16" t="s">
        <v>142</v>
      </c>
      <c r="K506" s="17" t="s">
        <v>235</v>
      </c>
      <c r="L506" s="17"/>
      <c r="M506" s="17"/>
      <c r="N506" s="17">
        <v>293.54000000000002</v>
      </c>
      <c r="O506" s="17">
        <v>195.38</v>
      </c>
      <c r="P506" s="17">
        <v>206.67</v>
      </c>
      <c r="Q506" s="17">
        <v>38.979999999999997</v>
      </c>
      <c r="R506" s="17">
        <v>33.72</v>
      </c>
      <c r="S506" s="17">
        <v>129.66999999999999</v>
      </c>
      <c r="T506" s="17">
        <v>104.69</v>
      </c>
      <c r="U506" s="50">
        <v>76.28</v>
      </c>
      <c r="V506" s="50">
        <v>52.5</v>
      </c>
      <c r="W506" s="50">
        <v>79.349999999999994</v>
      </c>
      <c r="X506" s="50">
        <v>95.53</v>
      </c>
      <c r="Y506" s="50">
        <v>43.55</v>
      </c>
      <c r="Z506" s="50">
        <v>102.4</v>
      </c>
      <c r="AA506" s="50">
        <v>88.4</v>
      </c>
      <c r="AB506" s="50">
        <v>79.58</v>
      </c>
      <c r="AC506" s="50">
        <v>7.89</v>
      </c>
      <c r="AD506" s="50">
        <v>52.54</v>
      </c>
      <c r="AE506" s="17">
        <v>27.41</v>
      </c>
      <c r="AF506" s="17">
        <v>35.31</v>
      </c>
      <c r="AG506" s="17">
        <v>34.619999999999997</v>
      </c>
      <c r="AH506" s="17">
        <v>38.229999999999997</v>
      </c>
      <c r="AI506" s="17">
        <v>1.139</v>
      </c>
      <c r="AJ506" s="17">
        <v>58.15</v>
      </c>
      <c r="AK506" s="17"/>
      <c r="AL506" s="17"/>
      <c r="AM506" s="17">
        <v>15</v>
      </c>
      <c r="AN506" s="17">
        <v>111</v>
      </c>
      <c r="AO506" s="17"/>
      <c r="AP506" s="17"/>
      <c r="AQ506" s="17"/>
      <c r="AR506" s="17"/>
      <c r="AS506" s="17"/>
      <c r="AT506" s="3" t="s">
        <v>146</v>
      </c>
      <c r="AU506" s="3"/>
    </row>
    <row r="507" spans="1:47" x14ac:dyDescent="0.2">
      <c r="A507" s="115">
        <v>506.00000000000023</v>
      </c>
      <c r="B507" s="3">
        <v>100</v>
      </c>
      <c r="C507" s="3">
        <v>21.506</v>
      </c>
      <c r="D507" s="126" t="s">
        <v>168</v>
      </c>
      <c r="E507" t="s">
        <v>169</v>
      </c>
      <c r="F507" s="17"/>
      <c r="G507" s="3" t="s">
        <v>30</v>
      </c>
      <c r="H507" s="17"/>
      <c r="I507" s="82">
        <v>44433</v>
      </c>
      <c r="J507" s="16" t="s">
        <v>142</v>
      </c>
      <c r="K507" s="17" t="s">
        <v>235</v>
      </c>
      <c r="L507" s="17">
        <v>302</v>
      </c>
      <c r="M507" s="17"/>
      <c r="N507" s="17">
        <v>297.77</v>
      </c>
      <c r="O507" s="17">
        <v>194.63</v>
      </c>
      <c r="P507" s="17">
        <v>201.2</v>
      </c>
      <c r="Q507" s="17">
        <v>36.33</v>
      </c>
      <c r="R507" s="17">
        <v>30.4</v>
      </c>
      <c r="S507" s="17">
        <v>132.5</v>
      </c>
      <c r="T507" s="17">
        <v>106.77</v>
      </c>
      <c r="U507" s="50">
        <v>75.260000000000005</v>
      </c>
      <c r="V507" s="50">
        <v>55.8</v>
      </c>
      <c r="W507" s="50">
        <v>79.489999999999995</v>
      </c>
      <c r="X507" s="50">
        <v>103.4</v>
      </c>
      <c r="Y507" s="50">
        <v>43.61</v>
      </c>
      <c r="Z507" s="50">
        <v>107.98</v>
      </c>
      <c r="AA507" s="50">
        <v>89.07</v>
      </c>
      <c r="AB507" s="50">
        <v>86.58</v>
      </c>
      <c r="AC507" s="50">
        <v>1.37</v>
      </c>
      <c r="AD507" s="50">
        <v>52.97</v>
      </c>
      <c r="AE507" s="17">
        <v>25.31</v>
      </c>
      <c r="AF507" s="17">
        <v>42.86</v>
      </c>
      <c r="AG507" s="17">
        <v>31.47</v>
      </c>
      <c r="AH507" s="17">
        <v>40.64</v>
      </c>
      <c r="AI507" s="17">
        <v>1.167</v>
      </c>
      <c r="AJ507" s="17">
        <v>54.79</v>
      </c>
      <c r="AK507" s="17"/>
      <c r="AL507" s="17"/>
      <c r="AM507" s="17"/>
      <c r="AN507" s="17">
        <v>73</v>
      </c>
      <c r="AO507" s="17"/>
      <c r="AP507" s="17"/>
      <c r="AQ507" s="17"/>
      <c r="AR507" s="17"/>
      <c r="AS507" s="17"/>
      <c r="AT507" s="3" t="s">
        <v>146</v>
      </c>
      <c r="AU507" s="3"/>
    </row>
    <row r="508" spans="1:47" x14ac:dyDescent="0.2">
      <c r="A508" s="115">
        <v>507.00000000000148</v>
      </c>
      <c r="B508" s="3">
        <v>98</v>
      </c>
      <c r="C508" s="3">
        <v>21.507000000000001</v>
      </c>
      <c r="D508" s="126" t="s">
        <v>168</v>
      </c>
      <c r="E508" t="s">
        <v>169</v>
      </c>
      <c r="F508" s="17"/>
      <c r="G508" s="3" t="s">
        <v>30</v>
      </c>
      <c r="H508" s="17"/>
      <c r="I508" s="82">
        <v>44433</v>
      </c>
      <c r="J508" s="17" t="s">
        <v>142</v>
      </c>
      <c r="K508" s="17" t="s">
        <v>235</v>
      </c>
      <c r="L508" s="17">
        <v>309</v>
      </c>
      <c r="M508" s="17"/>
      <c r="N508" s="17">
        <v>295.25</v>
      </c>
      <c r="O508" s="17">
        <v>191.72</v>
      </c>
      <c r="P508" s="17">
        <v>196.7</v>
      </c>
      <c r="Q508" s="17">
        <v>36.07</v>
      </c>
      <c r="R508" s="17">
        <v>26</v>
      </c>
      <c r="S508" s="17">
        <v>132.62</v>
      </c>
      <c r="T508" s="17">
        <v>108.8</v>
      </c>
      <c r="U508" s="50">
        <v>78.900000000000006</v>
      </c>
      <c r="V508" s="50">
        <v>55.48</v>
      </c>
      <c r="W508" s="50">
        <v>79.66</v>
      </c>
      <c r="X508" s="50">
        <v>103.17</v>
      </c>
      <c r="Y508" s="50">
        <v>44.54</v>
      </c>
      <c r="Z508" s="50">
        <v>106.73</v>
      </c>
      <c r="AA508" s="50">
        <v>88.77</v>
      </c>
      <c r="AB508" s="50">
        <v>87.5</v>
      </c>
      <c r="AC508" s="50">
        <v>2.0299999999999998</v>
      </c>
      <c r="AD508" s="50">
        <v>54.42</v>
      </c>
      <c r="AE508" s="17">
        <v>24.8</v>
      </c>
      <c r="AF508" s="17">
        <v>40.01</v>
      </c>
      <c r="AG508" s="17">
        <v>30.02</v>
      </c>
      <c r="AH508" s="17">
        <v>39.869999999999997</v>
      </c>
      <c r="AI508" s="17">
        <v>1.0900000000000001</v>
      </c>
      <c r="AJ508" s="17">
        <v>62.79</v>
      </c>
      <c r="AK508" s="17"/>
      <c r="AL508" s="17"/>
      <c r="AM508" s="17"/>
      <c r="AN508" s="17">
        <v>70</v>
      </c>
      <c r="AO508" s="17"/>
      <c r="AP508" s="17"/>
      <c r="AQ508" s="17"/>
      <c r="AR508" s="17"/>
      <c r="AS508" s="17"/>
      <c r="AT508" s="3" t="s">
        <v>146</v>
      </c>
      <c r="AU508" s="3"/>
    </row>
    <row r="509" spans="1:47" x14ac:dyDescent="0.2">
      <c r="A509" s="115">
        <v>507.99999999999909</v>
      </c>
      <c r="B509" s="3">
        <v>107</v>
      </c>
      <c r="C509" s="3">
        <v>21.507999999999999</v>
      </c>
      <c r="D509" s="126" t="s">
        <v>168</v>
      </c>
      <c r="E509" t="s">
        <v>169</v>
      </c>
      <c r="F509" s="17"/>
      <c r="G509" s="3" t="s">
        <v>30</v>
      </c>
      <c r="H509" s="17"/>
      <c r="I509" s="82">
        <v>44451</v>
      </c>
      <c r="J509" s="17" t="s">
        <v>142</v>
      </c>
      <c r="K509" s="17" t="s">
        <v>235</v>
      </c>
      <c r="L509"/>
      <c r="M509" s="17"/>
      <c r="N509" s="17">
        <v>329.7</v>
      </c>
      <c r="O509" s="17">
        <v>199.73</v>
      </c>
      <c r="P509" s="17">
        <v>205.26</v>
      </c>
      <c r="Q509" s="17">
        <v>36.79</v>
      </c>
      <c r="R509" s="17">
        <v>33.18</v>
      </c>
      <c r="S509" s="17">
        <v>134.35</v>
      </c>
      <c r="T509" s="17">
        <v>109.73</v>
      </c>
      <c r="U509" s="50">
        <v>76.92</v>
      </c>
      <c r="V509" s="50">
        <v>56.22</v>
      </c>
      <c r="W509" s="50">
        <v>78.11</v>
      </c>
      <c r="X509" s="50">
        <v>102.39</v>
      </c>
      <c r="Y509" s="50">
        <v>42.16</v>
      </c>
      <c r="Z509" s="50">
        <v>107.78</v>
      </c>
      <c r="AA509" s="50">
        <v>90.22</v>
      </c>
      <c r="AB509" s="50">
        <v>85.85</v>
      </c>
      <c r="AC509" s="50">
        <v>2.78</v>
      </c>
      <c r="AD509" s="50">
        <v>55.65</v>
      </c>
      <c r="AE509" s="17">
        <v>27.85</v>
      </c>
      <c r="AF509" s="17">
        <v>42.09</v>
      </c>
      <c r="AG509" s="17">
        <v>33.380000000000003</v>
      </c>
      <c r="AH509" s="17">
        <v>40.4</v>
      </c>
      <c r="AI509" s="17">
        <v>1.0509999999999999</v>
      </c>
      <c r="AJ509" s="17">
        <v>41.54</v>
      </c>
      <c r="AK509" s="17"/>
      <c r="AL509" s="17"/>
      <c r="AM509" s="17"/>
      <c r="AN509" s="17">
        <v>137</v>
      </c>
      <c r="AO509" s="17"/>
      <c r="AP509" s="17"/>
      <c r="AQ509" s="17"/>
      <c r="AR509" s="17"/>
      <c r="AS509" s="17"/>
      <c r="AT509" s="3" t="s">
        <v>146</v>
      </c>
      <c r="AU509" s="3"/>
    </row>
    <row r="510" spans="1:47" x14ac:dyDescent="0.2">
      <c r="A510" s="115">
        <v>509.00000000000034</v>
      </c>
      <c r="B510" s="3">
        <v>99</v>
      </c>
      <c r="C510" s="3">
        <v>21.509</v>
      </c>
      <c r="D510" s="126" t="s">
        <v>168</v>
      </c>
      <c r="E510" t="s">
        <v>169</v>
      </c>
      <c r="F510" s="17"/>
      <c r="G510" s="3" t="s">
        <v>30</v>
      </c>
      <c r="H510" s="17"/>
      <c r="I510" s="82">
        <v>44433</v>
      </c>
      <c r="J510" s="17" t="s">
        <v>142</v>
      </c>
      <c r="K510" s="17" t="s">
        <v>235</v>
      </c>
      <c r="L510" s="17">
        <v>297</v>
      </c>
      <c r="M510" s="17"/>
      <c r="N510" s="17">
        <v>295.76</v>
      </c>
      <c r="O510" s="17">
        <v>200.3</v>
      </c>
      <c r="P510" s="17">
        <v>207.56</v>
      </c>
      <c r="Q510" s="17">
        <v>39.53</v>
      </c>
      <c r="R510" s="17">
        <v>35.18</v>
      </c>
      <c r="S510" s="17">
        <v>131.99</v>
      </c>
      <c r="T510" s="17">
        <v>104.35</v>
      </c>
      <c r="U510" s="50">
        <v>76.430000000000007</v>
      </c>
      <c r="V510" s="50">
        <v>56.88</v>
      </c>
      <c r="W510" s="50">
        <v>79.81</v>
      </c>
      <c r="X510" s="50">
        <v>99.47</v>
      </c>
      <c r="Y510" s="50">
        <v>41.28</v>
      </c>
      <c r="Z510" s="50">
        <v>104.72</v>
      </c>
      <c r="AA510" s="50">
        <v>88.17</v>
      </c>
      <c r="AB510" s="50">
        <v>82.74</v>
      </c>
      <c r="AC510" s="50">
        <v>1.65</v>
      </c>
      <c r="AD510" s="50">
        <v>53.62</v>
      </c>
      <c r="AE510" s="17">
        <v>24.96</v>
      </c>
      <c r="AF510" s="17">
        <v>42.85</v>
      </c>
      <c r="AG510" s="17">
        <v>33.4</v>
      </c>
      <c r="AH510" s="17">
        <v>41.7</v>
      </c>
      <c r="AI510" s="17">
        <v>1.1115999999999999</v>
      </c>
      <c r="AJ510" s="17">
        <v>60.11</v>
      </c>
      <c r="AK510" s="17"/>
      <c r="AL510" s="17"/>
      <c r="AM510" s="17"/>
      <c r="AN510" s="17">
        <v>152</v>
      </c>
      <c r="AO510" s="17"/>
      <c r="AP510" s="17"/>
      <c r="AQ510" s="17"/>
      <c r="AR510" s="17"/>
      <c r="AS510" s="17"/>
      <c r="AT510" s="3" t="s">
        <v>146</v>
      </c>
      <c r="AU510" s="3"/>
    </row>
    <row r="511" spans="1:47" x14ac:dyDescent="0.2">
      <c r="A511" s="115">
        <v>510.00000000000159</v>
      </c>
      <c r="B511" s="147" t="s">
        <v>302</v>
      </c>
      <c r="C511" s="12" t="s">
        <v>635</v>
      </c>
      <c r="D511" s="139" t="s">
        <v>179</v>
      </c>
      <c r="E511" s="146" t="s">
        <v>180</v>
      </c>
      <c r="F511" s="17" t="s">
        <v>181</v>
      </c>
      <c r="G511" s="17"/>
      <c r="H511" s="3" t="s">
        <v>268</v>
      </c>
      <c r="I511" s="82">
        <v>44446</v>
      </c>
      <c r="J511" s="17" t="s">
        <v>142</v>
      </c>
      <c r="K511" s="17" t="s">
        <v>203</v>
      </c>
      <c r="L511" s="17"/>
      <c r="M511" s="148">
        <v>220</v>
      </c>
      <c r="N511" s="17">
        <v>215</v>
      </c>
      <c r="O511" s="17">
        <v>190.69</v>
      </c>
      <c r="P511" s="17">
        <v>202.2</v>
      </c>
      <c r="Q511" s="17">
        <v>49.96</v>
      </c>
      <c r="R511" s="17">
        <v>23.56</v>
      </c>
      <c r="S511" s="17">
        <v>125.85</v>
      </c>
      <c r="T511" s="17">
        <v>104.99</v>
      </c>
      <c r="U511" s="50">
        <v>62.04</v>
      </c>
      <c r="V511" s="50">
        <v>44.95</v>
      </c>
      <c r="W511" s="50">
        <v>73.31</v>
      </c>
      <c r="X511" s="50">
        <v>82.49</v>
      </c>
      <c r="Y511" s="50">
        <v>38.29</v>
      </c>
      <c r="Z511" s="50">
        <v>94.12</v>
      </c>
      <c r="AA511" s="50">
        <v>73.22</v>
      </c>
      <c r="AB511" s="50">
        <v>63.69</v>
      </c>
      <c r="AC511" s="50">
        <v>14.56</v>
      </c>
      <c r="AD511" s="50">
        <v>48.48</v>
      </c>
      <c r="AE511" s="17">
        <v>29.68</v>
      </c>
      <c r="AF511" s="17">
        <v>30.68</v>
      </c>
      <c r="AG511" s="17">
        <v>39.56</v>
      </c>
      <c r="AH511" s="17">
        <v>44.36</v>
      </c>
      <c r="AI511" s="17">
        <v>1.256</v>
      </c>
      <c r="AJ511" s="17"/>
      <c r="AK511" s="17"/>
      <c r="AL511" s="17"/>
      <c r="AM511" s="17"/>
      <c r="AN511" s="17"/>
      <c r="AO511" s="17">
        <v>15</v>
      </c>
      <c r="AP511" s="17">
        <v>81</v>
      </c>
      <c r="AQ511" s="17">
        <f>77-12</f>
        <v>65</v>
      </c>
      <c r="AR511" s="17">
        <v>44</v>
      </c>
      <c r="AS511" s="17">
        <v>18.899999999999999</v>
      </c>
      <c r="AT511" s="3" t="s">
        <v>147</v>
      </c>
      <c r="AU511" s="3"/>
    </row>
    <row r="512" spans="1:47" x14ac:dyDescent="0.2">
      <c r="A512" s="115">
        <v>510.9999999999992</v>
      </c>
      <c r="B512" s="147" t="s">
        <v>337</v>
      </c>
      <c r="C512" s="3">
        <v>21.510999999999999</v>
      </c>
      <c r="D512" s="139" t="s">
        <v>179</v>
      </c>
      <c r="E512" s="146" t="s">
        <v>180</v>
      </c>
      <c r="F512" s="17" t="s">
        <v>181</v>
      </c>
      <c r="G512" s="17"/>
      <c r="H512" s="3" t="s">
        <v>182</v>
      </c>
      <c r="I512" s="82">
        <v>44463</v>
      </c>
      <c r="J512" s="17" t="s">
        <v>142</v>
      </c>
      <c r="K512" s="17" t="s">
        <v>203</v>
      </c>
      <c r="L512" s="17"/>
      <c r="M512" s="148">
        <v>225</v>
      </c>
      <c r="N512" s="17"/>
      <c r="O512" s="17">
        <v>201.78</v>
      </c>
      <c r="P512" s="17">
        <v>206.61</v>
      </c>
      <c r="Q512" s="17">
        <v>52.22</v>
      </c>
      <c r="R512" s="17">
        <v>24.2</v>
      </c>
      <c r="S512" s="17">
        <v>129.52000000000001</v>
      </c>
      <c r="T512" s="17">
        <v>103.53</v>
      </c>
      <c r="U512" s="50">
        <v>61.95</v>
      </c>
      <c r="V512" s="50">
        <v>43.84</v>
      </c>
      <c r="W512" s="50">
        <v>69.94</v>
      </c>
      <c r="X512" s="50">
        <v>87.35</v>
      </c>
      <c r="Y512" s="50">
        <v>39.43</v>
      </c>
      <c r="Z512" s="50">
        <v>91.52</v>
      </c>
      <c r="AA512" s="50">
        <v>73.25</v>
      </c>
      <c r="AB512" s="50">
        <v>65.290000000000006</v>
      </c>
      <c r="AC512" s="50">
        <v>7.59</v>
      </c>
      <c r="AD512" s="50">
        <v>49.53</v>
      </c>
      <c r="AE512" s="17">
        <v>27.04</v>
      </c>
      <c r="AF512" s="17">
        <v>35.369999999999997</v>
      </c>
      <c r="AG512" s="17">
        <v>41.9</v>
      </c>
      <c r="AH512" s="17">
        <v>48.08</v>
      </c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3" t="s">
        <v>147</v>
      </c>
      <c r="AU512" s="3"/>
    </row>
    <row r="513" spans="1:47" x14ac:dyDescent="0.2">
      <c r="A513" s="115">
        <v>512.00000000000045</v>
      </c>
      <c r="B513" s="147" t="s">
        <v>383</v>
      </c>
      <c r="C513" s="3">
        <v>21.512</v>
      </c>
      <c r="D513" s="139" t="s">
        <v>179</v>
      </c>
      <c r="E513" s="146" t="s">
        <v>180</v>
      </c>
      <c r="F513" s="17" t="s">
        <v>181</v>
      </c>
      <c r="G513" s="17"/>
      <c r="H513" s="3" t="s">
        <v>182</v>
      </c>
      <c r="I513" s="82">
        <v>44451</v>
      </c>
      <c r="J513" s="17" t="s">
        <v>142</v>
      </c>
      <c r="K513" s="17" t="s">
        <v>203</v>
      </c>
      <c r="L513" s="17"/>
      <c r="M513" s="148">
        <v>225</v>
      </c>
      <c r="N513" s="17"/>
      <c r="O513" s="17">
        <v>195.32</v>
      </c>
      <c r="P513" s="17">
        <v>203.9</v>
      </c>
      <c r="Q513" s="17">
        <v>48.38</v>
      </c>
      <c r="R513" s="17">
        <v>24.38</v>
      </c>
      <c r="S513" s="17">
        <v>129.22999999999999</v>
      </c>
      <c r="T513" s="17">
        <v>104.01</v>
      </c>
      <c r="U513" s="50">
        <v>59.74</v>
      </c>
      <c r="V513" s="50">
        <v>45.13</v>
      </c>
      <c r="W513" s="50">
        <v>70.62</v>
      </c>
      <c r="X513" s="50">
        <v>84.77</v>
      </c>
      <c r="Y513" s="50">
        <v>37.1</v>
      </c>
      <c r="Z513" s="50">
        <v>90.96</v>
      </c>
      <c r="AA513" s="50">
        <v>71.13</v>
      </c>
      <c r="AB513" s="50">
        <v>64.430000000000007</v>
      </c>
      <c r="AC513" s="50">
        <v>12.81</v>
      </c>
      <c r="AD513" s="50">
        <v>48.48</v>
      </c>
      <c r="AE513" s="17">
        <v>29.62</v>
      </c>
      <c r="AF513" s="17">
        <v>34.65</v>
      </c>
      <c r="AG513" s="17">
        <v>39.69</v>
      </c>
      <c r="AH513" s="17">
        <v>39.83</v>
      </c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3" t="s">
        <v>147</v>
      </c>
      <c r="AU513" s="3"/>
    </row>
    <row r="514" spans="1:47" x14ac:dyDescent="0.2">
      <c r="A514" s="115">
        <v>513.00000000000171</v>
      </c>
      <c r="B514" s="147" t="s">
        <v>636</v>
      </c>
      <c r="C514" s="3">
        <v>21.513000000000002</v>
      </c>
      <c r="D514" s="139" t="s">
        <v>179</v>
      </c>
      <c r="E514" s="146" t="s">
        <v>180</v>
      </c>
      <c r="F514" s="17" t="s">
        <v>181</v>
      </c>
      <c r="G514" s="17"/>
      <c r="H514" s="3" t="s">
        <v>268</v>
      </c>
      <c r="I514" s="82">
        <v>44451</v>
      </c>
      <c r="J514" s="17" t="s">
        <v>142</v>
      </c>
      <c r="K514" s="17" t="s">
        <v>203</v>
      </c>
      <c r="L514" s="17"/>
      <c r="M514" s="148">
        <v>220</v>
      </c>
      <c r="N514" s="17"/>
      <c r="O514" s="17">
        <v>190.92</v>
      </c>
      <c r="P514" s="17">
        <v>205.25</v>
      </c>
      <c r="Q514" s="17">
        <v>43.81</v>
      </c>
      <c r="R514" s="17">
        <v>22.95</v>
      </c>
      <c r="S514" s="17">
        <v>127.4</v>
      </c>
      <c r="T514" s="17">
        <v>105.77</v>
      </c>
      <c r="U514" s="50">
        <v>62.27</v>
      </c>
      <c r="V514" s="50">
        <v>44.88</v>
      </c>
      <c r="W514" s="50">
        <v>69.59</v>
      </c>
      <c r="X514" s="50">
        <v>84.24</v>
      </c>
      <c r="Y514" s="50">
        <v>43.24</v>
      </c>
      <c r="Z514" s="50">
        <v>93.04</v>
      </c>
      <c r="AA514" s="50">
        <v>72.02</v>
      </c>
      <c r="AB514" s="50">
        <v>64.67</v>
      </c>
      <c r="AC514" s="50">
        <v>13.19</v>
      </c>
      <c r="AD514" s="50">
        <v>47.66</v>
      </c>
      <c r="AE514" s="17">
        <v>32.03</v>
      </c>
      <c r="AF514" s="17">
        <v>31.33</v>
      </c>
      <c r="AG514" s="17">
        <v>39.06</v>
      </c>
      <c r="AH514" s="17">
        <v>42.37</v>
      </c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3" t="s">
        <v>147</v>
      </c>
      <c r="AU514" s="3"/>
    </row>
    <row r="515" spans="1:47" x14ac:dyDescent="0.2">
      <c r="A515" s="115">
        <v>513.99999999999932</v>
      </c>
      <c r="B515" s="147" t="s">
        <v>301</v>
      </c>
      <c r="C515" s="3">
        <v>21.513999999999999</v>
      </c>
      <c r="D515" s="139" t="s">
        <v>179</v>
      </c>
      <c r="E515" s="146" t="s">
        <v>180</v>
      </c>
      <c r="F515" s="17" t="s">
        <v>181</v>
      </c>
      <c r="H515" s="3" t="s">
        <v>280</v>
      </c>
      <c r="I515" s="82">
        <v>44436</v>
      </c>
      <c r="J515" s="17" t="s">
        <v>142</v>
      </c>
      <c r="K515" s="17" t="s">
        <v>203</v>
      </c>
      <c r="L515" s="17"/>
      <c r="M515" s="148">
        <v>230</v>
      </c>
      <c r="N515" s="17"/>
      <c r="O515" s="17">
        <v>185.22</v>
      </c>
      <c r="P515" s="17">
        <v>195.48</v>
      </c>
      <c r="Q515" s="17">
        <v>42.2</v>
      </c>
      <c r="R515" s="17">
        <v>18.97</v>
      </c>
      <c r="S515" s="17">
        <v>127.9</v>
      </c>
      <c r="T515" s="17">
        <v>100.4</v>
      </c>
      <c r="U515" s="50">
        <v>64.150000000000006</v>
      </c>
      <c r="V515" s="50">
        <v>44.06</v>
      </c>
      <c r="W515" s="50">
        <v>67.989999999999995</v>
      </c>
      <c r="X515" s="50">
        <v>82.86</v>
      </c>
      <c r="Y515" s="50">
        <v>39.22</v>
      </c>
      <c r="Z515" s="50">
        <v>91.76</v>
      </c>
      <c r="AA515" s="50">
        <v>74.989999999999995</v>
      </c>
      <c r="AB515" s="50">
        <v>71.31</v>
      </c>
      <c r="AC515" s="50">
        <v>8.67</v>
      </c>
      <c r="AD515" s="50">
        <v>47.12</v>
      </c>
      <c r="AE515" s="17">
        <v>30.49</v>
      </c>
      <c r="AF515" s="17">
        <v>32.799999999999997</v>
      </c>
      <c r="AG515" s="17">
        <v>39.32</v>
      </c>
      <c r="AH515" s="17">
        <v>42.27</v>
      </c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3" t="s">
        <v>147</v>
      </c>
      <c r="AU515" s="3"/>
    </row>
    <row r="516" spans="1:47" x14ac:dyDescent="0.2">
      <c r="A516" s="115">
        <v>515.00000000000057</v>
      </c>
      <c r="B516" s="3">
        <v>152</v>
      </c>
      <c r="C516" s="3">
        <v>21.515000000000001</v>
      </c>
      <c r="D516" s="129" t="s">
        <v>140</v>
      </c>
      <c r="E516" t="s">
        <v>141</v>
      </c>
      <c r="F516" s="3" t="s">
        <v>61</v>
      </c>
      <c r="H516" s="3" t="s">
        <v>61</v>
      </c>
      <c r="I516" s="82">
        <v>44487</v>
      </c>
      <c r="J516" s="17" t="s">
        <v>142</v>
      </c>
      <c r="K516" s="16" t="s">
        <v>203</v>
      </c>
      <c r="L516" s="17"/>
      <c r="M516">
        <v>182.9</v>
      </c>
      <c r="N516" s="17"/>
      <c r="O516" s="17">
        <v>187.16</v>
      </c>
      <c r="P516" s="17">
        <v>188.05</v>
      </c>
      <c r="Q516" s="17">
        <v>40.15</v>
      </c>
      <c r="R516" s="17">
        <v>27.65</v>
      </c>
      <c r="S516" s="17">
        <v>123.51</v>
      </c>
      <c r="T516" s="17">
        <v>102.26</v>
      </c>
      <c r="U516" s="50">
        <v>58.94</v>
      </c>
      <c r="V516" s="50">
        <v>43.16</v>
      </c>
      <c r="W516" s="50">
        <v>63.93</v>
      </c>
      <c r="X516" s="50">
        <v>78.64</v>
      </c>
      <c r="Y516" s="50">
        <v>30.67</v>
      </c>
      <c r="Z516" s="50">
        <v>87.45</v>
      </c>
      <c r="AA516" s="50">
        <v>72.13</v>
      </c>
      <c r="AB516" s="50">
        <v>66.36</v>
      </c>
      <c r="AC516" s="50">
        <v>12.54</v>
      </c>
      <c r="AD516" s="50">
        <v>44.45</v>
      </c>
      <c r="AE516" s="17">
        <v>49.86</v>
      </c>
      <c r="AF516" s="17">
        <v>39.54</v>
      </c>
      <c r="AG516" s="17">
        <v>35.46</v>
      </c>
      <c r="AH516" s="17">
        <v>35.619999999999997</v>
      </c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3" t="s">
        <v>147</v>
      </c>
      <c r="AU516" s="3"/>
    </row>
    <row r="517" spans="1:47" x14ac:dyDescent="0.2">
      <c r="A517" s="115">
        <v>515.99999999999818</v>
      </c>
      <c r="B517" s="3">
        <v>148</v>
      </c>
      <c r="C517" s="3">
        <v>21.515999999999998</v>
      </c>
      <c r="D517" s="129" t="s">
        <v>140</v>
      </c>
      <c r="E517" t="s">
        <v>141</v>
      </c>
      <c r="F517" s="3" t="s">
        <v>61</v>
      </c>
      <c r="H517" s="3" t="s">
        <v>61</v>
      </c>
      <c r="I517" s="82">
        <v>44480</v>
      </c>
      <c r="J517" s="17" t="s">
        <v>142</v>
      </c>
      <c r="K517" s="16" t="s">
        <v>203</v>
      </c>
      <c r="L517" s="17"/>
      <c r="M517">
        <v>183.5</v>
      </c>
      <c r="N517" s="17"/>
      <c r="O517" s="17">
        <v>183.49</v>
      </c>
      <c r="P517" s="17">
        <v>186.32</v>
      </c>
      <c r="Q517" s="17">
        <v>36.25</v>
      </c>
      <c r="R517" s="17">
        <v>26.52</v>
      </c>
      <c r="S517" s="17">
        <v>127.9</v>
      </c>
      <c r="T517" s="17">
        <v>106.78</v>
      </c>
      <c r="U517" s="50">
        <v>59.07</v>
      </c>
      <c r="V517" s="50">
        <v>43.4</v>
      </c>
      <c r="W517" s="50">
        <v>69.02</v>
      </c>
      <c r="X517" s="50">
        <v>79.28</v>
      </c>
      <c r="Y517" s="50">
        <v>31.51</v>
      </c>
      <c r="Z517" s="50">
        <v>89.38</v>
      </c>
      <c r="AA517" s="50">
        <v>70.45</v>
      </c>
      <c r="AB517" s="50">
        <v>60.55</v>
      </c>
      <c r="AC517" s="50">
        <v>14.22</v>
      </c>
      <c r="AD517" s="50">
        <v>45.81</v>
      </c>
      <c r="AE517" s="17">
        <v>39.270000000000003</v>
      </c>
      <c r="AF517" s="17">
        <v>36.950000000000003</v>
      </c>
      <c r="AG517" s="17">
        <v>31.82</v>
      </c>
      <c r="AH517" s="17">
        <v>32.35</v>
      </c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3" t="s">
        <v>147</v>
      </c>
      <c r="AU517" s="3"/>
    </row>
    <row r="518" spans="1:47" x14ac:dyDescent="0.2">
      <c r="A518" s="115">
        <v>516.99999999999943</v>
      </c>
      <c r="B518" s="3">
        <v>130</v>
      </c>
      <c r="C518" s="3">
        <v>21.516999999999999</v>
      </c>
      <c r="D518" s="129" t="s">
        <v>140</v>
      </c>
      <c r="E518" t="s">
        <v>141</v>
      </c>
      <c r="F518" s="3" t="s">
        <v>60</v>
      </c>
      <c r="G518"/>
      <c r="H518" s="3" t="s">
        <v>60</v>
      </c>
      <c r="I518" s="82">
        <v>44464</v>
      </c>
      <c r="J518" s="17" t="s">
        <v>142</v>
      </c>
      <c r="K518" s="16" t="s">
        <v>203</v>
      </c>
      <c r="L518" s="17"/>
      <c r="M518">
        <v>216.1</v>
      </c>
      <c r="N518" s="17"/>
      <c r="O518" s="17">
        <v>152.88</v>
      </c>
      <c r="P518" s="17">
        <v>162.77000000000001</v>
      </c>
      <c r="Q518" s="17">
        <v>26.27</v>
      </c>
      <c r="R518" s="17">
        <v>13.42</v>
      </c>
      <c r="S518" s="17">
        <v>116.15</v>
      </c>
      <c r="T518" s="17">
        <v>91.41</v>
      </c>
      <c r="U518" s="50">
        <v>66.66</v>
      </c>
      <c r="V518" s="50">
        <v>46.05</v>
      </c>
      <c r="W518" s="50">
        <v>73.69</v>
      </c>
      <c r="X518" s="50">
        <v>88.18</v>
      </c>
      <c r="Y518" s="50">
        <v>39.020000000000003</v>
      </c>
      <c r="Z518" s="50">
        <v>92.33</v>
      </c>
      <c r="AA518" s="50">
        <v>73.42</v>
      </c>
      <c r="AB518" s="50">
        <v>72.33</v>
      </c>
      <c r="AC518" s="50">
        <v>7.61</v>
      </c>
      <c r="AD518" s="50">
        <v>47.69</v>
      </c>
      <c r="AE518" s="17">
        <v>32.67</v>
      </c>
      <c r="AF518" s="17">
        <v>33.18</v>
      </c>
      <c r="AG518" s="17">
        <v>41.18</v>
      </c>
      <c r="AH518" s="17">
        <v>39.380000000000003</v>
      </c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3" t="s">
        <v>147</v>
      </c>
      <c r="AU518" s="3"/>
    </row>
    <row r="519" spans="1:47" x14ac:dyDescent="0.2">
      <c r="A519" s="115">
        <v>518.00000000000068</v>
      </c>
      <c r="B519" s="3">
        <v>170</v>
      </c>
      <c r="C519" s="3">
        <v>21.518000000000001</v>
      </c>
      <c r="D519" s="129" t="s">
        <v>140</v>
      </c>
      <c r="E519" t="s">
        <v>141</v>
      </c>
      <c r="F519" s="3" t="s">
        <v>61</v>
      </c>
      <c r="H519" s="3" t="s">
        <v>61</v>
      </c>
      <c r="I519" s="82">
        <v>44505</v>
      </c>
      <c r="J519" s="17" t="s">
        <v>142</v>
      </c>
      <c r="K519" s="17" t="s">
        <v>203</v>
      </c>
      <c r="L519" s="17"/>
      <c r="M519" s="17">
        <v>188</v>
      </c>
      <c r="N519" s="17"/>
      <c r="O519" s="17">
        <v>185.78</v>
      </c>
      <c r="P519" s="17">
        <v>197.87</v>
      </c>
      <c r="Q519" s="17">
        <v>38.840000000000003</v>
      </c>
      <c r="R519" s="17">
        <v>31.04</v>
      </c>
      <c r="S519" s="17">
        <v>121.17</v>
      </c>
      <c r="T519" s="17">
        <v>103.25</v>
      </c>
      <c r="U519" s="50">
        <v>56.73</v>
      </c>
      <c r="V519" s="50">
        <v>41.29</v>
      </c>
      <c r="W519" s="50">
        <v>67.760000000000005</v>
      </c>
      <c r="X519" s="50">
        <v>83.23</v>
      </c>
      <c r="Y519" s="50">
        <v>33.159999999999997</v>
      </c>
      <c r="Z519" s="50">
        <v>92.72</v>
      </c>
      <c r="AA519" s="50">
        <v>72.62</v>
      </c>
      <c r="AB519" s="50">
        <v>65.22</v>
      </c>
      <c r="AC519" s="50">
        <v>13.34</v>
      </c>
      <c r="AD519" s="50">
        <v>43.58</v>
      </c>
      <c r="AE519" s="17">
        <v>42.52</v>
      </c>
      <c r="AF519" s="17">
        <v>44.08</v>
      </c>
      <c r="AG519" s="17">
        <v>27.95</v>
      </c>
      <c r="AH519" s="17">
        <v>31.14</v>
      </c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3"/>
      <c r="AU519" s="3"/>
    </row>
    <row r="520" spans="1:47" x14ac:dyDescent="0.2">
      <c r="A520" s="115">
        <v>518.99999999999841</v>
      </c>
      <c r="B520" s="3" t="s">
        <v>637</v>
      </c>
      <c r="C520" s="3">
        <v>21.518999999999998</v>
      </c>
      <c r="D520" s="131" t="s">
        <v>151</v>
      </c>
      <c r="E520" t="s">
        <v>152</v>
      </c>
      <c r="F520" s="3" t="s">
        <v>227</v>
      </c>
      <c r="G520"/>
      <c r="H520" s="3" t="s">
        <v>89</v>
      </c>
      <c r="I520" s="149">
        <v>44505</v>
      </c>
      <c r="J520" s="3" t="s">
        <v>142</v>
      </c>
      <c r="K520" s="3" t="s">
        <v>203</v>
      </c>
      <c r="O520" s="3">
        <v>173.32</v>
      </c>
      <c r="P520" s="3">
        <v>181.3</v>
      </c>
      <c r="Q520" s="3">
        <v>36.81</v>
      </c>
      <c r="R520" s="3">
        <v>16.55</v>
      </c>
      <c r="S520" s="3">
        <v>119.86</v>
      </c>
      <c r="T520" s="3">
        <v>96.18</v>
      </c>
      <c r="U520" s="6">
        <v>58.98</v>
      </c>
      <c r="V520" s="6">
        <v>45.59</v>
      </c>
      <c r="W520" s="6">
        <v>62.56</v>
      </c>
      <c r="X520" s="6">
        <v>87.96</v>
      </c>
      <c r="Y520" s="6">
        <v>40.97</v>
      </c>
      <c r="Z520" s="6">
        <v>98.86</v>
      </c>
      <c r="AA520" s="6">
        <v>79.709999999999994</v>
      </c>
      <c r="AB520" s="6">
        <v>73.91</v>
      </c>
      <c r="AC520" s="6">
        <v>10.38</v>
      </c>
      <c r="AD520" s="6">
        <v>50.32</v>
      </c>
      <c r="AE520" s="3">
        <v>28.35</v>
      </c>
      <c r="AF520" s="3">
        <v>26.78</v>
      </c>
      <c r="AG520" s="3">
        <v>37.19</v>
      </c>
      <c r="AH520" s="3">
        <v>34.97</v>
      </c>
      <c r="AT520" s="3"/>
      <c r="AU520" s="3"/>
    </row>
    <row r="521" spans="1:47" x14ac:dyDescent="0.2">
      <c r="A521" s="115">
        <v>519.99999999999955</v>
      </c>
      <c r="B521" s="3" t="s">
        <v>638</v>
      </c>
      <c r="C521" s="12" t="s">
        <v>639</v>
      </c>
      <c r="D521" s="131" t="s">
        <v>151</v>
      </c>
      <c r="E521" t="s">
        <v>152</v>
      </c>
      <c r="F521" s="3" t="s">
        <v>227</v>
      </c>
      <c r="G521"/>
      <c r="H521" s="3" t="s">
        <v>89</v>
      </c>
      <c r="I521" s="82">
        <v>44457</v>
      </c>
      <c r="J521" s="3" t="s">
        <v>492</v>
      </c>
      <c r="K521" s="3" t="s">
        <v>203</v>
      </c>
      <c r="O521" s="3">
        <v>168.5</v>
      </c>
      <c r="P521" s="3">
        <v>173.38</v>
      </c>
      <c r="Q521" s="3">
        <v>33.71</v>
      </c>
      <c r="R521" s="3">
        <v>14.1</v>
      </c>
      <c r="S521" s="3">
        <v>119.87</v>
      </c>
      <c r="T521" s="3">
        <v>99.54</v>
      </c>
      <c r="U521" s="6">
        <v>58.42</v>
      </c>
      <c r="V521" s="6">
        <v>47.07</v>
      </c>
      <c r="W521" s="6">
        <v>65.17</v>
      </c>
      <c r="X521" s="6">
        <v>88.13</v>
      </c>
      <c r="Y521" s="6">
        <v>36.19</v>
      </c>
      <c r="Z521" s="6">
        <v>102.5</v>
      </c>
      <c r="AA521" s="6">
        <v>81.319999999999993</v>
      </c>
      <c r="AB521" s="6">
        <v>76.66</v>
      </c>
      <c r="AC521" s="6">
        <v>18.079999999999998</v>
      </c>
      <c r="AD521" s="6">
        <v>50.33</v>
      </c>
      <c r="AE521" s="3">
        <v>25.81</v>
      </c>
      <c r="AF521" s="3">
        <v>24.55</v>
      </c>
      <c r="AG521" s="3">
        <v>31.6</v>
      </c>
      <c r="AH521" s="3">
        <v>36.86</v>
      </c>
      <c r="AT521" s="3"/>
      <c r="AU521" s="3"/>
    </row>
    <row r="522" spans="1:47" x14ac:dyDescent="0.2">
      <c r="A522" s="115">
        <v>521.0000000000008</v>
      </c>
      <c r="B522" s="3" t="s">
        <v>640</v>
      </c>
      <c r="C522" s="3">
        <v>21.521000000000001</v>
      </c>
      <c r="D522" s="131" t="s">
        <v>151</v>
      </c>
      <c r="E522" t="s">
        <v>152</v>
      </c>
      <c r="F522" s="3" t="s">
        <v>227</v>
      </c>
      <c r="G522"/>
      <c r="H522" s="3" t="s">
        <v>89</v>
      </c>
      <c r="I522" s="82">
        <v>44457</v>
      </c>
      <c r="J522" s="3" t="s">
        <v>492</v>
      </c>
      <c r="K522" s="3" t="s">
        <v>203</v>
      </c>
      <c r="O522" s="3">
        <v>173.53</v>
      </c>
      <c r="P522" s="3">
        <v>177.31</v>
      </c>
      <c r="Q522" s="3">
        <v>36.020000000000003</v>
      </c>
      <c r="R522" s="3">
        <v>21.48</v>
      </c>
      <c r="S522" s="3">
        <v>121.17</v>
      </c>
      <c r="T522" s="3">
        <v>100.53</v>
      </c>
      <c r="U522" s="6">
        <v>58.4</v>
      </c>
      <c r="V522" s="6">
        <v>46.15</v>
      </c>
      <c r="W522" s="6">
        <v>67.08</v>
      </c>
      <c r="X522" s="6">
        <v>90.8</v>
      </c>
      <c r="Y522" s="6">
        <v>35.729999999999997</v>
      </c>
      <c r="Z522" s="6">
        <v>102.89</v>
      </c>
      <c r="AA522" s="6">
        <v>82.23</v>
      </c>
      <c r="AB522" s="6">
        <v>75.88</v>
      </c>
      <c r="AC522" s="6">
        <v>20.079999999999998</v>
      </c>
      <c r="AD522" s="6">
        <v>49.2</v>
      </c>
      <c r="AE522" s="3">
        <v>30.9</v>
      </c>
      <c r="AF522" s="3">
        <v>32.229999999999997</v>
      </c>
      <c r="AG522" s="3">
        <v>33.49</v>
      </c>
      <c r="AH522" s="3">
        <v>32.380000000000003</v>
      </c>
      <c r="AT522" s="3"/>
      <c r="AU522" s="3"/>
    </row>
    <row r="523" spans="1:47" x14ac:dyDescent="0.2">
      <c r="A523" s="115">
        <v>521.99999999999841</v>
      </c>
      <c r="B523" s="3" t="s">
        <v>641</v>
      </c>
      <c r="C523" s="3">
        <v>21.521999999999998</v>
      </c>
      <c r="D523" s="131" t="s">
        <v>151</v>
      </c>
      <c r="E523" t="s">
        <v>152</v>
      </c>
      <c r="F523" s="3" t="s">
        <v>227</v>
      </c>
      <c r="G523"/>
      <c r="H523"/>
      <c r="I523" s="150">
        <v>44440</v>
      </c>
      <c r="J523" s="3" t="s">
        <v>492</v>
      </c>
      <c r="K523" s="3" t="s">
        <v>203</v>
      </c>
      <c r="O523" s="3">
        <v>171.39</v>
      </c>
      <c r="P523" s="3">
        <v>182.96</v>
      </c>
      <c r="Q523" s="3">
        <v>40.869999999999997</v>
      </c>
      <c r="R523" s="3">
        <v>17.440000000000001</v>
      </c>
      <c r="S523" s="3">
        <v>120.38</v>
      </c>
      <c r="T523" s="3">
        <v>93.62</v>
      </c>
      <c r="U523" s="6">
        <v>63.11</v>
      </c>
      <c r="V523" s="6">
        <v>48.21</v>
      </c>
      <c r="W523" s="6">
        <v>73.08</v>
      </c>
      <c r="X523" s="6">
        <v>92.81</v>
      </c>
      <c r="Y523" s="6">
        <v>41.65</v>
      </c>
      <c r="Z523" s="6">
        <v>104.34</v>
      </c>
      <c r="AA523" s="6">
        <v>79.569999999999993</v>
      </c>
      <c r="AB523" s="6">
        <v>82.41</v>
      </c>
      <c r="AC523" s="6">
        <v>13.12</v>
      </c>
      <c r="AD523" s="6">
        <v>46.99</v>
      </c>
      <c r="AE523" s="3">
        <v>24.7</v>
      </c>
      <c r="AF523" s="3">
        <v>35.57</v>
      </c>
      <c r="AG523" s="3">
        <v>39.76</v>
      </c>
      <c r="AH523" s="3">
        <v>45.03</v>
      </c>
      <c r="AT523" s="3"/>
      <c r="AU523" s="3"/>
    </row>
    <row r="524" spans="1:47" x14ac:dyDescent="0.2">
      <c r="A524" s="115">
        <v>522.99999999999966</v>
      </c>
      <c r="B524" s="3" t="s">
        <v>642</v>
      </c>
      <c r="C524" s="3">
        <v>21.523</v>
      </c>
      <c r="D524" s="131" t="s">
        <v>151</v>
      </c>
      <c r="E524" t="s">
        <v>152</v>
      </c>
      <c r="F524" s="3" t="s">
        <v>227</v>
      </c>
      <c r="G524"/>
      <c r="H524"/>
      <c r="I524" s="150">
        <v>44440</v>
      </c>
      <c r="J524" s="3" t="s">
        <v>492</v>
      </c>
      <c r="K524" s="3" t="s">
        <v>203</v>
      </c>
      <c r="O524" s="3">
        <v>181.74</v>
      </c>
      <c r="P524" s="3">
        <v>189.32</v>
      </c>
      <c r="Q524" s="3">
        <v>40.1</v>
      </c>
      <c r="R524" s="3">
        <v>22.26</v>
      </c>
      <c r="S524" s="3">
        <v>122.82</v>
      </c>
      <c r="T524" s="3">
        <v>95.51</v>
      </c>
      <c r="U524" s="6">
        <v>65.38</v>
      </c>
      <c r="V524" s="6">
        <v>51.89</v>
      </c>
      <c r="W524" s="6">
        <v>73.930000000000007</v>
      </c>
      <c r="X524" s="6">
        <v>95.23</v>
      </c>
      <c r="Y524" s="6">
        <v>43.25</v>
      </c>
      <c r="Z524" s="6">
        <v>104.8</v>
      </c>
      <c r="AA524" s="6">
        <v>79.55</v>
      </c>
      <c r="AB524" s="6">
        <v>86.14</v>
      </c>
      <c r="AC524" s="6">
        <v>18.07</v>
      </c>
      <c r="AD524" s="6">
        <v>46.22</v>
      </c>
      <c r="AE524" s="3">
        <v>30</v>
      </c>
      <c r="AF524" s="3">
        <v>34.229999999999997</v>
      </c>
      <c r="AG524" s="3">
        <v>41.4</v>
      </c>
      <c r="AH524" s="3">
        <v>41.85</v>
      </c>
      <c r="AT524" s="3"/>
      <c r="AU524" s="3"/>
    </row>
    <row r="525" spans="1:47" x14ac:dyDescent="0.2">
      <c r="A525" s="115">
        <v>524.00000000000091</v>
      </c>
      <c r="B525" s="3" t="s">
        <v>643</v>
      </c>
      <c r="C525" s="3">
        <v>21.524000000000001</v>
      </c>
      <c r="D525" s="131" t="s">
        <v>151</v>
      </c>
      <c r="E525" t="s">
        <v>162</v>
      </c>
      <c r="F525" s="3" t="s">
        <v>88</v>
      </c>
      <c r="G525" s="3" t="s">
        <v>88</v>
      </c>
      <c r="H525"/>
      <c r="I525" s="82">
        <v>44451</v>
      </c>
      <c r="J525" s="3" t="s">
        <v>492</v>
      </c>
      <c r="K525" s="3" t="s">
        <v>203</v>
      </c>
      <c r="O525" s="3">
        <v>182.68</v>
      </c>
      <c r="P525" s="3">
        <v>192</v>
      </c>
      <c r="Q525" s="3">
        <v>43.5</v>
      </c>
      <c r="R525" s="3">
        <v>19.64</v>
      </c>
      <c r="S525" s="3">
        <v>123.89</v>
      </c>
      <c r="T525" s="3">
        <v>95.03</v>
      </c>
      <c r="U525" s="6">
        <v>65.959999999999994</v>
      </c>
      <c r="V525" s="6">
        <v>50.96</v>
      </c>
      <c r="W525" s="6">
        <v>73.48</v>
      </c>
      <c r="X525" s="6">
        <v>94.51</v>
      </c>
      <c r="Y525" s="6">
        <v>42.21</v>
      </c>
      <c r="Z525" s="6">
        <v>103.69</v>
      </c>
      <c r="AA525" s="6">
        <v>78.180000000000007</v>
      </c>
      <c r="AB525" s="6">
        <v>82.92</v>
      </c>
      <c r="AC525" s="6">
        <v>10.18</v>
      </c>
      <c r="AD525" s="6">
        <v>44.31</v>
      </c>
      <c r="AE525" s="3">
        <v>27.81</v>
      </c>
      <c r="AF525" s="3">
        <v>27.85</v>
      </c>
      <c r="AG525" s="3">
        <v>37.78</v>
      </c>
      <c r="AH525" s="3">
        <v>40.130000000000003</v>
      </c>
      <c r="AT525" s="3"/>
      <c r="AU525" s="3"/>
    </row>
    <row r="526" spans="1:47" x14ac:dyDescent="0.2">
      <c r="A526" s="115">
        <v>524.99999999999864</v>
      </c>
      <c r="B526" s="3" t="s">
        <v>644</v>
      </c>
      <c r="C526" s="3">
        <v>21.524999999999999</v>
      </c>
      <c r="D526" s="131" t="s">
        <v>151</v>
      </c>
      <c r="E526" t="s">
        <v>162</v>
      </c>
      <c r="F526" s="3" t="s">
        <v>88</v>
      </c>
      <c r="G526" s="3" t="s">
        <v>88</v>
      </c>
      <c r="I526" s="82">
        <v>44451</v>
      </c>
      <c r="J526" s="3" t="s">
        <v>492</v>
      </c>
      <c r="K526" s="3" t="s">
        <v>203</v>
      </c>
      <c r="O526" s="3">
        <v>187.64</v>
      </c>
      <c r="P526" s="3">
        <v>189.75</v>
      </c>
      <c r="Q526" s="3">
        <v>43.07</v>
      </c>
      <c r="R526" s="3">
        <v>15.12</v>
      </c>
      <c r="S526" s="3">
        <v>129.76</v>
      </c>
      <c r="T526" s="3">
        <v>99.92</v>
      </c>
      <c r="U526" s="6">
        <v>68.27</v>
      </c>
      <c r="V526" s="6">
        <v>49.88</v>
      </c>
      <c r="W526" s="6">
        <v>74.2</v>
      </c>
      <c r="X526" s="6">
        <v>93.83</v>
      </c>
      <c r="Y526" s="6">
        <v>41.99</v>
      </c>
      <c r="Z526" s="6">
        <v>104.98</v>
      </c>
      <c r="AA526" s="6">
        <v>81.8</v>
      </c>
      <c r="AB526" s="6">
        <v>83.78</v>
      </c>
      <c r="AC526" s="6">
        <v>10.199999999999999</v>
      </c>
      <c r="AD526" s="6">
        <v>45.71</v>
      </c>
      <c r="AE526" s="3">
        <v>26.26</v>
      </c>
      <c r="AF526" s="3">
        <v>28.65</v>
      </c>
      <c r="AG526" s="3">
        <v>39.72</v>
      </c>
      <c r="AH526" s="3">
        <v>44.1</v>
      </c>
      <c r="AT526" s="3"/>
      <c r="AU526" s="3"/>
    </row>
    <row r="527" spans="1:47" x14ac:dyDescent="0.2">
      <c r="A527" s="115">
        <v>525.99999999999977</v>
      </c>
      <c r="B527" s="3" t="s">
        <v>645</v>
      </c>
      <c r="C527" s="3">
        <v>21.526</v>
      </c>
      <c r="D527" s="131" t="s">
        <v>151</v>
      </c>
      <c r="E527" t="s">
        <v>162</v>
      </c>
      <c r="F527" s="3" t="s">
        <v>88</v>
      </c>
      <c r="G527" s="3" t="s">
        <v>88</v>
      </c>
      <c r="I527" s="82">
        <v>44451</v>
      </c>
      <c r="J527" s="3" t="s">
        <v>492</v>
      </c>
      <c r="K527" s="3" t="s">
        <v>203</v>
      </c>
      <c r="O527" s="3">
        <v>184.16</v>
      </c>
      <c r="P527" s="3">
        <v>192.95</v>
      </c>
      <c r="Q527" s="3">
        <v>42.4</v>
      </c>
      <c r="R527" s="3">
        <v>16.89</v>
      </c>
      <c r="S527" s="3">
        <v>127.96</v>
      </c>
      <c r="T527" s="3">
        <v>96.85</v>
      </c>
      <c r="U527" s="6">
        <v>68.099999999999994</v>
      </c>
      <c r="V527" s="6">
        <v>51.19</v>
      </c>
      <c r="W527" s="6">
        <v>73.92</v>
      </c>
      <c r="X527" s="6">
        <v>92.59</v>
      </c>
      <c r="Y527" s="6">
        <v>42.48</v>
      </c>
      <c r="Z527" s="6">
        <v>104.23</v>
      </c>
      <c r="AA527" s="6">
        <v>79.260000000000005</v>
      </c>
      <c r="AB527" s="6">
        <v>84.72</v>
      </c>
      <c r="AC527" s="6">
        <v>14.99</v>
      </c>
      <c r="AD527" s="6">
        <v>44.89</v>
      </c>
      <c r="AE527" s="3">
        <v>31.04</v>
      </c>
      <c r="AF527" s="3">
        <v>22.73</v>
      </c>
      <c r="AG527" s="3">
        <v>40.71</v>
      </c>
      <c r="AH527" s="3">
        <v>39.74</v>
      </c>
      <c r="AT527" s="3"/>
      <c r="AU527" s="3"/>
    </row>
    <row r="528" spans="1:47" x14ac:dyDescent="0.2">
      <c r="A528" s="115">
        <v>527.00000000000102</v>
      </c>
      <c r="B528" s="3" t="s">
        <v>272</v>
      </c>
      <c r="C528" s="3">
        <v>21.527000000000001</v>
      </c>
      <c r="D528" s="131" t="s">
        <v>151</v>
      </c>
      <c r="E528" t="s">
        <v>162</v>
      </c>
      <c r="F528" s="3" t="s">
        <v>88</v>
      </c>
      <c r="G528" s="3" t="s">
        <v>88</v>
      </c>
      <c r="I528" s="82">
        <v>44416</v>
      </c>
      <c r="J528" s="3" t="s">
        <v>492</v>
      </c>
      <c r="K528" s="3" t="s">
        <v>203</v>
      </c>
      <c r="N528" s="3">
        <v>271.89999999999998</v>
      </c>
      <c r="O528" s="3">
        <v>180.68</v>
      </c>
      <c r="P528" s="3">
        <v>196.43</v>
      </c>
      <c r="Q528" s="3">
        <v>40.92</v>
      </c>
      <c r="R528" s="3">
        <v>17.53</v>
      </c>
      <c r="S528" s="3">
        <v>127.18</v>
      </c>
      <c r="T528" s="3">
        <v>97.45</v>
      </c>
      <c r="U528" s="6">
        <v>63.43</v>
      </c>
      <c r="V528" s="6">
        <v>49.27</v>
      </c>
      <c r="W528" s="6">
        <v>70.959999999999994</v>
      </c>
      <c r="X528" s="6">
        <v>96.28</v>
      </c>
      <c r="Y528" s="6">
        <v>42.63</v>
      </c>
      <c r="Z528" s="6">
        <v>105.17</v>
      </c>
      <c r="AA528" s="6">
        <v>86.77</v>
      </c>
      <c r="AB528" s="6">
        <v>79.489999999999995</v>
      </c>
      <c r="AC528" s="6">
        <v>10.54</v>
      </c>
      <c r="AD528" s="6">
        <v>53.52</v>
      </c>
      <c r="AE528" s="3">
        <v>26.48</v>
      </c>
      <c r="AF528" s="3">
        <v>31.22</v>
      </c>
      <c r="AG528" s="3">
        <v>43.35</v>
      </c>
      <c r="AH528" s="3">
        <v>45.74</v>
      </c>
      <c r="AT528" s="3"/>
      <c r="AU528" s="3"/>
    </row>
    <row r="529" spans="1:47" x14ac:dyDescent="0.2">
      <c r="A529" s="115">
        <v>527.99999999999864</v>
      </c>
      <c r="B529" s="3" t="s">
        <v>646</v>
      </c>
      <c r="C529" s="3">
        <v>21.527999999999999</v>
      </c>
      <c r="D529" s="131" t="s">
        <v>151</v>
      </c>
      <c r="E529" t="s">
        <v>152</v>
      </c>
      <c r="F529" s="3" t="s">
        <v>227</v>
      </c>
      <c r="G529" s="17"/>
      <c r="H529" s="3" t="s">
        <v>89</v>
      </c>
      <c r="I529" s="82">
        <v>44469</v>
      </c>
      <c r="J529" s="3" t="s">
        <v>492</v>
      </c>
      <c r="K529" s="3" t="s">
        <v>203</v>
      </c>
      <c r="O529" s="3">
        <v>176.01</v>
      </c>
      <c r="P529" s="3">
        <v>181.42</v>
      </c>
      <c r="Q529" s="3">
        <v>35.5</v>
      </c>
      <c r="R529" s="3">
        <v>18.690000000000001</v>
      </c>
      <c r="S529" s="3">
        <v>122.67</v>
      </c>
      <c r="T529" s="3">
        <v>98.99</v>
      </c>
      <c r="U529" s="6">
        <v>59.17</v>
      </c>
      <c r="V529" s="6">
        <v>46.97</v>
      </c>
      <c r="W529" s="6">
        <v>68.95</v>
      </c>
      <c r="X529" s="6">
        <v>89.37</v>
      </c>
      <c r="Y529" s="6">
        <v>38.520000000000003</v>
      </c>
      <c r="Z529" s="6">
        <v>97.93</v>
      </c>
      <c r="AA529" s="6">
        <v>79.45</v>
      </c>
      <c r="AB529" s="6">
        <v>75.14</v>
      </c>
      <c r="AC529" s="6">
        <v>16.68</v>
      </c>
      <c r="AD529" s="6">
        <v>50.45</v>
      </c>
      <c r="AE529" s="3">
        <v>28.16</v>
      </c>
      <c r="AF529" s="3">
        <v>29.14</v>
      </c>
      <c r="AG529" s="3">
        <v>31.14</v>
      </c>
      <c r="AH529" s="3">
        <v>35.840000000000003</v>
      </c>
      <c r="AT529" s="3"/>
      <c r="AU529" s="3"/>
    </row>
    <row r="530" spans="1:47" x14ac:dyDescent="0.2">
      <c r="A530" s="115">
        <v>528.99999999999989</v>
      </c>
      <c r="B530" s="3" t="s">
        <v>643</v>
      </c>
      <c r="C530" s="3">
        <v>21.529</v>
      </c>
      <c r="D530" s="131" t="s">
        <v>151</v>
      </c>
      <c r="E530" t="s">
        <v>162</v>
      </c>
      <c r="F530" s="3" t="s">
        <v>88</v>
      </c>
      <c r="G530" s="3" t="s">
        <v>88</v>
      </c>
      <c r="H530" s="17"/>
      <c r="I530" s="82">
        <v>44483</v>
      </c>
      <c r="J530" s="3" t="s">
        <v>492</v>
      </c>
      <c r="K530" s="3" t="s">
        <v>203</v>
      </c>
      <c r="O530" s="3">
        <v>179.45</v>
      </c>
      <c r="P530" s="3">
        <v>187.79</v>
      </c>
      <c r="Q530" s="3">
        <v>39.659999999999997</v>
      </c>
      <c r="R530" s="3">
        <v>18.86</v>
      </c>
      <c r="S530" s="3">
        <v>123.08</v>
      </c>
      <c r="T530" s="3">
        <v>94.98</v>
      </c>
      <c r="U530" s="6">
        <v>66.8</v>
      </c>
      <c r="V530" s="6">
        <v>51.9</v>
      </c>
      <c r="W530" s="6">
        <v>74.41</v>
      </c>
      <c r="X530" s="6">
        <v>94.07</v>
      </c>
      <c r="Y530" s="6">
        <v>43.55</v>
      </c>
      <c r="Z530" s="6">
        <v>104.32</v>
      </c>
      <c r="AA530" s="6">
        <v>81.59</v>
      </c>
      <c r="AB530" s="6">
        <v>82.33</v>
      </c>
      <c r="AC530" s="6">
        <v>15.74</v>
      </c>
      <c r="AD530" s="6">
        <v>46.29</v>
      </c>
      <c r="AE530" s="3">
        <v>27.09</v>
      </c>
      <c r="AF530" s="3">
        <v>36.72</v>
      </c>
      <c r="AG530" s="3">
        <v>40.94</v>
      </c>
      <c r="AH530" s="3">
        <v>44.6</v>
      </c>
      <c r="AT530" s="3"/>
      <c r="AU530" s="3"/>
    </row>
    <row r="531" spans="1:47" x14ac:dyDescent="0.2">
      <c r="A531" s="115">
        <v>530.00000000000114</v>
      </c>
      <c r="B531" s="3" t="s">
        <v>644</v>
      </c>
      <c r="C531" s="12" t="s">
        <v>647</v>
      </c>
      <c r="D531" s="131" t="s">
        <v>151</v>
      </c>
      <c r="E531" t="s">
        <v>162</v>
      </c>
      <c r="F531" s="3" t="s">
        <v>88</v>
      </c>
      <c r="G531" s="3" t="s">
        <v>88</v>
      </c>
      <c r="H531" s="17"/>
      <c r="I531" s="82">
        <v>44483</v>
      </c>
      <c r="J531" s="3" t="s">
        <v>492</v>
      </c>
      <c r="K531" s="3" t="s">
        <v>203</v>
      </c>
      <c r="O531" s="3">
        <v>179.86</v>
      </c>
      <c r="P531" s="3">
        <v>188.52</v>
      </c>
      <c r="Q531" s="3">
        <v>43.37</v>
      </c>
      <c r="R531" s="3">
        <v>18.649999999999999</v>
      </c>
      <c r="S531" s="3">
        <v>119.99</v>
      </c>
      <c r="T531" s="3">
        <v>95.24</v>
      </c>
      <c r="U531" s="6">
        <v>65.3</v>
      </c>
      <c r="V531" s="6">
        <v>49.43</v>
      </c>
      <c r="W531" s="6">
        <v>72.52</v>
      </c>
      <c r="X531" s="6">
        <v>94.53</v>
      </c>
      <c r="Y531" s="6">
        <v>43.68</v>
      </c>
      <c r="Z531" s="6">
        <v>103.87</v>
      </c>
      <c r="AA531" s="6">
        <v>80.23</v>
      </c>
      <c r="AB531" s="6">
        <v>83.42</v>
      </c>
      <c r="AC531" s="6">
        <v>14.37</v>
      </c>
      <c r="AD531" s="6">
        <v>47.17</v>
      </c>
      <c r="AE531" s="3">
        <v>26.33</v>
      </c>
      <c r="AF531" s="3">
        <v>33.549999999999997</v>
      </c>
      <c r="AG531" s="3">
        <v>40.04</v>
      </c>
      <c r="AH531" s="3">
        <v>47.29</v>
      </c>
      <c r="AT531" s="3"/>
      <c r="AU531" s="3"/>
    </row>
    <row r="532" spans="1:47" x14ac:dyDescent="0.2">
      <c r="A532" s="115">
        <v>530.99999999999886</v>
      </c>
      <c r="B532" s="3" t="s">
        <v>645</v>
      </c>
      <c r="C532" s="3">
        <v>21.530999999999999</v>
      </c>
      <c r="D532" s="131" t="s">
        <v>151</v>
      </c>
      <c r="E532" t="s">
        <v>162</v>
      </c>
      <c r="F532" s="3" t="s">
        <v>88</v>
      </c>
      <c r="G532" s="3" t="s">
        <v>88</v>
      </c>
      <c r="H532" s="17"/>
      <c r="I532" s="82">
        <v>44483</v>
      </c>
      <c r="J532" s="3" t="s">
        <v>492</v>
      </c>
      <c r="K532" s="3" t="s">
        <v>203</v>
      </c>
      <c r="O532" s="3">
        <v>180.06</v>
      </c>
      <c r="P532" s="3">
        <v>190.63</v>
      </c>
      <c r="Q532" s="3">
        <v>46.52</v>
      </c>
      <c r="R532" s="3">
        <v>18.37</v>
      </c>
      <c r="S532" s="3">
        <v>123.75</v>
      </c>
      <c r="T532" s="3">
        <v>97.11</v>
      </c>
      <c r="U532" s="6">
        <v>67.150000000000006</v>
      </c>
      <c r="V532" s="6">
        <v>48.93</v>
      </c>
      <c r="W532" s="6">
        <v>74.37</v>
      </c>
      <c r="X532" s="6">
        <v>92.84</v>
      </c>
      <c r="Y532" s="6">
        <v>43.55</v>
      </c>
      <c r="Z532" s="6">
        <v>101.46</v>
      </c>
      <c r="AA532" s="6">
        <v>78.39</v>
      </c>
      <c r="AB532" s="6">
        <v>81.2</v>
      </c>
      <c r="AC532" s="6">
        <v>9.86</v>
      </c>
      <c r="AD532" s="6">
        <v>46.34</v>
      </c>
      <c r="AE532" s="3">
        <v>25.77</v>
      </c>
      <c r="AF532" s="3">
        <v>33.04</v>
      </c>
      <c r="AG532" s="3">
        <v>42.45</v>
      </c>
      <c r="AH532" s="3">
        <v>51.5</v>
      </c>
      <c r="AT532" s="3"/>
      <c r="AU532" s="3"/>
    </row>
    <row r="533" spans="1:47" x14ac:dyDescent="0.2">
      <c r="A533" s="115">
        <v>532</v>
      </c>
      <c r="B533" s="3" t="s">
        <v>648</v>
      </c>
      <c r="C533" s="3">
        <v>21.532</v>
      </c>
      <c r="D533" s="131" t="s">
        <v>151</v>
      </c>
      <c r="E533" t="s">
        <v>162</v>
      </c>
      <c r="F533" s="3" t="s">
        <v>88</v>
      </c>
      <c r="G533" s="3" t="s">
        <v>88</v>
      </c>
      <c r="H533" s="17"/>
      <c r="I533" s="82">
        <v>44469</v>
      </c>
      <c r="J533" s="3" t="s">
        <v>492</v>
      </c>
      <c r="K533" s="3" t="s">
        <v>203</v>
      </c>
      <c r="O533" s="3">
        <v>181.05</v>
      </c>
      <c r="P533" s="3">
        <v>190.92</v>
      </c>
      <c r="Q533" s="3">
        <v>48.4</v>
      </c>
      <c r="R533" s="3">
        <v>22.53</v>
      </c>
      <c r="S533" s="3">
        <v>118.76</v>
      </c>
      <c r="T533" s="3">
        <v>94.87</v>
      </c>
      <c r="U533" s="6">
        <v>64.55</v>
      </c>
      <c r="V533" s="6">
        <v>47.22</v>
      </c>
      <c r="W533" s="6">
        <v>70.94</v>
      </c>
      <c r="X533" s="6">
        <v>94.51</v>
      </c>
      <c r="Y533" s="6">
        <v>42.85</v>
      </c>
      <c r="Z533" s="6">
        <v>105.08</v>
      </c>
      <c r="AA533" s="6">
        <v>80.17</v>
      </c>
      <c r="AB533" s="6">
        <v>80.33</v>
      </c>
      <c r="AC533" s="6">
        <v>10.47</v>
      </c>
      <c r="AD533" s="6">
        <v>47.22</v>
      </c>
      <c r="AE533" s="3">
        <v>28.37</v>
      </c>
      <c r="AF533" s="3">
        <v>35.43</v>
      </c>
      <c r="AG533" s="3">
        <v>42.04</v>
      </c>
      <c r="AH533" s="3">
        <v>51.92</v>
      </c>
      <c r="AT533" s="3"/>
      <c r="AU533" s="3"/>
    </row>
    <row r="534" spans="1:47" x14ac:dyDescent="0.2">
      <c r="A534" s="115">
        <v>533.00000000000125</v>
      </c>
      <c r="B534" s="3" t="s">
        <v>649</v>
      </c>
      <c r="C534" s="3">
        <v>21.533000000000001</v>
      </c>
      <c r="D534" s="131" t="s">
        <v>151</v>
      </c>
      <c r="E534" t="s">
        <v>162</v>
      </c>
      <c r="F534" s="3" t="s">
        <v>88</v>
      </c>
      <c r="G534" s="3" t="s">
        <v>88</v>
      </c>
      <c r="H534" s="17"/>
      <c r="I534" s="82">
        <v>44469</v>
      </c>
      <c r="J534" s="3" t="s">
        <v>492</v>
      </c>
      <c r="K534" s="3" t="s">
        <v>203</v>
      </c>
      <c r="O534" s="3">
        <v>183.66</v>
      </c>
      <c r="P534" s="3">
        <v>190.69</v>
      </c>
      <c r="Q534" s="3">
        <v>46.21</v>
      </c>
      <c r="R534" s="3">
        <v>20.88</v>
      </c>
      <c r="S534" s="3">
        <v>121.76</v>
      </c>
      <c r="T534" s="3">
        <v>97.24</v>
      </c>
      <c r="U534" s="6">
        <v>67.33</v>
      </c>
      <c r="V534" s="6">
        <v>50.63</v>
      </c>
      <c r="W534" s="6">
        <v>73.44</v>
      </c>
      <c r="X534" s="6">
        <v>95.23</v>
      </c>
      <c r="Y534" s="6">
        <v>42.92</v>
      </c>
      <c r="Z534" s="6">
        <v>105.13</v>
      </c>
      <c r="AA534" s="6">
        <v>81.53</v>
      </c>
      <c r="AB534" s="6">
        <v>79.34</v>
      </c>
      <c r="AC534" s="6">
        <v>11.48</v>
      </c>
      <c r="AD534" s="6">
        <v>44.95</v>
      </c>
      <c r="AE534" s="3">
        <v>25.81</v>
      </c>
      <c r="AF534" s="3">
        <v>38.340000000000003</v>
      </c>
      <c r="AG534" s="3">
        <v>46.98</v>
      </c>
      <c r="AH534" s="3">
        <v>45.92</v>
      </c>
      <c r="AT534" s="3"/>
      <c r="AU534" s="3"/>
    </row>
    <row r="535" spans="1:47" x14ac:dyDescent="0.2">
      <c r="A535" s="115">
        <v>533.99999999999886</v>
      </c>
      <c r="B535" s="3" t="s">
        <v>650</v>
      </c>
      <c r="C535" s="3">
        <v>21.533999999999999</v>
      </c>
      <c r="D535" s="131" t="s">
        <v>151</v>
      </c>
      <c r="E535" t="s">
        <v>162</v>
      </c>
      <c r="F535" s="3" t="s">
        <v>88</v>
      </c>
      <c r="G535" s="3" t="s">
        <v>88</v>
      </c>
      <c r="H535" s="17"/>
      <c r="I535" s="82">
        <v>44469</v>
      </c>
      <c r="J535" s="3" t="s">
        <v>492</v>
      </c>
      <c r="K535" s="3" t="s">
        <v>203</v>
      </c>
      <c r="O535" s="3">
        <v>178.6</v>
      </c>
      <c r="P535" s="3">
        <v>191.14</v>
      </c>
      <c r="Q535" s="3">
        <v>40.020000000000003</v>
      </c>
      <c r="R535" s="3">
        <v>23.03</v>
      </c>
      <c r="S535" s="3">
        <v>121.64</v>
      </c>
      <c r="T535" s="3">
        <v>97.74</v>
      </c>
      <c r="U535" s="6">
        <v>61.38</v>
      </c>
      <c r="V535" s="6">
        <v>47.46</v>
      </c>
      <c r="W535" s="6">
        <v>70.87</v>
      </c>
      <c r="X535" s="6">
        <v>95.51</v>
      </c>
      <c r="Y535" s="6">
        <v>41.92</v>
      </c>
      <c r="Z535" s="6">
        <v>103.58</v>
      </c>
      <c r="AA535" s="6">
        <v>80.22</v>
      </c>
      <c r="AB535" s="6">
        <v>81.17</v>
      </c>
      <c r="AC535" s="6">
        <v>13.4</v>
      </c>
      <c r="AD535" s="6">
        <v>48.5</v>
      </c>
      <c r="AE535" s="3">
        <v>31.76</v>
      </c>
      <c r="AF535" s="3">
        <v>38.06</v>
      </c>
      <c r="AG535" s="3">
        <v>32.65</v>
      </c>
      <c r="AH535" s="3">
        <v>43.37</v>
      </c>
      <c r="AT535" s="3"/>
      <c r="AU535" s="3"/>
    </row>
    <row r="536" spans="1:47" x14ac:dyDescent="0.2">
      <c r="A536" s="115">
        <v>535.00000000000011</v>
      </c>
      <c r="B536" s="3" t="s">
        <v>651</v>
      </c>
      <c r="C536" s="3">
        <v>21.535</v>
      </c>
      <c r="D536" s="131" t="s">
        <v>151</v>
      </c>
      <c r="E536" t="s">
        <v>162</v>
      </c>
      <c r="F536" s="3" t="s">
        <v>88</v>
      </c>
      <c r="G536" s="3" t="s">
        <v>88</v>
      </c>
      <c r="H536" s="17"/>
      <c r="I536" s="82">
        <v>44469</v>
      </c>
      <c r="J536" s="3" t="s">
        <v>492</v>
      </c>
      <c r="K536" s="3" t="s">
        <v>203</v>
      </c>
      <c r="O536" s="3">
        <v>180.26</v>
      </c>
      <c r="P536" s="3">
        <v>191.4</v>
      </c>
      <c r="Q536" s="3">
        <v>45.33</v>
      </c>
      <c r="R536" s="3">
        <v>16.66</v>
      </c>
      <c r="S536" s="3">
        <v>123.22</v>
      </c>
      <c r="T536" s="3">
        <v>95.4</v>
      </c>
      <c r="U536" s="6">
        <v>66.39</v>
      </c>
      <c r="V536" s="6">
        <v>49.4</v>
      </c>
      <c r="W536" s="6">
        <v>71.900000000000006</v>
      </c>
      <c r="X536" s="6">
        <v>93.66</v>
      </c>
      <c r="Y536" s="6">
        <v>42.08</v>
      </c>
      <c r="Z536" s="6">
        <v>102.91</v>
      </c>
      <c r="AA536" s="6">
        <v>78.36</v>
      </c>
      <c r="AB536" s="6">
        <v>77.47</v>
      </c>
      <c r="AC536" s="6">
        <v>11.43</v>
      </c>
      <c r="AD536" s="6">
        <v>46.51</v>
      </c>
      <c r="AE536" s="3">
        <v>26.2</v>
      </c>
      <c r="AF536" s="3">
        <v>32.159999999999997</v>
      </c>
      <c r="AG536" s="3">
        <v>41.27</v>
      </c>
      <c r="AH536" s="3">
        <v>43.72</v>
      </c>
      <c r="AT536" s="3"/>
      <c r="AU536" s="3"/>
    </row>
    <row r="537" spans="1:47" x14ac:dyDescent="0.2">
      <c r="A537" s="115">
        <v>536.00000000000136</v>
      </c>
      <c r="B537" s="3" t="s">
        <v>652</v>
      </c>
      <c r="C537" s="3">
        <v>21.536000000000001</v>
      </c>
      <c r="D537" s="131" t="s">
        <v>151</v>
      </c>
      <c r="E537" t="s">
        <v>162</v>
      </c>
      <c r="F537" s="3" t="s">
        <v>88</v>
      </c>
      <c r="G537" s="3" t="s">
        <v>88</v>
      </c>
      <c r="H537" s="17"/>
      <c r="I537" s="82">
        <v>44469</v>
      </c>
      <c r="J537" s="3" t="s">
        <v>492</v>
      </c>
      <c r="K537" s="3" t="s">
        <v>203</v>
      </c>
      <c r="O537" s="3">
        <v>180.12</v>
      </c>
      <c r="P537" s="3">
        <v>189.94</v>
      </c>
      <c r="Q537" s="3">
        <v>38.46</v>
      </c>
      <c r="R537" s="3">
        <v>20.02</v>
      </c>
      <c r="S537" s="3">
        <v>126.83</v>
      </c>
      <c r="T537" s="3">
        <v>102.22</v>
      </c>
      <c r="U537" s="6">
        <v>60.75</v>
      </c>
      <c r="V537" s="6">
        <v>48.41</v>
      </c>
      <c r="W537" s="6">
        <v>72.25</v>
      </c>
      <c r="X537" s="6">
        <v>95.77</v>
      </c>
      <c r="Y537" s="6">
        <v>41.36</v>
      </c>
      <c r="Z537" s="6">
        <v>105.1</v>
      </c>
      <c r="AA537" s="6">
        <v>82.87</v>
      </c>
      <c r="AB537" s="6">
        <v>82.34</v>
      </c>
      <c r="AC537" s="6">
        <v>17.96</v>
      </c>
      <c r="AD537" s="6">
        <v>49.04</v>
      </c>
      <c r="AE537" s="3">
        <v>29.34</v>
      </c>
      <c r="AF537" s="3">
        <v>35.24</v>
      </c>
      <c r="AG537" s="3">
        <v>33.42</v>
      </c>
      <c r="AH537" s="3">
        <v>40.9</v>
      </c>
      <c r="AT537" s="3"/>
      <c r="AU537" s="3"/>
    </row>
    <row r="538" spans="1:47" x14ac:dyDescent="0.2">
      <c r="A538" s="115">
        <v>536.99999999999909</v>
      </c>
      <c r="B538" s="3" t="s">
        <v>648</v>
      </c>
      <c r="C538" s="3">
        <v>21.536999999999999</v>
      </c>
      <c r="D538" s="131" t="s">
        <v>151</v>
      </c>
      <c r="E538" t="s">
        <v>162</v>
      </c>
      <c r="F538" s="3" t="s">
        <v>88</v>
      </c>
      <c r="G538" s="3" t="s">
        <v>88</v>
      </c>
      <c r="H538" s="17"/>
      <c r="I538" s="82">
        <v>44402</v>
      </c>
      <c r="J538" s="3" t="s">
        <v>492</v>
      </c>
      <c r="K538" s="3" t="s">
        <v>203</v>
      </c>
      <c r="O538" s="3">
        <v>176.55</v>
      </c>
      <c r="P538" s="3">
        <v>187.89</v>
      </c>
      <c r="Q538" s="3">
        <v>39.380000000000003</v>
      </c>
      <c r="R538" s="3">
        <v>19.91</v>
      </c>
      <c r="S538" s="3">
        <v>122.25</v>
      </c>
      <c r="T538" s="3">
        <v>97.3</v>
      </c>
      <c r="U538" s="6">
        <v>63.96</v>
      </c>
      <c r="V538" s="6">
        <v>47.9</v>
      </c>
      <c r="W538" s="6">
        <v>71.92</v>
      </c>
      <c r="X538" s="6">
        <v>93.65</v>
      </c>
      <c r="Y538" s="6">
        <v>41.63</v>
      </c>
      <c r="Z538" s="6">
        <v>102.39</v>
      </c>
      <c r="AA538" s="6">
        <v>77.63</v>
      </c>
      <c r="AB538" s="6">
        <v>79.47</v>
      </c>
      <c r="AC538" s="6">
        <v>12.28</v>
      </c>
      <c r="AD538" s="6">
        <v>45.76</v>
      </c>
      <c r="AE538" s="3">
        <v>26.83</v>
      </c>
      <c r="AF538" s="3">
        <v>35.729999999999997</v>
      </c>
      <c r="AG538" s="3">
        <v>40.58</v>
      </c>
      <c r="AH538" s="3">
        <v>43.22</v>
      </c>
      <c r="AT538" s="3"/>
      <c r="AU538" s="3"/>
    </row>
    <row r="539" spans="1:47" x14ac:dyDescent="0.2">
      <c r="A539" s="115">
        <v>538.00000000000023</v>
      </c>
      <c r="B539" s="3" t="s">
        <v>649</v>
      </c>
      <c r="C539" s="3">
        <v>21.538</v>
      </c>
      <c r="D539" s="131" t="s">
        <v>151</v>
      </c>
      <c r="E539" t="s">
        <v>162</v>
      </c>
      <c r="F539" s="3" t="s">
        <v>88</v>
      </c>
      <c r="G539" s="3" t="s">
        <v>88</v>
      </c>
      <c r="H539" s="17"/>
      <c r="I539" s="82">
        <v>44402</v>
      </c>
      <c r="J539" s="3" t="s">
        <v>492</v>
      </c>
      <c r="K539" s="3" t="s">
        <v>203</v>
      </c>
      <c r="O539" s="3">
        <v>179.91</v>
      </c>
      <c r="P539" s="3">
        <v>187.58</v>
      </c>
      <c r="Q539" s="3">
        <v>40.369999999999997</v>
      </c>
      <c r="R539" s="3">
        <v>21.12</v>
      </c>
      <c r="S539" s="3">
        <v>123.31</v>
      </c>
      <c r="T539" s="3">
        <v>97.01</v>
      </c>
      <c r="U539" s="6">
        <v>65.92</v>
      </c>
      <c r="V539" s="6">
        <v>50.43</v>
      </c>
      <c r="W539" s="6">
        <v>72.7</v>
      </c>
      <c r="X539" s="6">
        <v>92.02</v>
      </c>
      <c r="Y539" s="6">
        <v>40.78</v>
      </c>
      <c r="Z539" s="6">
        <v>102.26</v>
      </c>
      <c r="AA539" s="6">
        <v>79.08</v>
      </c>
      <c r="AB539" s="6">
        <v>80.540000000000006</v>
      </c>
      <c r="AC539" s="6">
        <v>13.86</v>
      </c>
      <c r="AD539" s="6">
        <v>45.65</v>
      </c>
      <c r="AE539" s="3">
        <v>31.88</v>
      </c>
      <c r="AF539" s="3">
        <v>40.159999999999997</v>
      </c>
      <c r="AG539" s="3">
        <v>42.31</v>
      </c>
      <c r="AH539" s="3">
        <v>41.38</v>
      </c>
      <c r="AT539" s="3"/>
      <c r="AU539" s="3"/>
    </row>
    <row r="540" spans="1:47" x14ac:dyDescent="0.2">
      <c r="A540" s="115">
        <v>539.00000000000148</v>
      </c>
      <c r="B540" s="3" t="s">
        <v>650</v>
      </c>
      <c r="C540" s="3">
        <v>21.539000000000001</v>
      </c>
      <c r="D540" s="131" t="s">
        <v>151</v>
      </c>
      <c r="E540" t="s">
        <v>162</v>
      </c>
      <c r="F540" s="3" t="s">
        <v>88</v>
      </c>
      <c r="G540" s="3" t="s">
        <v>88</v>
      </c>
      <c r="H540" s="17"/>
      <c r="I540" s="82">
        <v>44402</v>
      </c>
      <c r="J540" s="3" t="s">
        <v>492</v>
      </c>
      <c r="K540" s="3" t="s">
        <v>203</v>
      </c>
      <c r="O540" s="3">
        <v>175.87</v>
      </c>
      <c r="P540" s="3">
        <v>186.77</v>
      </c>
      <c r="Q540" s="3">
        <v>38.61</v>
      </c>
      <c r="R540" s="3">
        <v>18.38</v>
      </c>
      <c r="S540" s="3">
        <v>123.3</v>
      </c>
      <c r="T540" s="3">
        <v>93.26</v>
      </c>
      <c r="U540" s="6">
        <v>65</v>
      </c>
      <c r="V540" s="6">
        <v>49.27</v>
      </c>
      <c r="W540" s="6">
        <v>71.66</v>
      </c>
      <c r="X540" s="6">
        <v>94.23</v>
      </c>
      <c r="Y540" s="6">
        <v>40.93</v>
      </c>
      <c r="Z540" s="6">
        <v>103.22</v>
      </c>
      <c r="AA540" s="6">
        <v>79.61</v>
      </c>
      <c r="AB540" s="6">
        <v>82.87</v>
      </c>
      <c r="AC540" s="6">
        <v>14.73</v>
      </c>
      <c r="AD540" s="6">
        <v>46.38</v>
      </c>
      <c r="AE540" s="3">
        <v>27.49</v>
      </c>
      <c r="AF540" s="3">
        <v>32.950000000000003</v>
      </c>
      <c r="AG540" s="3">
        <v>33.71</v>
      </c>
      <c r="AH540" s="3">
        <v>38.909999999999997</v>
      </c>
      <c r="AT540" s="3"/>
      <c r="AU540" s="3"/>
    </row>
    <row r="541" spans="1:47" x14ac:dyDescent="0.2">
      <c r="A541" s="115">
        <v>539.99999999999909</v>
      </c>
      <c r="B541" s="3" t="s">
        <v>651</v>
      </c>
      <c r="C541" s="12" t="s">
        <v>653</v>
      </c>
      <c r="D541" s="131" t="s">
        <v>151</v>
      </c>
      <c r="E541" t="s">
        <v>162</v>
      </c>
      <c r="F541" s="3" t="s">
        <v>88</v>
      </c>
      <c r="G541" s="3" t="s">
        <v>88</v>
      </c>
      <c r="H541" s="17"/>
      <c r="I541" s="82">
        <v>44402</v>
      </c>
      <c r="J541" s="3" t="s">
        <v>492</v>
      </c>
      <c r="K541" s="3" t="s">
        <v>203</v>
      </c>
      <c r="O541" s="3">
        <v>178.01</v>
      </c>
      <c r="P541" s="3">
        <v>190.26</v>
      </c>
      <c r="Q541" s="3">
        <v>40.520000000000003</v>
      </c>
      <c r="R541" s="3">
        <v>22.86</v>
      </c>
      <c r="S541" s="3">
        <v>121.74</v>
      </c>
      <c r="T541" s="3">
        <v>95.5</v>
      </c>
      <c r="U541" s="6">
        <v>63.35</v>
      </c>
      <c r="V541" s="6">
        <v>48.49</v>
      </c>
      <c r="W541" s="6">
        <v>73</v>
      </c>
      <c r="X541" s="6">
        <v>96.37</v>
      </c>
      <c r="Y541" s="6">
        <v>40.36</v>
      </c>
      <c r="Z541" s="6">
        <v>103.32</v>
      </c>
      <c r="AA541" s="6">
        <v>79.510000000000005</v>
      </c>
      <c r="AB541" s="6">
        <v>81.209999999999994</v>
      </c>
      <c r="AC541" s="6">
        <v>13.12</v>
      </c>
      <c r="AD541" s="6">
        <v>45.48</v>
      </c>
      <c r="AE541" s="3">
        <v>27.65</v>
      </c>
      <c r="AF541" s="3">
        <v>36.57</v>
      </c>
      <c r="AG541" s="3">
        <v>39.159999999999997</v>
      </c>
      <c r="AH541" s="3">
        <v>44.79</v>
      </c>
      <c r="AT541" s="3"/>
      <c r="AU541" s="3"/>
    </row>
    <row r="542" spans="1:47" x14ac:dyDescent="0.2">
      <c r="A542" s="115">
        <v>541.00000000000034</v>
      </c>
      <c r="B542" s="3" t="s">
        <v>652</v>
      </c>
      <c r="C542" s="3">
        <v>21.541</v>
      </c>
      <c r="D542" s="131" t="s">
        <v>151</v>
      </c>
      <c r="E542" t="s">
        <v>162</v>
      </c>
      <c r="F542" s="3" t="s">
        <v>88</v>
      </c>
      <c r="G542" s="3" t="s">
        <v>88</v>
      </c>
      <c r="H542" s="17"/>
      <c r="I542" s="82">
        <v>44402</v>
      </c>
      <c r="J542" s="3" t="s">
        <v>492</v>
      </c>
      <c r="K542" s="3" t="s">
        <v>203</v>
      </c>
      <c r="O542" s="3">
        <v>177.23</v>
      </c>
      <c r="P542" s="3">
        <v>190.29</v>
      </c>
      <c r="Q542" s="3">
        <v>39.07</v>
      </c>
      <c r="R542" s="3">
        <v>20.8</v>
      </c>
      <c r="S542" s="3">
        <v>123.25</v>
      </c>
      <c r="T542" s="3">
        <v>94.26</v>
      </c>
      <c r="U542" s="6">
        <v>62.05</v>
      </c>
      <c r="V542" s="6">
        <v>48.94</v>
      </c>
      <c r="W542" s="6">
        <v>71.790000000000006</v>
      </c>
      <c r="X542" s="6">
        <v>95.12</v>
      </c>
      <c r="Y542" s="6">
        <v>42.93</v>
      </c>
      <c r="Z542" s="6">
        <v>102.58</v>
      </c>
      <c r="AA542" s="6">
        <v>79.239999999999995</v>
      </c>
      <c r="AB542" s="6">
        <v>78.97</v>
      </c>
      <c r="AC542" s="6">
        <v>14.05</v>
      </c>
      <c r="AD542" s="6">
        <v>47.29</v>
      </c>
      <c r="AE542" s="3">
        <v>32.39</v>
      </c>
      <c r="AF542" s="3">
        <v>38.25</v>
      </c>
      <c r="AG542" s="3">
        <v>36.83</v>
      </c>
      <c r="AH542" s="3">
        <v>39.82</v>
      </c>
      <c r="AT542" s="3"/>
      <c r="AU542" s="3"/>
    </row>
    <row r="543" spans="1:47" x14ac:dyDescent="0.2">
      <c r="A543" s="115">
        <v>542.00000000000159</v>
      </c>
      <c r="B543" s="3" t="s">
        <v>654</v>
      </c>
      <c r="C543" s="3">
        <v>21.542000000000002</v>
      </c>
      <c r="D543" s="131" t="s">
        <v>151</v>
      </c>
      <c r="E543" t="s">
        <v>162</v>
      </c>
      <c r="F543" s="3" t="s">
        <v>88</v>
      </c>
      <c r="G543" s="3" t="s">
        <v>88</v>
      </c>
      <c r="H543" s="17"/>
      <c r="I543" s="82">
        <v>44466</v>
      </c>
      <c r="J543" s="3" t="s">
        <v>492</v>
      </c>
      <c r="K543" s="3" t="s">
        <v>203</v>
      </c>
      <c r="O543" s="3">
        <v>184.32</v>
      </c>
      <c r="P543" s="3">
        <v>198.78</v>
      </c>
      <c r="Q543" s="3">
        <v>40.659999999999997</v>
      </c>
      <c r="R543" s="3">
        <v>19</v>
      </c>
      <c r="S543" s="3">
        <v>126.94</v>
      </c>
      <c r="T543" s="3">
        <v>105.74</v>
      </c>
      <c r="U543" s="6">
        <v>69.209999999999994</v>
      </c>
      <c r="V543" s="6">
        <v>49.29</v>
      </c>
      <c r="W543" s="6">
        <v>75.13</v>
      </c>
      <c r="X543" s="6">
        <v>95.68</v>
      </c>
      <c r="Y543" s="6">
        <v>41.39</v>
      </c>
      <c r="Z543" s="6">
        <v>106.47</v>
      </c>
      <c r="AA543" s="6">
        <v>88.35</v>
      </c>
      <c r="AB543" s="6">
        <v>85.18</v>
      </c>
      <c r="AC543" s="6">
        <v>12.37</v>
      </c>
      <c r="AD543" s="6">
        <v>51.99</v>
      </c>
      <c r="AE543" s="3">
        <v>26.85</v>
      </c>
      <c r="AF543" s="3">
        <v>37.11</v>
      </c>
      <c r="AG543" s="3">
        <v>44.02</v>
      </c>
      <c r="AH543" s="3">
        <v>46.81</v>
      </c>
      <c r="AT543" s="3"/>
      <c r="AU543" s="3"/>
    </row>
    <row r="544" spans="1:47" x14ac:dyDescent="0.2">
      <c r="A544" s="115">
        <v>542.99999999999932</v>
      </c>
      <c r="B544" s="3" t="s">
        <v>655</v>
      </c>
      <c r="C544" s="3">
        <v>21.542999999999999</v>
      </c>
      <c r="D544" s="131" t="s">
        <v>151</v>
      </c>
      <c r="E544" t="s">
        <v>162</v>
      </c>
      <c r="F544" s="3" t="s">
        <v>88</v>
      </c>
      <c r="G544" s="3" t="s">
        <v>88</v>
      </c>
      <c r="H544" s="17"/>
      <c r="I544" s="82">
        <v>44466</v>
      </c>
      <c r="J544" s="3" t="s">
        <v>492</v>
      </c>
      <c r="K544" s="3" t="s">
        <v>203</v>
      </c>
      <c r="O544" s="3">
        <v>179.65</v>
      </c>
      <c r="P544" s="3">
        <v>189.84</v>
      </c>
      <c r="Q544" s="3">
        <v>39.53</v>
      </c>
      <c r="R544" s="3">
        <v>19.48</v>
      </c>
      <c r="S544" s="3">
        <v>123.93</v>
      </c>
      <c r="T544" s="3">
        <v>96.62</v>
      </c>
      <c r="U544" s="6">
        <v>65.599999999999994</v>
      </c>
      <c r="V544" s="6">
        <v>48.36</v>
      </c>
      <c r="W544" s="6">
        <v>72.45</v>
      </c>
      <c r="X544" s="6">
        <v>96.97</v>
      </c>
      <c r="Y544" s="6">
        <v>42.67</v>
      </c>
      <c r="Z544" s="6">
        <v>106.91</v>
      </c>
      <c r="AA544" s="6">
        <v>86.81</v>
      </c>
      <c r="AB544" s="6">
        <v>85.8</v>
      </c>
      <c r="AC544" s="6">
        <v>16.39</v>
      </c>
      <c r="AD544" s="6">
        <v>54.06</v>
      </c>
      <c r="AE544" s="3">
        <v>28.46</v>
      </c>
      <c r="AF544" s="3">
        <v>36.78</v>
      </c>
      <c r="AG544" s="3">
        <v>41.48</v>
      </c>
      <c r="AH544" s="3">
        <v>42.44</v>
      </c>
      <c r="AT544" s="3"/>
      <c r="AU544" s="3"/>
    </row>
    <row r="545" spans="1:47" x14ac:dyDescent="0.2">
      <c r="A545" s="115">
        <v>544.00000000000045</v>
      </c>
      <c r="B545" s="3" t="s">
        <v>656</v>
      </c>
      <c r="C545" s="3">
        <v>21.544</v>
      </c>
      <c r="D545" s="131" t="s">
        <v>151</v>
      </c>
      <c r="E545" t="s">
        <v>152</v>
      </c>
      <c r="F545" s="17" t="s">
        <v>227</v>
      </c>
      <c r="G545" s="17"/>
      <c r="H545" s="3" t="s">
        <v>89</v>
      </c>
      <c r="I545" s="82">
        <v>44474</v>
      </c>
      <c r="J545" s="3" t="s">
        <v>492</v>
      </c>
      <c r="K545" s="3" t="s">
        <v>203</v>
      </c>
      <c r="O545" s="3">
        <v>170.45</v>
      </c>
      <c r="P545" s="3">
        <v>176.73</v>
      </c>
      <c r="Q545" s="3">
        <v>35.630000000000003</v>
      </c>
      <c r="R545" s="3">
        <v>18.36</v>
      </c>
      <c r="S545" s="3">
        <v>120.7</v>
      </c>
      <c r="T545" s="3">
        <v>96.52</v>
      </c>
      <c r="U545" s="6">
        <v>58.12</v>
      </c>
      <c r="V545" s="6">
        <v>45.32</v>
      </c>
      <c r="W545" s="6">
        <v>66.41</v>
      </c>
      <c r="X545" s="6">
        <v>90.54</v>
      </c>
      <c r="Y545" s="6">
        <v>38.369999999999997</v>
      </c>
      <c r="Z545" s="6">
        <v>101.86</v>
      </c>
      <c r="AA545" s="6">
        <v>81.41</v>
      </c>
      <c r="AB545" s="6">
        <v>74.540000000000006</v>
      </c>
      <c r="AC545" s="6">
        <v>13.67</v>
      </c>
      <c r="AD545" s="6">
        <v>51</v>
      </c>
      <c r="AE545" s="3">
        <v>29.23</v>
      </c>
      <c r="AF545" s="3">
        <v>31.91</v>
      </c>
      <c r="AG545" s="3">
        <v>37.049999999999997</v>
      </c>
      <c r="AH545" s="3">
        <v>39.130000000000003</v>
      </c>
      <c r="AT545" s="3"/>
      <c r="AU545" s="3"/>
    </row>
    <row r="546" spans="1:47" x14ac:dyDescent="0.2">
      <c r="A546" s="115">
        <v>545.00000000000171</v>
      </c>
      <c r="B546" s="3" t="s">
        <v>657</v>
      </c>
      <c r="C546" s="3">
        <v>21.545000000000002</v>
      </c>
      <c r="D546" s="131" t="s">
        <v>151</v>
      </c>
      <c r="E546" t="s">
        <v>162</v>
      </c>
      <c r="F546" s="3" t="s">
        <v>88</v>
      </c>
      <c r="G546" s="3" t="s">
        <v>88</v>
      </c>
      <c r="H546" s="17"/>
      <c r="I546" s="82">
        <v>44499</v>
      </c>
      <c r="J546" s="3" t="s">
        <v>492</v>
      </c>
      <c r="K546" s="3" t="s">
        <v>203</v>
      </c>
      <c r="O546" s="3">
        <v>179.24</v>
      </c>
      <c r="P546" s="3">
        <v>188.55</v>
      </c>
      <c r="Q546" s="3">
        <v>41.59</v>
      </c>
      <c r="R546" s="3">
        <v>18.34</v>
      </c>
      <c r="S546" s="3">
        <v>120.99</v>
      </c>
      <c r="T546" s="3">
        <v>91.74</v>
      </c>
      <c r="U546" s="6">
        <v>67.02</v>
      </c>
      <c r="V546" s="6">
        <v>50.35</v>
      </c>
      <c r="W546" s="6">
        <v>72.989999999999995</v>
      </c>
      <c r="X546" s="6">
        <v>95.51</v>
      </c>
      <c r="Y546" s="6">
        <v>43.71</v>
      </c>
      <c r="Z546" s="6">
        <v>105.54</v>
      </c>
      <c r="AA546" s="6">
        <v>82.11</v>
      </c>
      <c r="AB546" s="6">
        <v>83.19</v>
      </c>
      <c r="AC546" s="6">
        <v>15.07</v>
      </c>
      <c r="AD546" s="6">
        <v>44.93</v>
      </c>
      <c r="AE546" s="3">
        <v>31.44</v>
      </c>
      <c r="AF546" s="3">
        <v>30.05</v>
      </c>
      <c r="AG546" s="3">
        <v>45.51</v>
      </c>
      <c r="AH546" s="3">
        <v>46.4</v>
      </c>
      <c r="AT546" s="3"/>
      <c r="AU546" s="3"/>
    </row>
    <row r="547" spans="1:47" x14ac:dyDescent="0.2">
      <c r="A547" s="115">
        <v>545.99999999999932</v>
      </c>
      <c r="B547" s="3" t="s">
        <v>658</v>
      </c>
      <c r="C547" s="3">
        <v>21.545999999999999</v>
      </c>
      <c r="D547" s="131" t="s">
        <v>151</v>
      </c>
      <c r="E547" t="s">
        <v>162</v>
      </c>
      <c r="F547" s="3" t="s">
        <v>88</v>
      </c>
      <c r="G547" s="3" t="s">
        <v>88</v>
      </c>
      <c r="H547" s="17"/>
      <c r="I547" s="82">
        <v>44499</v>
      </c>
      <c r="J547" s="3" t="s">
        <v>492</v>
      </c>
      <c r="K547" s="3" t="s">
        <v>203</v>
      </c>
      <c r="O547" s="3">
        <v>178.74</v>
      </c>
      <c r="P547" s="3">
        <v>191.03</v>
      </c>
      <c r="Q547" s="3">
        <v>42.38</v>
      </c>
      <c r="R547" s="3">
        <v>18.66</v>
      </c>
      <c r="S547" s="3">
        <v>122.75</v>
      </c>
      <c r="T547" s="3">
        <v>95.82</v>
      </c>
      <c r="U547" s="6">
        <v>65.75</v>
      </c>
      <c r="V547" s="6">
        <v>48.8</v>
      </c>
      <c r="W547" s="6">
        <v>71.349999999999994</v>
      </c>
      <c r="X547" s="6">
        <v>92.73</v>
      </c>
      <c r="Y547" s="6">
        <v>42.75</v>
      </c>
      <c r="Z547" s="6">
        <v>103.91</v>
      </c>
      <c r="AA547" s="6">
        <v>80.38</v>
      </c>
      <c r="AB547" s="6">
        <v>82.79</v>
      </c>
      <c r="AC547" s="6">
        <v>14.93</v>
      </c>
      <c r="AD547" s="6">
        <v>44.19</v>
      </c>
      <c r="AE547" s="3">
        <v>31.25</v>
      </c>
      <c r="AF547" s="3">
        <v>39.53</v>
      </c>
      <c r="AG547" s="3">
        <v>42.26</v>
      </c>
      <c r="AH547" s="3">
        <v>44.38</v>
      </c>
      <c r="AT547" s="3"/>
      <c r="AU547" s="3"/>
    </row>
    <row r="548" spans="1:47" x14ac:dyDescent="0.2">
      <c r="A548" s="115">
        <v>547.00000000000057</v>
      </c>
      <c r="B548" s="3" t="s">
        <v>659</v>
      </c>
      <c r="C548" s="3">
        <v>21.547000000000001</v>
      </c>
      <c r="D548" s="131" t="s">
        <v>151</v>
      </c>
      <c r="E548" t="s">
        <v>162</v>
      </c>
      <c r="F548" s="3" t="s">
        <v>88</v>
      </c>
      <c r="G548" s="3" t="s">
        <v>88</v>
      </c>
      <c r="I548" s="82">
        <v>44499</v>
      </c>
      <c r="J548" s="3" t="s">
        <v>492</v>
      </c>
      <c r="K548" s="3" t="s">
        <v>203</v>
      </c>
      <c r="O548" s="3">
        <v>178.39</v>
      </c>
      <c r="P548" s="3">
        <v>191.01</v>
      </c>
      <c r="Q548" s="3">
        <v>37.6</v>
      </c>
      <c r="R548" s="3">
        <v>19.75</v>
      </c>
      <c r="S548" s="3">
        <v>123.3</v>
      </c>
      <c r="T548" s="3">
        <v>96.41</v>
      </c>
      <c r="U548" s="6">
        <v>64.11</v>
      </c>
      <c r="V548" s="6">
        <v>49.31</v>
      </c>
      <c r="W548" s="6">
        <v>70.03</v>
      </c>
      <c r="X548" s="6">
        <v>90.07</v>
      </c>
      <c r="Y548" s="6">
        <v>41.12</v>
      </c>
      <c r="Z548" s="6">
        <v>103.43</v>
      </c>
      <c r="AA548" s="6">
        <v>80.69</v>
      </c>
      <c r="AB548" s="6">
        <v>80.150000000000006</v>
      </c>
      <c r="AC548" s="6">
        <v>9.31</v>
      </c>
      <c r="AD548" s="6">
        <v>48.09</v>
      </c>
      <c r="AE548" s="3">
        <v>31.42</v>
      </c>
      <c r="AF548" s="3">
        <v>39.479999999999997</v>
      </c>
      <c r="AG548" s="3">
        <v>43.41</v>
      </c>
      <c r="AH548" s="3">
        <v>45.14</v>
      </c>
      <c r="AT548" s="3"/>
      <c r="AU548" s="3"/>
    </row>
    <row r="549" spans="1:47" x14ac:dyDescent="0.2">
      <c r="A549" s="115">
        <v>547.99999999999829</v>
      </c>
      <c r="B549" s="3" t="s">
        <v>660</v>
      </c>
      <c r="C549" s="3">
        <v>21.547999999999998</v>
      </c>
      <c r="D549" s="131" t="s">
        <v>151</v>
      </c>
      <c r="E549" t="s">
        <v>162</v>
      </c>
      <c r="F549" s="3" t="s">
        <v>88</v>
      </c>
      <c r="G549" s="3" t="s">
        <v>88</v>
      </c>
      <c r="I549" s="82">
        <v>44499</v>
      </c>
      <c r="J549" s="3" t="s">
        <v>492</v>
      </c>
      <c r="K549" s="3" t="s">
        <v>203</v>
      </c>
      <c r="O549" s="3">
        <v>176.35</v>
      </c>
      <c r="P549" s="3">
        <v>186.53</v>
      </c>
      <c r="Q549" s="3">
        <v>41.26</v>
      </c>
      <c r="R549" s="3">
        <v>19.61</v>
      </c>
      <c r="S549" s="3">
        <v>119.17</v>
      </c>
      <c r="T549" s="3">
        <v>95.06</v>
      </c>
      <c r="U549" s="6">
        <v>64.64</v>
      </c>
      <c r="V549" s="6">
        <v>48.5</v>
      </c>
      <c r="W549" s="6">
        <v>72.2</v>
      </c>
      <c r="X549" s="6">
        <v>94.71</v>
      </c>
      <c r="Y549" s="6">
        <v>41.6</v>
      </c>
      <c r="Z549" s="6">
        <v>104.33</v>
      </c>
      <c r="AA549" s="6">
        <v>79.98</v>
      </c>
      <c r="AB549" s="6">
        <v>81.099999999999994</v>
      </c>
      <c r="AC549" s="6">
        <v>12.31</v>
      </c>
      <c r="AD549" s="6">
        <v>45.87</v>
      </c>
      <c r="AE549" s="3">
        <v>29.39</v>
      </c>
      <c r="AF549" s="3">
        <v>41.83</v>
      </c>
      <c r="AG549" s="3">
        <v>44.7</v>
      </c>
      <c r="AH549" s="3">
        <v>47.75</v>
      </c>
      <c r="AT549" s="3"/>
      <c r="AU549" s="3"/>
    </row>
    <row r="550" spans="1:47" x14ac:dyDescent="0.2">
      <c r="A550" s="115">
        <v>548.99999999999955</v>
      </c>
      <c r="B550" s="3" t="s">
        <v>661</v>
      </c>
      <c r="C550" s="3">
        <v>21.548999999999999</v>
      </c>
      <c r="D550" s="131" t="s">
        <v>151</v>
      </c>
      <c r="E550" t="s">
        <v>162</v>
      </c>
      <c r="F550" s="3" t="s">
        <v>88</v>
      </c>
      <c r="G550" s="3" t="s">
        <v>88</v>
      </c>
      <c r="I550" s="82">
        <v>44499</v>
      </c>
      <c r="J550" s="3" t="s">
        <v>492</v>
      </c>
      <c r="K550" s="3" t="s">
        <v>203</v>
      </c>
      <c r="O550" s="3">
        <v>181.97</v>
      </c>
      <c r="P550" s="3">
        <v>193.53</v>
      </c>
      <c r="Q550" s="3">
        <v>45.49</v>
      </c>
      <c r="R550" s="3">
        <v>20.61</v>
      </c>
      <c r="S550" s="3">
        <v>122.28</v>
      </c>
      <c r="T550" s="3">
        <v>97.54</v>
      </c>
      <c r="U550" s="6">
        <v>63.15</v>
      </c>
      <c r="V550" s="6">
        <v>49.89</v>
      </c>
      <c r="W550" s="6">
        <v>72.260000000000005</v>
      </c>
      <c r="X550" s="6">
        <v>91.8</v>
      </c>
      <c r="Y550" s="6">
        <v>40.869999999999997</v>
      </c>
      <c r="Z550" s="6">
        <v>99.98</v>
      </c>
      <c r="AA550" s="6">
        <v>77.56</v>
      </c>
      <c r="AB550" s="6">
        <v>79.61</v>
      </c>
      <c r="AC550" s="6">
        <v>11.3</v>
      </c>
      <c r="AD550" s="6">
        <v>44.58</v>
      </c>
      <c r="AE550" s="3">
        <v>29.05</v>
      </c>
      <c r="AF550" s="3">
        <v>37.28</v>
      </c>
      <c r="AG550" s="3">
        <v>43.12</v>
      </c>
      <c r="AH550" s="3">
        <v>45.37</v>
      </c>
      <c r="AT550" s="3"/>
      <c r="AU550" s="3"/>
    </row>
    <row r="551" spans="1:47" x14ac:dyDescent="0.2">
      <c r="A551" s="115">
        <v>550.00000000000068</v>
      </c>
      <c r="B551" s="3" t="s">
        <v>662</v>
      </c>
      <c r="C551" s="12" t="s">
        <v>663</v>
      </c>
      <c r="D551" s="131" t="s">
        <v>151</v>
      </c>
      <c r="E551" t="s">
        <v>162</v>
      </c>
      <c r="F551" s="3" t="s">
        <v>88</v>
      </c>
      <c r="G551" s="3" t="s">
        <v>88</v>
      </c>
      <c r="I551" s="82">
        <v>44499</v>
      </c>
      <c r="J551" s="3" t="s">
        <v>492</v>
      </c>
      <c r="K551" s="3" t="s">
        <v>203</v>
      </c>
      <c r="O551" s="3">
        <v>181.97</v>
      </c>
      <c r="P551" s="3">
        <v>192.43</v>
      </c>
      <c r="Q551" s="3">
        <v>42.51</v>
      </c>
      <c r="R551" s="3">
        <v>19.059999999999999</v>
      </c>
      <c r="S551" s="3">
        <v>123.22</v>
      </c>
      <c r="T551" s="3">
        <v>97.69</v>
      </c>
      <c r="U551" s="6">
        <v>68.77</v>
      </c>
      <c r="V551" s="6">
        <v>52.35</v>
      </c>
      <c r="W551" s="6">
        <v>72.86</v>
      </c>
      <c r="X551" s="6">
        <v>87.83</v>
      </c>
      <c r="Y551" s="6">
        <v>41.07</v>
      </c>
      <c r="Z551" s="6">
        <v>99.99</v>
      </c>
      <c r="AA551" s="6">
        <v>75.569999999999993</v>
      </c>
      <c r="AB551" s="6">
        <v>82.14</v>
      </c>
      <c r="AC551" s="6">
        <v>18.72</v>
      </c>
      <c r="AD551" s="6">
        <v>46.09</v>
      </c>
      <c r="AE551" s="3">
        <v>31.17</v>
      </c>
      <c r="AF551" s="3">
        <v>34.36</v>
      </c>
      <c r="AG551" s="3">
        <v>41.42</v>
      </c>
      <c r="AH551" s="3">
        <v>45.15</v>
      </c>
      <c r="AT551" s="3"/>
      <c r="AU551" s="3"/>
    </row>
    <row r="552" spans="1:47" x14ac:dyDescent="0.2">
      <c r="A552" s="115">
        <v>550.99999999999841</v>
      </c>
      <c r="B552" s="3" t="s">
        <v>656</v>
      </c>
      <c r="C552" s="3">
        <v>21.550999999999998</v>
      </c>
      <c r="D552" s="131" t="s">
        <v>151</v>
      </c>
      <c r="E552" t="s">
        <v>152</v>
      </c>
      <c r="F552" s="3" t="s">
        <v>227</v>
      </c>
      <c r="G552"/>
      <c r="H552" s="3" t="s">
        <v>89</v>
      </c>
      <c r="I552" s="82">
        <v>44476</v>
      </c>
      <c r="J552" s="3" t="s">
        <v>492</v>
      </c>
      <c r="K552" s="3" t="s">
        <v>203</v>
      </c>
      <c r="O552" s="3">
        <v>181.14</v>
      </c>
      <c r="P552" s="3">
        <v>185.16</v>
      </c>
      <c r="Q552" s="3">
        <v>34.9</v>
      </c>
      <c r="R552" s="3">
        <v>19.8</v>
      </c>
      <c r="S552" s="3">
        <v>127.07</v>
      </c>
      <c r="T552" s="3">
        <v>96.35</v>
      </c>
      <c r="U552" s="6">
        <v>55.22</v>
      </c>
      <c r="V552" s="6">
        <v>48.52</v>
      </c>
      <c r="W552" s="6">
        <v>67.44</v>
      </c>
      <c r="X552" s="6">
        <v>92.26</v>
      </c>
      <c r="Y552" s="6">
        <v>37.700000000000003</v>
      </c>
      <c r="Z552" s="6">
        <v>101.42</v>
      </c>
      <c r="AA552" s="6">
        <v>81.650000000000006</v>
      </c>
      <c r="AB552" s="6">
        <v>75.7</v>
      </c>
      <c r="AC552" s="6">
        <v>20.170000000000002</v>
      </c>
      <c r="AD552" s="6">
        <v>52.12</v>
      </c>
      <c r="AE552" s="3">
        <v>36.01</v>
      </c>
      <c r="AF552" s="3">
        <v>36.56</v>
      </c>
      <c r="AG552" s="3">
        <v>37.92</v>
      </c>
      <c r="AH552" s="3">
        <v>34.659999999999997</v>
      </c>
      <c r="AT552" s="3"/>
      <c r="AU552" s="3"/>
    </row>
    <row r="553" spans="1:47" x14ac:dyDescent="0.2">
      <c r="A553" s="115">
        <v>551.99999999999955</v>
      </c>
      <c r="B553" s="3">
        <v>77</v>
      </c>
      <c r="C553" s="3">
        <v>21.552</v>
      </c>
      <c r="D553" s="129" t="s">
        <v>140</v>
      </c>
      <c r="E553" t="s">
        <v>141</v>
      </c>
      <c r="F553" s="3" t="s">
        <v>62</v>
      </c>
      <c r="G553"/>
      <c r="H553" s="3" t="s">
        <v>62</v>
      </c>
      <c r="I553" s="82">
        <v>44322</v>
      </c>
      <c r="J553" s="17" t="s">
        <v>142</v>
      </c>
      <c r="K553" s="17" t="s">
        <v>203</v>
      </c>
      <c r="L553" s="17"/>
      <c r="M553" s="17">
        <v>218.7</v>
      </c>
      <c r="N553" s="17">
        <v>228.91</v>
      </c>
      <c r="O553" s="17">
        <v>187.77</v>
      </c>
      <c r="P553" s="17">
        <v>206.75</v>
      </c>
      <c r="Q553" s="17">
        <v>47.69</v>
      </c>
      <c r="R553" s="17">
        <v>29.58</v>
      </c>
      <c r="S553" s="17">
        <v>125.98</v>
      </c>
      <c r="T553" s="17">
        <v>99.2</v>
      </c>
      <c r="U553" s="50">
        <v>70.05</v>
      </c>
      <c r="V553" s="50">
        <v>56.61</v>
      </c>
      <c r="W553" s="50">
        <v>73.58</v>
      </c>
      <c r="X553" s="50">
        <v>96.1</v>
      </c>
      <c r="Y553" s="50">
        <v>45.78</v>
      </c>
      <c r="Z553" s="50">
        <v>103.03</v>
      </c>
      <c r="AA553" s="50">
        <v>77.459999999999994</v>
      </c>
      <c r="AB553" s="50">
        <v>80.8</v>
      </c>
      <c r="AC553" s="50">
        <v>7.51</v>
      </c>
      <c r="AD553" s="50">
        <v>46.23</v>
      </c>
      <c r="AE553" s="17">
        <v>27.78</v>
      </c>
      <c r="AF553" s="17">
        <v>41.65</v>
      </c>
      <c r="AG553" s="17">
        <v>34.04</v>
      </c>
      <c r="AH553" s="17">
        <v>47.16</v>
      </c>
      <c r="AI553" s="17">
        <v>1.6759999999999999</v>
      </c>
      <c r="AJ553" s="17"/>
      <c r="AK553" s="17"/>
      <c r="AL553" s="17"/>
      <c r="AM553" s="17"/>
      <c r="AN553" s="17"/>
      <c r="AO553" s="17">
        <v>14.38</v>
      </c>
      <c r="AP553" s="17">
        <v>46.55</v>
      </c>
      <c r="AQ553" s="17">
        <v>119.07</v>
      </c>
      <c r="AR553" s="17">
        <v>44.74</v>
      </c>
      <c r="AS553" s="17">
        <v>19.009</v>
      </c>
    </row>
    <row r="554" spans="1:47" x14ac:dyDescent="0.2">
      <c r="A554" s="115">
        <v>553.0000000000008</v>
      </c>
      <c r="B554" s="3" t="s">
        <v>359</v>
      </c>
      <c r="C554" s="3">
        <v>21.553000000000001</v>
      </c>
      <c r="D554" s="139" t="s">
        <v>179</v>
      </c>
      <c r="E554" s="146" t="s">
        <v>180</v>
      </c>
      <c r="F554" t="s">
        <v>181</v>
      </c>
      <c r="G554" s="3">
        <v>259</v>
      </c>
      <c r="H554"/>
      <c r="I554" s="82">
        <v>44480</v>
      </c>
      <c r="J554" s="17" t="s">
        <v>142</v>
      </c>
      <c r="K554" s="17" t="s">
        <v>235</v>
      </c>
      <c r="L554" s="17"/>
      <c r="M554" s="17">
        <v>270</v>
      </c>
      <c r="N554" s="17">
        <v>269.39999999999998</v>
      </c>
      <c r="O554" s="17">
        <v>190.68</v>
      </c>
      <c r="P554" s="17">
        <v>197.54</v>
      </c>
      <c r="Q554" s="17">
        <v>41.61</v>
      </c>
      <c r="R554" s="17">
        <v>24.04</v>
      </c>
      <c r="S554" s="17">
        <v>131.49</v>
      </c>
      <c r="T554" s="17">
        <v>105.27</v>
      </c>
      <c r="U554" s="50">
        <v>60.03</v>
      </c>
      <c r="V554" s="50">
        <v>44.5</v>
      </c>
      <c r="W554" s="50">
        <v>66</v>
      </c>
      <c r="X554" s="50">
        <v>84.17</v>
      </c>
      <c r="Y554" s="50">
        <v>39.270000000000003</v>
      </c>
      <c r="Z554" s="50">
        <v>95.37</v>
      </c>
      <c r="AA554" s="50">
        <v>80.59</v>
      </c>
      <c r="AB554" s="50">
        <v>68.55</v>
      </c>
      <c r="AC554" s="50">
        <v>10.08</v>
      </c>
      <c r="AD554" s="50">
        <v>51.95</v>
      </c>
      <c r="AE554" s="17">
        <v>35.28</v>
      </c>
      <c r="AF554" s="17">
        <v>31.84</v>
      </c>
      <c r="AG554" s="17">
        <v>36.450000000000003</v>
      </c>
      <c r="AH554" s="17">
        <v>40.729999999999997</v>
      </c>
      <c r="AI554" s="17">
        <v>1.149</v>
      </c>
      <c r="AJ554" s="17">
        <v>43.2</v>
      </c>
      <c r="AK554" s="17"/>
      <c r="AL554" s="17"/>
      <c r="AM554" s="17"/>
      <c r="AN554" s="17">
        <v>153</v>
      </c>
      <c r="AO554" s="17"/>
      <c r="AP554" s="17"/>
      <c r="AQ554" s="17"/>
      <c r="AR554" s="17"/>
      <c r="AS554" s="17"/>
    </row>
    <row r="555" spans="1:47" x14ac:dyDescent="0.2">
      <c r="A555" s="115">
        <v>553.99999999999852</v>
      </c>
      <c r="B555" s="3" t="s">
        <v>374</v>
      </c>
      <c r="C555" s="3">
        <v>21.553999999999998</v>
      </c>
      <c r="D555" s="139" t="s">
        <v>179</v>
      </c>
      <c r="E555" s="146" t="s">
        <v>180</v>
      </c>
      <c r="F555" t="s">
        <v>181</v>
      </c>
      <c r="G555"/>
      <c r="H555" s="3" t="s">
        <v>182</v>
      </c>
      <c r="I555" s="82">
        <v>44486</v>
      </c>
      <c r="J555" s="17" t="s">
        <v>142</v>
      </c>
      <c r="K555" s="17" t="s">
        <v>203</v>
      </c>
      <c r="L555" s="17"/>
      <c r="M555" s="17">
        <v>230</v>
      </c>
      <c r="N555" s="17">
        <v>232.12</v>
      </c>
      <c r="O555" s="17">
        <v>195</v>
      </c>
      <c r="P555" s="17">
        <v>206.67</v>
      </c>
      <c r="Q555" s="17">
        <v>50.72</v>
      </c>
      <c r="R555" s="17">
        <v>22.37</v>
      </c>
      <c r="S555" s="17">
        <v>128.38999999999999</v>
      </c>
      <c r="T555" s="17">
        <v>103.66</v>
      </c>
      <c r="U555" s="50">
        <v>59.14</v>
      </c>
      <c r="V555" s="50">
        <v>42.31</v>
      </c>
      <c r="W555" s="50">
        <v>65.94</v>
      </c>
      <c r="X555" s="50">
        <v>84.9</v>
      </c>
      <c r="Y555" s="50">
        <v>38.380000000000003</v>
      </c>
      <c r="Z555" s="50">
        <v>93.84</v>
      </c>
      <c r="AA555" s="50">
        <v>71.25</v>
      </c>
      <c r="AB555" s="50">
        <v>66.849999999999994</v>
      </c>
      <c r="AC555" s="50">
        <v>11.67</v>
      </c>
      <c r="AD555" s="50">
        <v>49.33</v>
      </c>
      <c r="AE555" s="17">
        <v>31.44</v>
      </c>
      <c r="AF555" s="17">
        <v>32.659999999999997</v>
      </c>
      <c r="AG555" s="17">
        <v>31.95</v>
      </c>
      <c r="AH555" s="17">
        <v>43.37</v>
      </c>
      <c r="AI555" s="17">
        <v>1.5049999999999999</v>
      </c>
      <c r="AJ555" s="17"/>
      <c r="AK555" s="17"/>
      <c r="AL555" s="17">
        <v>23</v>
      </c>
      <c r="AM555" s="17"/>
      <c r="AN555" s="17"/>
      <c r="AO555" s="17"/>
      <c r="AP555" s="17"/>
      <c r="AQ555" s="17"/>
      <c r="AR555" s="17"/>
      <c r="AS555" s="17"/>
    </row>
    <row r="556" spans="1:47" x14ac:dyDescent="0.2">
      <c r="A556" s="115">
        <v>554.99999999999977</v>
      </c>
      <c r="B556" s="3" t="s">
        <v>377</v>
      </c>
      <c r="C556" s="3">
        <v>21.555</v>
      </c>
      <c r="D556" s="139" t="s">
        <v>179</v>
      </c>
      <c r="E556" s="146" t="s">
        <v>180</v>
      </c>
      <c r="F556" t="s">
        <v>181</v>
      </c>
      <c r="G556" s="3">
        <v>259</v>
      </c>
      <c r="H556"/>
      <c r="I556" s="82">
        <v>44473</v>
      </c>
      <c r="J556" s="17" t="s">
        <v>142</v>
      </c>
      <c r="K556" s="17" t="s">
        <v>235</v>
      </c>
      <c r="L556" s="17"/>
      <c r="M556" s="17">
        <v>250</v>
      </c>
      <c r="N556" s="17">
        <v>256.85000000000002</v>
      </c>
      <c r="O556" s="17">
        <v>183.79</v>
      </c>
      <c r="P556" s="17">
        <v>195.27</v>
      </c>
      <c r="Q556" s="17">
        <v>43.79</v>
      </c>
      <c r="R556" s="17">
        <v>19.46</v>
      </c>
      <c r="S556" s="17">
        <v>126.66</v>
      </c>
      <c r="T556" s="17">
        <v>103.01</v>
      </c>
      <c r="U556" s="50">
        <v>57.98</v>
      </c>
      <c r="V556" s="50">
        <v>44.57</v>
      </c>
      <c r="W556" s="50">
        <v>66.739999999999995</v>
      </c>
      <c r="X556" s="50">
        <v>81.36</v>
      </c>
      <c r="Y556" s="50">
        <v>38.369999999999997</v>
      </c>
      <c r="Z556" s="50">
        <v>94.38</v>
      </c>
      <c r="AA556" s="50">
        <v>80.2</v>
      </c>
      <c r="AB556" s="50">
        <v>70.599999999999994</v>
      </c>
      <c r="AC556" s="50">
        <v>7.85</v>
      </c>
      <c r="AD556" s="50">
        <v>50.7</v>
      </c>
      <c r="AE556" s="17">
        <v>28.86</v>
      </c>
      <c r="AF556" s="17">
        <v>30.43</v>
      </c>
      <c r="AG556" s="17">
        <v>36.700000000000003</v>
      </c>
      <c r="AH556" s="17">
        <v>45.28</v>
      </c>
      <c r="AI556" s="17">
        <v>0.996</v>
      </c>
      <c r="AJ556" s="17">
        <v>33.89</v>
      </c>
      <c r="AK556" s="17"/>
      <c r="AL556" s="17"/>
      <c r="AM556" s="17"/>
      <c r="AN556" s="17">
        <v>118</v>
      </c>
      <c r="AO556" s="17"/>
      <c r="AP556" s="17"/>
      <c r="AQ556" s="17"/>
      <c r="AR556" s="17"/>
      <c r="AS556" s="17"/>
    </row>
    <row r="557" spans="1:47" x14ac:dyDescent="0.2">
      <c r="A557" s="115">
        <v>556.00000000000091</v>
      </c>
      <c r="B557" s="3" t="s">
        <v>357</v>
      </c>
      <c r="C557" s="3">
        <v>21.556000000000001</v>
      </c>
      <c r="D557" s="139" t="s">
        <v>179</v>
      </c>
      <c r="E557" s="146" t="s">
        <v>180</v>
      </c>
      <c r="F557" t="s">
        <v>181</v>
      </c>
      <c r="G557"/>
      <c r="H557" s="3" t="s">
        <v>268</v>
      </c>
      <c r="I557" s="82">
        <v>44473</v>
      </c>
      <c r="J557" s="17" t="s">
        <v>142</v>
      </c>
      <c r="K557" s="17" t="s">
        <v>235</v>
      </c>
      <c r="L557" s="17"/>
      <c r="M557" s="17">
        <v>265</v>
      </c>
      <c r="N557" s="17">
        <v>274.22000000000003</v>
      </c>
      <c r="O557" s="17">
        <v>194.52</v>
      </c>
      <c r="P557" s="17">
        <v>202.68</v>
      </c>
      <c r="Q557" s="17">
        <v>42.53</v>
      </c>
      <c r="R557" s="17">
        <v>24.82</v>
      </c>
      <c r="S557" s="17">
        <v>130.85</v>
      </c>
      <c r="T557" s="17">
        <v>105.03</v>
      </c>
      <c r="U557" s="50">
        <v>59.61</v>
      </c>
      <c r="V557" s="50">
        <v>46.4</v>
      </c>
      <c r="W557" s="50">
        <v>69.45</v>
      </c>
      <c r="X557" s="50">
        <v>84.71</v>
      </c>
      <c r="Y557" s="50">
        <v>35.82</v>
      </c>
      <c r="Z557" s="50">
        <v>95.49</v>
      </c>
      <c r="AA557" s="50">
        <v>82.8</v>
      </c>
      <c r="AB557" s="50">
        <v>73.13</v>
      </c>
      <c r="AC557" s="50">
        <v>10.34</v>
      </c>
      <c r="AD557" s="50">
        <v>52.59</v>
      </c>
      <c r="AE557" s="17">
        <v>35.07</v>
      </c>
      <c r="AF557" s="17">
        <v>36.31</v>
      </c>
      <c r="AG557" s="17">
        <v>44.35</v>
      </c>
      <c r="AH557" s="17">
        <v>42.28</v>
      </c>
      <c r="AI557" s="17">
        <v>1.147</v>
      </c>
      <c r="AJ557" s="17">
        <v>33.93</v>
      </c>
      <c r="AK557" s="17"/>
      <c r="AL557" s="17"/>
      <c r="AM557" s="17"/>
      <c r="AN557" s="17">
        <v>136</v>
      </c>
      <c r="AO557" s="17"/>
      <c r="AP557" s="17"/>
      <c r="AQ557" s="17"/>
      <c r="AR557" s="17"/>
      <c r="AS557" s="17"/>
    </row>
    <row r="558" spans="1:47" x14ac:dyDescent="0.2">
      <c r="A558" s="115">
        <v>556.99999999999864</v>
      </c>
      <c r="B558" s="3" t="s">
        <v>664</v>
      </c>
      <c r="C558" s="3">
        <v>21.556999999999999</v>
      </c>
      <c r="D558" s="131" t="s">
        <v>151</v>
      </c>
      <c r="E558" s="146" t="s">
        <v>152</v>
      </c>
      <c r="F558" t="s">
        <v>227</v>
      </c>
      <c r="G558"/>
      <c r="H558" s="3" t="s">
        <v>89</v>
      </c>
      <c r="I558" s="82">
        <v>44514</v>
      </c>
      <c r="J558" s="3" t="s">
        <v>142</v>
      </c>
      <c r="K558" s="3" t="s">
        <v>203</v>
      </c>
      <c r="N558" s="3">
        <v>238.6</v>
      </c>
      <c r="O558" s="3">
        <v>176.99</v>
      </c>
      <c r="P558" s="3">
        <v>182</v>
      </c>
      <c r="Q558" s="3">
        <v>39.880000000000003</v>
      </c>
      <c r="R558" s="3">
        <v>17.89</v>
      </c>
      <c r="S558" s="3">
        <v>119.3</v>
      </c>
      <c r="T558" s="3">
        <v>95.84</v>
      </c>
      <c r="U558" s="6">
        <v>60.25</v>
      </c>
      <c r="V558" s="6">
        <v>47.45</v>
      </c>
      <c r="W558" s="6">
        <v>69</v>
      </c>
      <c r="X558" s="6">
        <v>96.95</v>
      </c>
      <c r="Y558" s="6">
        <v>38.1</v>
      </c>
      <c r="Z558" s="6">
        <v>105.43</v>
      </c>
      <c r="AA558" s="6">
        <v>85.01</v>
      </c>
      <c r="AB558" s="6">
        <v>77.81</v>
      </c>
      <c r="AC558" s="6">
        <v>13.28</v>
      </c>
      <c r="AD558" s="6">
        <v>49.01</v>
      </c>
      <c r="AE558" s="3">
        <v>29.61</v>
      </c>
      <c r="AF558" s="3">
        <v>33.11</v>
      </c>
      <c r="AG558" s="3">
        <v>36.659999999999997</v>
      </c>
      <c r="AH558" s="3">
        <v>41.27</v>
      </c>
      <c r="AI558" s="3">
        <v>1.58</v>
      </c>
      <c r="AL558" s="3">
        <v>5</v>
      </c>
      <c r="AO558" s="3">
        <f>19.2-3.2</f>
        <v>16</v>
      </c>
      <c r="AP558" s="3">
        <f>131.1-11.8</f>
        <v>119.3</v>
      </c>
      <c r="AQ558" s="3">
        <f>43.7-10.9</f>
        <v>32.800000000000004</v>
      </c>
      <c r="AR558" s="3">
        <v>55.7</v>
      </c>
      <c r="AS558" s="3">
        <v>24.2</v>
      </c>
      <c r="AT558" s="3" t="s">
        <v>665</v>
      </c>
      <c r="AU558" s="3"/>
    </row>
    <row r="559" spans="1:47" x14ac:dyDescent="0.2">
      <c r="A559" s="115">
        <v>557.99999999999977</v>
      </c>
      <c r="B559" s="3" t="s">
        <v>666</v>
      </c>
      <c r="C559" s="3">
        <v>21.558</v>
      </c>
      <c r="D559" s="131" t="s">
        <v>151</v>
      </c>
      <c r="E559" t="s">
        <v>162</v>
      </c>
      <c r="F559" s="3" t="s">
        <v>88</v>
      </c>
      <c r="G559" s="3" t="s">
        <v>88</v>
      </c>
      <c r="H559"/>
      <c r="I559" s="82">
        <v>44508</v>
      </c>
      <c r="J559" s="3" t="s">
        <v>142</v>
      </c>
      <c r="K559" s="3" t="s">
        <v>203</v>
      </c>
      <c r="N559" s="3">
        <v>241.1</v>
      </c>
      <c r="O559" s="3">
        <v>178.84</v>
      </c>
      <c r="P559" s="3">
        <v>194.37</v>
      </c>
      <c r="Q559" s="3">
        <v>41.47</v>
      </c>
      <c r="R559" s="3">
        <v>20.18</v>
      </c>
      <c r="S559" s="3">
        <v>122</v>
      </c>
      <c r="T559" s="3">
        <v>94.53</v>
      </c>
      <c r="U559" s="6">
        <v>65.290000000000006</v>
      </c>
      <c r="V559" s="6">
        <v>49.42</v>
      </c>
      <c r="W559" s="6">
        <v>73.78</v>
      </c>
      <c r="X559" s="6">
        <v>93.42</v>
      </c>
      <c r="Y559" s="6">
        <v>39.97</v>
      </c>
      <c r="Z559" s="6">
        <v>104.81</v>
      </c>
      <c r="AA559" s="6">
        <v>81.94</v>
      </c>
      <c r="AB559" s="6">
        <v>84.48</v>
      </c>
      <c r="AC559" s="6">
        <v>14.65</v>
      </c>
      <c r="AD559" s="6">
        <v>45.47</v>
      </c>
      <c r="AE559" s="3">
        <v>30.95</v>
      </c>
      <c r="AF559" s="3">
        <v>33.35</v>
      </c>
      <c r="AG559" s="3">
        <v>36.11</v>
      </c>
      <c r="AH559" s="3">
        <v>43.25</v>
      </c>
      <c r="AI559" s="3">
        <v>1.5349999999999999</v>
      </c>
      <c r="AL559" s="3">
        <v>8</v>
      </c>
      <c r="AO559" s="3">
        <f>17.5-3.2</f>
        <v>14.3</v>
      </c>
      <c r="AP559" s="3">
        <f>125.4-11.6</f>
        <v>113.80000000000001</v>
      </c>
      <c r="AQ559" s="3">
        <f>51.8-11.5</f>
        <v>40.299999999999997</v>
      </c>
      <c r="AR559" s="3">
        <v>59.7</v>
      </c>
      <c r="AS559" s="3">
        <v>25.3</v>
      </c>
      <c r="AT559" s="3" t="s">
        <v>665</v>
      </c>
      <c r="AU559" s="3"/>
    </row>
    <row r="560" spans="1:47" x14ac:dyDescent="0.2">
      <c r="A560" s="115">
        <v>559.00000000000102</v>
      </c>
      <c r="B560" s="3" t="s">
        <v>667</v>
      </c>
      <c r="C560" s="3">
        <v>21.559000000000001</v>
      </c>
      <c r="D560" s="131" t="s">
        <v>151</v>
      </c>
      <c r="E560" s="146" t="s">
        <v>152</v>
      </c>
      <c r="F560" t="s">
        <v>227</v>
      </c>
      <c r="G560"/>
      <c r="H560" s="3" t="s">
        <v>89</v>
      </c>
      <c r="I560" s="149">
        <v>44505</v>
      </c>
      <c r="J560" s="3" t="s">
        <v>142</v>
      </c>
      <c r="K560" s="3" t="s">
        <v>203</v>
      </c>
      <c r="O560" s="3">
        <v>182.61</v>
      </c>
      <c r="P560" s="3">
        <v>185.59</v>
      </c>
      <c r="Q560" s="3">
        <v>38.909999999999997</v>
      </c>
      <c r="R560" s="3">
        <v>19.11</v>
      </c>
      <c r="S560" s="3">
        <v>128.5</v>
      </c>
      <c r="T560" s="3">
        <v>101.02</v>
      </c>
      <c r="U560" s="6">
        <v>61.22</v>
      </c>
      <c r="V560" s="6">
        <v>47.54</v>
      </c>
      <c r="W560" s="6">
        <v>66.87</v>
      </c>
      <c r="X560" s="6">
        <v>91.46</v>
      </c>
      <c r="Y560" s="6">
        <v>38.229999999999997</v>
      </c>
      <c r="Z560" s="6">
        <v>99.47</v>
      </c>
      <c r="AA560" s="6">
        <v>79.87</v>
      </c>
      <c r="AB560" s="6">
        <v>76.69</v>
      </c>
      <c r="AC560" s="6">
        <v>15.21</v>
      </c>
      <c r="AD560" s="6">
        <v>50.95</v>
      </c>
      <c r="AE560" s="3">
        <v>34.5</v>
      </c>
      <c r="AF560" s="3">
        <v>32.43</v>
      </c>
      <c r="AG560" s="3">
        <v>39.47</v>
      </c>
      <c r="AH560" s="3">
        <v>38.82</v>
      </c>
      <c r="AI560" s="3">
        <v>1.502</v>
      </c>
      <c r="AL560" s="3">
        <v>5</v>
      </c>
      <c r="AO560" s="3">
        <f>20.4-3.2</f>
        <v>17.2</v>
      </c>
      <c r="AP560" s="3">
        <f>123.1-13.1</f>
        <v>110</v>
      </c>
      <c r="AQ560" s="3">
        <f>59-10.8</f>
        <v>48.2</v>
      </c>
      <c r="AR560" s="3">
        <v>56.3</v>
      </c>
      <c r="AS560" s="3">
        <v>24</v>
      </c>
      <c r="AT560" s="3" t="s">
        <v>665</v>
      </c>
      <c r="AU560" s="3"/>
    </row>
    <row r="561" spans="1:47" x14ac:dyDescent="0.2">
      <c r="A561" s="115">
        <v>559.99999999999875</v>
      </c>
      <c r="B561" s="3" t="s">
        <v>341</v>
      </c>
      <c r="C561" s="12" t="s">
        <v>668</v>
      </c>
      <c r="D561" s="139" t="s">
        <v>179</v>
      </c>
      <c r="E561" t="s">
        <v>180</v>
      </c>
      <c r="F561" t="s">
        <v>181</v>
      </c>
      <c r="G561"/>
      <c r="H561" s="3" t="s">
        <v>182</v>
      </c>
      <c r="I561" s="127">
        <v>44500</v>
      </c>
      <c r="J561" s="17" t="s">
        <v>142</v>
      </c>
      <c r="K561" s="17" t="s">
        <v>203</v>
      </c>
      <c r="L561" s="17"/>
      <c r="M561" s="17">
        <v>225</v>
      </c>
      <c r="N561" s="17">
        <v>228.8</v>
      </c>
      <c r="O561" s="17">
        <v>192.53</v>
      </c>
      <c r="P561" s="17">
        <v>200.86</v>
      </c>
      <c r="Q561" s="17">
        <v>54.58</v>
      </c>
      <c r="R561" s="17">
        <v>22.03</v>
      </c>
      <c r="S561" s="17">
        <v>121.05</v>
      </c>
      <c r="T561" s="17">
        <v>96.44</v>
      </c>
      <c r="U561" s="50">
        <v>60.27</v>
      </c>
      <c r="V561" s="50">
        <v>46.12</v>
      </c>
      <c r="W561" s="50">
        <v>68.69</v>
      </c>
      <c r="X561" s="50">
        <v>84.46</v>
      </c>
      <c r="Y561" s="50">
        <v>40.479999999999997</v>
      </c>
      <c r="Z561" s="50">
        <v>94.18</v>
      </c>
      <c r="AA561" s="50">
        <v>74.39</v>
      </c>
      <c r="AB561" s="50">
        <v>64.83</v>
      </c>
      <c r="AC561" s="50">
        <v>12.72</v>
      </c>
      <c r="AD561" s="50">
        <v>49.77</v>
      </c>
      <c r="AE561" s="17">
        <v>22.38</v>
      </c>
      <c r="AF561" s="17">
        <v>27.48</v>
      </c>
      <c r="AG561" s="17">
        <v>36.17</v>
      </c>
      <c r="AH561" s="17">
        <v>49.48</v>
      </c>
      <c r="AI561" s="17">
        <v>1.4039999999999999</v>
      </c>
      <c r="AJ561" s="17"/>
      <c r="AK561" s="17"/>
      <c r="AL561" s="17">
        <v>23</v>
      </c>
      <c r="AM561" s="17"/>
      <c r="AN561" s="17"/>
      <c r="AO561" s="17">
        <f>20.4-3.3</f>
        <v>17.099999999999998</v>
      </c>
      <c r="AP561" s="17">
        <f>112-12.8</f>
        <v>99.2</v>
      </c>
      <c r="AQ561" s="17">
        <f>40-10.7</f>
        <v>29.3</v>
      </c>
      <c r="AR561" s="17">
        <v>51.2</v>
      </c>
      <c r="AS561" s="17">
        <v>22.1</v>
      </c>
      <c r="AT561" s="3" t="s">
        <v>665</v>
      </c>
      <c r="AU561" s="3"/>
    </row>
    <row r="562" spans="1:47" x14ac:dyDescent="0.2">
      <c r="A562" s="115">
        <v>561</v>
      </c>
      <c r="B562" s="3" t="s">
        <v>259</v>
      </c>
      <c r="C562" s="3">
        <v>21.561</v>
      </c>
      <c r="D562" s="139" t="s">
        <v>179</v>
      </c>
      <c r="E562" t="s">
        <v>180</v>
      </c>
      <c r="F562" t="s">
        <v>181</v>
      </c>
      <c r="G562"/>
      <c r="H562" s="3" t="s">
        <v>182</v>
      </c>
      <c r="I562" s="82">
        <v>44424</v>
      </c>
      <c r="J562" s="16" t="s">
        <v>142</v>
      </c>
      <c r="K562" s="17" t="s">
        <v>203</v>
      </c>
      <c r="L562"/>
      <c r="M562" s="17">
        <v>235</v>
      </c>
      <c r="N562" s="17">
        <v>235.9</v>
      </c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 s="17">
        <v>1.6519999999999999</v>
      </c>
      <c r="AJ562"/>
      <c r="AK562"/>
      <c r="AL562" s="17">
        <v>34</v>
      </c>
      <c r="AM562"/>
      <c r="AN562"/>
      <c r="AO562">
        <f>24.4-3.3</f>
        <v>21.099999999999998</v>
      </c>
      <c r="AP562">
        <f>115.3-12.9</f>
        <v>102.39999999999999</v>
      </c>
      <c r="AQ562">
        <f>27.5-12.2</f>
        <v>15.3</v>
      </c>
      <c r="AR562" s="17">
        <v>60.6</v>
      </c>
      <c r="AS562" s="17">
        <v>25.1</v>
      </c>
      <c r="AT562" s="3" t="s">
        <v>669</v>
      </c>
      <c r="AU562" s="3"/>
    </row>
    <row r="563" spans="1:47" x14ac:dyDescent="0.2">
      <c r="A563" s="115">
        <v>561</v>
      </c>
      <c r="B563" s="3" t="s">
        <v>670</v>
      </c>
      <c r="C563" s="3">
        <v>21.561</v>
      </c>
      <c r="D563" s="129" t="s">
        <v>140</v>
      </c>
      <c r="E563" t="s">
        <v>141</v>
      </c>
      <c r="F563" s="3" t="s">
        <v>62</v>
      </c>
      <c r="G563"/>
      <c r="H563" s="3" t="s">
        <v>62</v>
      </c>
      <c r="I563" s="82">
        <v>44298</v>
      </c>
      <c r="J563" s="17" t="s">
        <v>142</v>
      </c>
      <c r="K563" s="17" t="s">
        <v>203</v>
      </c>
      <c r="L563" s="17"/>
      <c r="M563" s="17">
        <v>212.7</v>
      </c>
      <c r="N563" s="17">
        <v>69.349999999999994</v>
      </c>
      <c r="O563" s="17">
        <v>178.98</v>
      </c>
      <c r="P563" s="17">
        <v>204.11</v>
      </c>
      <c r="Q563" s="17">
        <v>45.68</v>
      </c>
      <c r="R563" s="17">
        <v>27.55</v>
      </c>
      <c r="S563" s="17">
        <v>123.67</v>
      </c>
      <c r="T563" s="17">
        <v>99.37</v>
      </c>
      <c r="U563" s="50">
        <v>71.569999999999993</v>
      </c>
      <c r="V563" s="50">
        <v>55.87</v>
      </c>
      <c r="W563" s="50">
        <v>76.33</v>
      </c>
      <c r="X563" s="50">
        <v>90.83</v>
      </c>
      <c r="Y563" s="50">
        <v>42.36</v>
      </c>
      <c r="Z563" s="50">
        <v>103.53</v>
      </c>
      <c r="AA563" s="50">
        <v>78.819999999999993</v>
      </c>
      <c r="AB563" s="50">
        <v>77.91</v>
      </c>
      <c r="AC563" s="50">
        <v>19.05</v>
      </c>
      <c r="AD563" s="50">
        <v>43.31</v>
      </c>
      <c r="AE563" s="17">
        <v>31.28</v>
      </c>
      <c r="AF563" s="17">
        <v>39.07</v>
      </c>
      <c r="AG563" s="17">
        <v>42</v>
      </c>
      <c r="AH563" s="17">
        <v>48.32</v>
      </c>
      <c r="AI563" s="17">
        <v>1.544</v>
      </c>
      <c r="AJ563" s="17"/>
      <c r="AK563" s="17"/>
      <c r="AL563" s="17"/>
      <c r="AM563" s="17"/>
      <c r="AN563" s="17"/>
      <c r="AO563" s="17">
        <v>13.43</v>
      </c>
      <c r="AP563" s="17">
        <v>10.19</v>
      </c>
      <c r="AQ563" s="17"/>
      <c r="AR563" s="17">
        <v>43.43</v>
      </c>
      <c r="AS563" s="17">
        <v>17.72</v>
      </c>
      <c r="AT563" s="3"/>
      <c r="AU563" s="3"/>
    </row>
    <row r="564" spans="1:47" x14ac:dyDescent="0.2">
      <c r="A564" s="115">
        <v>562.00000000000114</v>
      </c>
      <c r="B564" s="3">
        <v>179</v>
      </c>
      <c r="C564" s="3">
        <v>21.562000000000001</v>
      </c>
      <c r="D564" s="129" t="s">
        <v>140</v>
      </c>
      <c r="E564" t="s">
        <v>141</v>
      </c>
      <c r="F564" s="3" t="s">
        <v>61</v>
      </c>
      <c r="G564"/>
      <c r="H564" s="3" t="s">
        <v>61</v>
      </c>
      <c r="I564" s="82">
        <v>44519</v>
      </c>
      <c r="J564" s="17" t="s">
        <v>142</v>
      </c>
      <c r="K564" s="17" t="s">
        <v>203</v>
      </c>
      <c r="L564" s="17"/>
      <c r="M564">
        <v>192</v>
      </c>
      <c r="N564" s="17">
        <v>189.9</v>
      </c>
      <c r="O564" s="17">
        <v>180.03</v>
      </c>
      <c r="P564" s="17">
        <v>192.42</v>
      </c>
      <c r="Q564" s="17">
        <v>41.92</v>
      </c>
      <c r="R564" s="17">
        <v>27.54</v>
      </c>
      <c r="S564" s="17">
        <v>122.6</v>
      </c>
      <c r="T564" s="17">
        <v>97.69</v>
      </c>
      <c r="U564" s="50">
        <v>57.47</v>
      </c>
      <c r="V564" s="50">
        <v>40.24</v>
      </c>
      <c r="W564" s="50">
        <v>69.58</v>
      </c>
      <c r="X564" s="50">
        <v>83.46</v>
      </c>
      <c r="Y564" s="50">
        <v>32.82</v>
      </c>
      <c r="Z564" s="50">
        <v>92.49</v>
      </c>
      <c r="AA564" s="50">
        <v>72.599999999999994</v>
      </c>
      <c r="AB564" s="50">
        <v>63</v>
      </c>
      <c r="AC564" s="50">
        <v>13.78</v>
      </c>
      <c r="AD564" s="50">
        <v>43.31</v>
      </c>
      <c r="AE564" s="17">
        <v>41.62</v>
      </c>
      <c r="AF564" s="17">
        <v>39.4</v>
      </c>
      <c r="AG564" s="17">
        <v>33.04</v>
      </c>
      <c r="AH564" s="17">
        <v>34.28</v>
      </c>
      <c r="AI564" s="17">
        <v>1.294</v>
      </c>
      <c r="AJ564" s="17"/>
      <c r="AK564" s="17"/>
      <c r="AL564" s="17"/>
      <c r="AM564" s="17"/>
      <c r="AN564" s="17"/>
      <c r="AO564" s="17">
        <f>14.5-3.4</f>
        <v>11.1</v>
      </c>
      <c r="AP564" s="17">
        <f>100.1-14.3</f>
        <v>85.8</v>
      </c>
      <c r="AQ564" s="17">
        <f>54.1-10.7</f>
        <v>43.400000000000006</v>
      </c>
      <c r="AR564" s="17">
        <v>39.9</v>
      </c>
      <c r="AS564" s="17">
        <v>17.8</v>
      </c>
      <c r="AT564" s="3" t="s">
        <v>671</v>
      </c>
      <c r="AU564" s="3"/>
    </row>
    <row r="565" spans="1:47" x14ac:dyDescent="0.2">
      <c r="A565" s="115">
        <v>562.99999999999886</v>
      </c>
      <c r="B565" s="3">
        <v>182</v>
      </c>
      <c r="C565" s="3">
        <v>21.562999999999999</v>
      </c>
      <c r="D565" s="129" t="s">
        <v>140</v>
      </c>
      <c r="E565" t="s">
        <v>141</v>
      </c>
      <c r="F565" s="3" t="s">
        <v>60</v>
      </c>
      <c r="G565"/>
      <c r="H565" s="3" t="s">
        <v>60</v>
      </c>
      <c r="I565" s="82">
        <v>44525</v>
      </c>
      <c r="J565" s="17" t="s">
        <v>142</v>
      </c>
      <c r="K565" s="17" t="s">
        <v>203</v>
      </c>
      <c r="L565" s="17"/>
      <c r="M565">
        <v>223.1</v>
      </c>
      <c r="N565" s="17">
        <v>220</v>
      </c>
      <c r="O565" s="17">
        <v>168.81</v>
      </c>
      <c r="P565" s="17">
        <v>179.94</v>
      </c>
      <c r="Q565" s="17">
        <v>31.99</v>
      </c>
      <c r="R565" s="17">
        <v>23.52</v>
      </c>
      <c r="S565" s="17">
        <v>118.14</v>
      </c>
      <c r="T565" s="17">
        <v>98.66</v>
      </c>
      <c r="U565" s="50">
        <v>65.650000000000006</v>
      </c>
      <c r="V565" s="50">
        <v>47.53</v>
      </c>
      <c r="W565" s="50">
        <v>74.94</v>
      </c>
      <c r="X565" s="50">
        <v>91.63</v>
      </c>
      <c r="Y565" s="50">
        <v>42.13</v>
      </c>
      <c r="Z565" s="50">
        <v>97.69</v>
      </c>
      <c r="AA565" s="50">
        <v>77.3</v>
      </c>
      <c r="AB565" s="50">
        <v>76.459999999999994</v>
      </c>
      <c r="AC565" s="50">
        <v>10.199999999999999</v>
      </c>
      <c r="AD565" s="50">
        <v>48.2</v>
      </c>
      <c r="AE565" s="17">
        <v>25.65</v>
      </c>
      <c r="AF565" s="17">
        <v>28.24</v>
      </c>
      <c r="AG565" s="17">
        <v>36.86</v>
      </c>
      <c r="AH565" s="17">
        <v>40.479999999999997</v>
      </c>
      <c r="AI565" s="17">
        <v>1.694</v>
      </c>
      <c r="AJ565" s="17"/>
      <c r="AK565" s="17"/>
      <c r="AL565" s="17">
        <v>27</v>
      </c>
      <c r="AM565" s="17"/>
      <c r="AN565" s="17"/>
      <c r="AO565" s="17">
        <f>15.7-3.2</f>
        <v>12.5</v>
      </c>
      <c r="AP565" s="17">
        <f>94.6-10.6</f>
        <v>84</v>
      </c>
      <c r="AQ565" s="17">
        <f>48.8-10.8</f>
        <v>38</v>
      </c>
      <c r="AR565" s="17">
        <v>53.3</v>
      </c>
      <c r="AS565" s="17">
        <v>22.8</v>
      </c>
      <c r="AT565" s="3" t="s">
        <v>147</v>
      </c>
      <c r="AU565" s="3"/>
    </row>
    <row r="566" spans="1:47" x14ac:dyDescent="0.2">
      <c r="A566" s="115">
        <v>564</v>
      </c>
      <c r="B566" s="3">
        <v>187</v>
      </c>
      <c r="C566" s="3">
        <v>21.564</v>
      </c>
      <c r="D566" s="129" t="s">
        <v>140</v>
      </c>
      <c r="E566" t="s">
        <v>141</v>
      </c>
      <c r="F566" s="3" t="s">
        <v>60</v>
      </c>
      <c r="G566"/>
      <c r="H566" s="3" t="s">
        <v>60</v>
      </c>
      <c r="I566" s="82">
        <v>44527</v>
      </c>
      <c r="J566" s="17" t="s">
        <v>142</v>
      </c>
      <c r="K566" s="17" t="s">
        <v>203</v>
      </c>
      <c r="L566" s="17"/>
      <c r="M566">
        <v>227.7</v>
      </c>
      <c r="N566" s="17"/>
      <c r="O566" s="17">
        <v>163.56</v>
      </c>
      <c r="P566" s="17">
        <v>173.04</v>
      </c>
      <c r="Q566" s="17">
        <v>32.6</v>
      </c>
      <c r="R566" s="17">
        <v>18.350000000000001</v>
      </c>
      <c r="S566" s="17">
        <v>116.38</v>
      </c>
      <c r="T566" s="17">
        <v>96.42</v>
      </c>
      <c r="U566" s="50">
        <v>66.59</v>
      </c>
      <c r="V566" s="50">
        <v>48.89</v>
      </c>
      <c r="W566" s="50">
        <v>75.47</v>
      </c>
      <c r="X566" s="50">
        <v>91.1</v>
      </c>
      <c r="Y566" s="50">
        <v>39.090000000000003</v>
      </c>
      <c r="Z566" s="50">
        <v>97.99</v>
      </c>
      <c r="AA566" s="50">
        <v>75.69</v>
      </c>
      <c r="AB566" s="50">
        <v>73.95</v>
      </c>
      <c r="AC566" s="50">
        <v>6.46</v>
      </c>
      <c r="AD566" s="50">
        <v>48.57</v>
      </c>
      <c r="AE566" s="17">
        <v>23.42</v>
      </c>
      <c r="AF566" s="17">
        <v>29.45</v>
      </c>
      <c r="AG566" s="17">
        <v>36.01</v>
      </c>
      <c r="AH566" s="17">
        <v>36.799999999999997</v>
      </c>
      <c r="AI566" s="17">
        <v>1.996</v>
      </c>
      <c r="AJ566" s="17"/>
      <c r="AK566" s="17"/>
      <c r="AL566" s="17">
        <f>5+17+8</f>
        <v>30</v>
      </c>
      <c r="AM566" s="17"/>
      <c r="AN566" s="17"/>
      <c r="AO566" s="17">
        <f>18.1-3.2</f>
        <v>14.900000000000002</v>
      </c>
      <c r="AP566" s="17">
        <f>96.9-12.5</f>
        <v>84.4</v>
      </c>
      <c r="AQ566" s="17">
        <f>44.6-11.2</f>
        <v>33.400000000000006</v>
      </c>
      <c r="AR566" s="17">
        <v>57.2</v>
      </c>
      <c r="AS566" s="17">
        <v>24.6</v>
      </c>
      <c r="AT566" s="3" t="s">
        <v>147</v>
      </c>
      <c r="AU566" s="3"/>
    </row>
    <row r="567" spans="1:47" x14ac:dyDescent="0.2">
      <c r="A567" s="115">
        <v>565.00000000000125</v>
      </c>
      <c r="B567" s="3" t="s">
        <v>283</v>
      </c>
      <c r="C567" s="3">
        <v>21.565000000000001</v>
      </c>
      <c r="D567" s="139" t="s">
        <v>179</v>
      </c>
      <c r="E567" t="s">
        <v>180</v>
      </c>
      <c r="F567" s="3" t="s">
        <v>181</v>
      </c>
      <c r="G567"/>
      <c r="H567" s="3" t="s">
        <v>199</v>
      </c>
      <c r="I567" s="82">
        <v>44432</v>
      </c>
      <c r="J567" s="16" t="s">
        <v>142</v>
      </c>
      <c r="K567" s="17" t="s">
        <v>203</v>
      </c>
      <c r="L567"/>
      <c r="M567" s="17">
        <v>245</v>
      </c>
      <c r="N567" s="17">
        <v>245.5</v>
      </c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 s="17">
        <v>1.61</v>
      </c>
      <c r="AJ567"/>
      <c r="AK567"/>
      <c r="AL567" s="17">
        <v>44</v>
      </c>
      <c r="AM567"/>
      <c r="AN567"/>
      <c r="AO567">
        <f>24.4-3.3</f>
        <v>21.099999999999998</v>
      </c>
      <c r="AP567">
        <f>127.5-13.4</f>
        <v>114.1</v>
      </c>
      <c r="AQ567">
        <f>15.3-10.9</f>
        <v>4.4000000000000004</v>
      </c>
      <c r="AR567" s="17">
        <v>58.4</v>
      </c>
      <c r="AS567" s="17">
        <v>24.2</v>
      </c>
      <c r="AT567" s="3" t="s">
        <v>669</v>
      </c>
      <c r="AU567" s="3"/>
    </row>
    <row r="568" spans="1:47" x14ac:dyDescent="0.2">
      <c r="A568" s="115">
        <v>565.99999999999898</v>
      </c>
      <c r="B568" s="3">
        <v>181</v>
      </c>
      <c r="C568" s="3">
        <v>21.565999999999999</v>
      </c>
      <c r="D568" s="129" t="s">
        <v>140</v>
      </c>
      <c r="E568" t="s">
        <v>141</v>
      </c>
      <c r="F568" s="3" t="s">
        <v>60</v>
      </c>
      <c r="G568"/>
      <c r="H568" s="3" t="s">
        <v>60</v>
      </c>
      <c r="I568" s="82">
        <v>44525</v>
      </c>
      <c r="J568" s="17" t="s">
        <v>142</v>
      </c>
      <c r="K568" s="17" t="s">
        <v>203</v>
      </c>
      <c r="L568" s="17"/>
      <c r="M568">
        <v>222.3</v>
      </c>
      <c r="N568" s="17">
        <v>219.8</v>
      </c>
      <c r="O568" s="17">
        <v>163.96</v>
      </c>
      <c r="P568" s="17">
        <v>177.87</v>
      </c>
      <c r="Q568" s="17">
        <v>32.82</v>
      </c>
      <c r="R568" s="17">
        <v>22.97</v>
      </c>
      <c r="S568" s="17">
        <v>115.48</v>
      </c>
      <c r="T568" s="17">
        <v>67.319999999999993</v>
      </c>
      <c r="U568" s="50">
        <v>65.12</v>
      </c>
      <c r="V568" s="50">
        <v>50.82</v>
      </c>
      <c r="W568" s="50">
        <v>76.3</v>
      </c>
      <c r="X568" s="50">
        <v>88.66</v>
      </c>
      <c r="Y568" s="50">
        <v>39.14</v>
      </c>
      <c r="Z568" s="50">
        <v>100.05</v>
      </c>
      <c r="AA568" s="50">
        <v>79.53</v>
      </c>
      <c r="AB568" s="50">
        <v>79.66</v>
      </c>
      <c r="AC568" s="50">
        <v>10.86</v>
      </c>
      <c r="AD568" s="50">
        <v>47.52</v>
      </c>
      <c r="AE568" s="17">
        <v>26.35</v>
      </c>
      <c r="AF568" s="17">
        <v>28.07</v>
      </c>
      <c r="AG568" s="17">
        <v>35.520000000000003</v>
      </c>
      <c r="AH568" s="17">
        <v>37.880000000000003</v>
      </c>
      <c r="AI568" s="17">
        <v>1.8</v>
      </c>
      <c r="AJ568" s="17"/>
      <c r="AK568" s="17"/>
      <c r="AL568" s="17">
        <v>23</v>
      </c>
      <c r="AM568" s="17"/>
      <c r="AN568" s="17"/>
      <c r="AO568" s="17">
        <f>16.2-3.2</f>
        <v>13</v>
      </c>
      <c r="AP568" s="17">
        <f>97.8-12.3</f>
        <v>85.5</v>
      </c>
      <c r="AQ568" s="17">
        <f>51.7-10.9</f>
        <v>40.800000000000004</v>
      </c>
      <c r="AR568" s="17">
        <v>54.4</v>
      </c>
      <c r="AS568" s="17">
        <v>23.2</v>
      </c>
      <c r="AT568" s="3" t="s">
        <v>147</v>
      </c>
      <c r="AU568" s="3"/>
    </row>
    <row r="569" spans="1:47" x14ac:dyDescent="0.2">
      <c r="A569" s="115">
        <v>567.00000000000023</v>
      </c>
      <c r="B569" s="3" t="s">
        <v>244</v>
      </c>
      <c r="C569" s="3">
        <v>21.567</v>
      </c>
      <c r="D569" s="139" t="s">
        <v>179</v>
      </c>
      <c r="E569" t="s">
        <v>180</v>
      </c>
      <c r="F569" s="3" t="s">
        <v>181</v>
      </c>
      <c r="H569" s="3" t="s">
        <v>268</v>
      </c>
      <c r="I569" s="82">
        <v>44424</v>
      </c>
      <c r="J569" s="16" t="s">
        <v>142</v>
      </c>
      <c r="K569" s="17" t="s">
        <v>203</v>
      </c>
      <c r="L569"/>
      <c r="M569" s="17">
        <v>215</v>
      </c>
      <c r="N569" s="17">
        <v>211</v>
      </c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 s="17">
        <v>1.5409999999999999</v>
      </c>
      <c r="AJ569"/>
      <c r="AK569"/>
      <c r="AL569" s="17">
        <v>16</v>
      </c>
      <c r="AM569"/>
      <c r="AN569"/>
      <c r="AO569">
        <f>20.3-3.3</f>
        <v>17</v>
      </c>
      <c r="AP569">
        <f>96.6-13.7</f>
        <v>82.899999999999991</v>
      </c>
      <c r="AQ569">
        <f>49.4-10.9</f>
        <v>38.5</v>
      </c>
      <c r="AR569" s="17">
        <v>51.6</v>
      </c>
      <c r="AS569" s="17">
        <v>21.8</v>
      </c>
      <c r="AT569" s="3" t="s">
        <v>147</v>
      </c>
      <c r="AU569" s="3"/>
    </row>
    <row r="570" spans="1:47" x14ac:dyDescent="0.2">
      <c r="A570" s="115">
        <v>568.00000000000136</v>
      </c>
      <c r="B570" s="3">
        <v>180</v>
      </c>
      <c r="C570" s="3">
        <v>21.568000000000001</v>
      </c>
      <c r="D570" s="129" t="s">
        <v>140</v>
      </c>
      <c r="E570" t="s">
        <v>141</v>
      </c>
      <c r="F570" s="3" t="s">
        <v>61</v>
      </c>
      <c r="H570" s="3" t="s">
        <v>61</v>
      </c>
      <c r="I570" s="82">
        <v>44522</v>
      </c>
      <c r="J570" s="17" t="s">
        <v>142</v>
      </c>
      <c r="K570" s="17" t="s">
        <v>203</v>
      </c>
      <c r="L570" s="17"/>
      <c r="M570">
        <v>179.5</v>
      </c>
      <c r="N570" s="17">
        <v>177.6</v>
      </c>
      <c r="O570" s="17">
        <v>179.32</v>
      </c>
      <c r="P570" s="17">
        <v>194.4</v>
      </c>
      <c r="Q570" s="17">
        <v>34.450000000000003</v>
      </c>
      <c r="R570" s="17">
        <v>32.979999999999997</v>
      </c>
      <c r="S570" s="17">
        <v>120.63</v>
      </c>
      <c r="T570" s="17">
        <v>99.48</v>
      </c>
      <c r="U570" s="50">
        <v>56.37</v>
      </c>
      <c r="V570" s="50">
        <v>39.51</v>
      </c>
      <c r="W570" s="50">
        <v>67.23</v>
      </c>
      <c r="X570" s="50">
        <v>83.3</v>
      </c>
      <c r="Y570" s="50">
        <v>33.68</v>
      </c>
      <c r="Z570" s="50">
        <v>91.56</v>
      </c>
      <c r="AA570" s="50">
        <v>74.290000000000006</v>
      </c>
      <c r="AB570" s="50">
        <v>64.75</v>
      </c>
      <c r="AC570" s="50">
        <v>13.82</v>
      </c>
      <c r="AD570" s="50">
        <v>43.15</v>
      </c>
      <c r="AE570" s="17">
        <v>40.6</v>
      </c>
      <c r="AF570" s="17">
        <v>43.03</v>
      </c>
      <c r="AG570" s="17">
        <v>32.76</v>
      </c>
      <c r="AH570" s="17">
        <v>36.119999999999997</v>
      </c>
      <c r="AI570" s="17">
        <v>1.3440000000000001</v>
      </c>
      <c r="AJ570" s="17"/>
      <c r="AK570" s="17"/>
      <c r="AL570" s="17"/>
      <c r="AM570" s="17"/>
      <c r="AN570" s="17"/>
      <c r="AO570" s="17">
        <f>11.7-3.2</f>
        <v>8.5</v>
      </c>
      <c r="AP570" s="17">
        <f>89.1-12.1</f>
        <v>77</v>
      </c>
      <c r="AQ570" s="17">
        <f>62.5-11.6</f>
        <v>50.9</v>
      </c>
      <c r="AR570" s="17">
        <v>36.4</v>
      </c>
      <c r="AS570" s="17">
        <v>15.8</v>
      </c>
      <c r="AT570" s="3" t="s">
        <v>147</v>
      </c>
      <c r="AU570" s="3"/>
    </row>
    <row r="571" spans="1:47" x14ac:dyDescent="0.2">
      <c r="A571" s="115">
        <v>568.99999999999909</v>
      </c>
      <c r="B571" s="3">
        <v>188</v>
      </c>
      <c r="C571" s="3">
        <v>21.568999999999999</v>
      </c>
      <c r="D571" s="129" t="s">
        <v>140</v>
      </c>
      <c r="E571" t="s">
        <v>141</v>
      </c>
      <c r="F571" s="3" t="s">
        <v>61</v>
      </c>
      <c r="H571" s="3" t="s">
        <v>61</v>
      </c>
      <c r="I571" s="82">
        <v>44527</v>
      </c>
      <c r="J571" s="17" t="s">
        <v>142</v>
      </c>
      <c r="K571" s="17" t="s">
        <v>203</v>
      </c>
      <c r="L571" s="17"/>
      <c r="M571">
        <v>161.69999999999999</v>
      </c>
      <c r="N571" s="17">
        <v>159.5</v>
      </c>
      <c r="O571" s="17">
        <v>177.33</v>
      </c>
      <c r="P571" s="17">
        <v>181.2</v>
      </c>
      <c r="Q571" s="17">
        <v>38.4</v>
      </c>
      <c r="R571" s="17">
        <v>23.08</v>
      </c>
      <c r="S571" s="17">
        <v>117.59</v>
      </c>
      <c r="T571" s="17">
        <v>95.14</v>
      </c>
      <c r="U571" s="50">
        <v>58.13</v>
      </c>
      <c r="V571" s="50">
        <v>41.28</v>
      </c>
      <c r="W571" s="50">
        <v>65.67</v>
      </c>
      <c r="X571" s="50">
        <v>80.66</v>
      </c>
      <c r="Y571" s="50">
        <v>31.43</v>
      </c>
      <c r="Z571" s="50">
        <v>90.16</v>
      </c>
      <c r="AA571" s="50">
        <v>70.5</v>
      </c>
      <c r="AB571" s="50">
        <v>67.22</v>
      </c>
      <c r="AC571" s="50">
        <v>12.23</v>
      </c>
      <c r="AD571" s="50">
        <v>40.81</v>
      </c>
      <c r="AE571" s="17">
        <v>34.979999999999997</v>
      </c>
      <c r="AF571" s="17">
        <v>37.99</v>
      </c>
      <c r="AG571" s="17">
        <v>34.369999999999997</v>
      </c>
      <c r="AH571" s="17">
        <v>31.99</v>
      </c>
      <c r="AI571" s="17">
        <v>1.25</v>
      </c>
      <c r="AJ571" s="17"/>
      <c r="AK571" s="17"/>
      <c r="AL571" s="17">
        <v>5</v>
      </c>
      <c r="AM571" s="17"/>
      <c r="AN571" s="17"/>
      <c r="AO571" s="17">
        <f>21.2-10.5</f>
        <v>10.7</v>
      </c>
      <c r="AP571" s="17">
        <f>86.5-11.4</f>
        <v>75.099999999999994</v>
      </c>
      <c r="AQ571" s="17">
        <f>44.7-10.7</f>
        <v>34</v>
      </c>
      <c r="AR571" s="17">
        <v>33.6</v>
      </c>
      <c r="AS571" s="17">
        <v>14.9</v>
      </c>
      <c r="AT571" s="3" t="s">
        <v>147</v>
      </c>
      <c r="AU571" s="3"/>
    </row>
    <row r="572" spans="1:47" x14ac:dyDescent="0.2">
      <c r="A572" s="115">
        <v>570.00000000000023</v>
      </c>
      <c r="B572" s="3">
        <v>191</v>
      </c>
      <c r="C572" s="12" t="s">
        <v>672</v>
      </c>
      <c r="D572" s="129" t="s">
        <v>140</v>
      </c>
      <c r="E572" t="s">
        <v>141</v>
      </c>
      <c r="F572" s="3" t="s">
        <v>61</v>
      </c>
      <c r="G572"/>
      <c r="H572" s="3" t="s">
        <v>61</v>
      </c>
      <c r="I572" s="82">
        <v>44528</v>
      </c>
      <c r="J572" s="17" t="s">
        <v>142</v>
      </c>
      <c r="K572" s="17" t="s">
        <v>203</v>
      </c>
      <c r="L572" s="17"/>
      <c r="M572">
        <v>157.4</v>
      </c>
      <c r="N572" s="17">
        <v>172</v>
      </c>
      <c r="O572" s="17">
        <v>164.32</v>
      </c>
      <c r="P572" s="17">
        <v>174.14</v>
      </c>
      <c r="Q572" s="17">
        <v>37.700000000000003</v>
      </c>
      <c r="R572" s="17">
        <v>21.6</v>
      </c>
      <c r="S572" s="17">
        <v>114.57</v>
      </c>
      <c r="T572" s="17">
        <v>90.99</v>
      </c>
      <c r="U572" s="50">
        <v>61.13</v>
      </c>
      <c r="V572" s="50">
        <v>41.82</v>
      </c>
      <c r="W572" s="50">
        <v>67.09</v>
      </c>
      <c r="X572" s="50">
        <v>82.83</v>
      </c>
      <c r="Y572" s="50">
        <v>30.99</v>
      </c>
      <c r="Z572" s="50">
        <v>90.58</v>
      </c>
      <c r="AA572" s="50">
        <v>69.849999999999994</v>
      </c>
      <c r="AB572" s="50">
        <v>65.3</v>
      </c>
      <c r="AC572" s="50">
        <v>13.47</v>
      </c>
      <c r="AD572" s="50">
        <v>39.71</v>
      </c>
      <c r="AE572" s="17">
        <v>33.93</v>
      </c>
      <c r="AF572" s="17">
        <v>37.92</v>
      </c>
      <c r="AG572" s="17">
        <v>33.78</v>
      </c>
      <c r="AH572" s="17">
        <v>32.29</v>
      </c>
      <c r="AI572" s="17">
        <v>1.2909999999999999</v>
      </c>
      <c r="AJ572" s="17"/>
      <c r="AK572" s="17"/>
      <c r="AL572" s="17">
        <v>1</v>
      </c>
      <c r="AM572" s="17"/>
      <c r="AN572" s="17"/>
      <c r="AO572" s="17">
        <f>12.9-3.3</f>
        <v>9.6000000000000014</v>
      </c>
      <c r="AP572" s="17">
        <f>93.8-14.5</f>
        <v>79.3</v>
      </c>
      <c r="AQ572" s="17">
        <f>37.6-12</f>
        <v>25.6</v>
      </c>
      <c r="AR572" s="17">
        <v>35.5</v>
      </c>
      <c r="AS572" s="17">
        <v>14.5</v>
      </c>
      <c r="AT572" s="3" t="s">
        <v>669</v>
      </c>
      <c r="AU572" s="3"/>
    </row>
    <row r="573" spans="1:47" x14ac:dyDescent="0.2">
      <c r="A573" s="115">
        <v>571.00000000000148</v>
      </c>
      <c r="B573" s="3">
        <v>186</v>
      </c>
      <c r="C573" s="3">
        <v>21.571000000000002</v>
      </c>
      <c r="D573" s="129" t="s">
        <v>140</v>
      </c>
      <c r="E573" t="s">
        <v>141</v>
      </c>
      <c r="F573" s="3" t="s">
        <v>60</v>
      </c>
      <c r="G573"/>
      <c r="H573" s="3" t="s">
        <v>60</v>
      </c>
      <c r="I573" s="82">
        <v>44526</v>
      </c>
      <c r="J573" s="17" t="s">
        <v>142</v>
      </c>
      <c r="K573" s="17" t="s">
        <v>203</v>
      </c>
      <c r="L573" s="17"/>
      <c r="M573">
        <v>213.7</v>
      </c>
      <c r="N573" s="17"/>
      <c r="O573" s="17">
        <v>154.69</v>
      </c>
      <c r="P573" s="17">
        <v>172.53</v>
      </c>
      <c r="Q573" s="17">
        <v>31.22</v>
      </c>
      <c r="R573" s="17">
        <v>21.7</v>
      </c>
      <c r="S573" s="17">
        <v>113.21</v>
      </c>
      <c r="T573" s="17">
        <v>94.08</v>
      </c>
      <c r="U573" s="50">
        <v>62.93</v>
      </c>
      <c r="V573" s="50">
        <v>51.27</v>
      </c>
      <c r="W573" s="50">
        <v>76.53</v>
      </c>
      <c r="X573" s="50">
        <v>92.31</v>
      </c>
      <c r="Y573" s="50">
        <v>40.86</v>
      </c>
      <c r="Z573" s="50">
        <v>98.7</v>
      </c>
      <c r="AA573" s="50">
        <v>78.23</v>
      </c>
      <c r="AB573" s="50">
        <v>77.150000000000006</v>
      </c>
      <c r="AC573" s="50">
        <v>10.87</v>
      </c>
      <c r="AD573" s="50">
        <v>44.97</v>
      </c>
      <c r="AE573" s="17">
        <v>22.18</v>
      </c>
      <c r="AF573" s="17">
        <v>25.01</v>
      </c>
      <c r="AG573" s="17">
        <v>30.9</v>
      </c>
      <c r="AH573" s="17">
        <v>37.85</v>
      </c>
      <c r="AI573" s="17">
        <v>1.65</v>
      </c>
      <c r="AJ573" s="17"/>
      <c r="AK573" s="17"/>
      <c r="AL573" s="17">
        <v>22</v>
      </c>
      <c r="AM573" s="17"/>
      <c r="AN573" s="17"/>
      <c r="AO573" s="17">
        <f>16.6-3.3</f>
        <v>13.3</v>
      </c>
      <c r="AP573" s="17">
        <f>95.3-10.3</f>
        <v>85</v>
      </c>
      <c r="AQ573" s="17">
        <f>43.1-10.9</f>
        <v>32.200000000000003</v>
      </c>
      <c r="AR573" s="17">
        <v>53.6</v>
      </c>
      <c r="AS573" s="17">
        <v>22.4</v>
      </c>
      <c r="AT573" s="3" t="s">
        <v>147</v>
      </c>
      <c r="AU573" s="3"/>
    </row>
    <row r="574" spans="1:47" x14ac:dyDescent="0.2">
      <c r="A574" s="115">
        <v>571.9999999999992</v>
      </c>
      <c r="B574" s="3">
        <v>185</v>
      </c>
      <c r="C574" s="3">
        <v>21.571999999999999</v>
      </c>
      <c r="D574" s="129" t="s">
        <v>140</v>
      </c>
      <c r="E574" t="s">
        <v>141</v>
      </c>
      <c r="F574" s="3" t="s">
        <v>61</v>
      </c>
      <c r="G574"/>
      <c r="H574" s="3" t="s">
        <v>61</v>
      </c>
      <c r="I574" s="82">
        <v>44526</v>
      </c>
      <c r="J574" s="17" t="s">
        <v>142</v>
      </c>
      <c r="K574" s="17" t="s">
        <v>203</v>
      </c>
      <c r="L574" s="17"/>
      <c r="M574">
        <v>185.7</v>
      </c>
      <c r="N574" s="17">
        <v>183.8</v>
      </c>
      <c r="O574" s="17">
        <v>190.36</v>
      </c>
      <c r="P574" s="17">
        <v>197.62</v>
      </c>
      <c r="Q574" s="17">
        <v>40.56</v>
      </c>
      <c r="R574" s="17">
        <v>29.8</v>
      </c>
      <c r="S574" s="17">
        <v>121.12</v>
      </c>
      <c r="T574" s="17">
        <v>94.37</v>
      </c>
      <c r="U574" s="50">
        <v>55.68</v>
      </c>
      <c r="V574" s="50">
        <v>40.39</v>
      </c>
      <c r="W574" s="50">
        <v>69.13</v>
      </c>
      <c r="X574" s="50">
        <v>83.6</v>
      </c>
      <c r="Y574" s="50">
        <v>31.18</v>
      </c>
      <c r="Z574" s="50">
        <v>92.08</v>
      </c>
      <c r="AA574" s="50">
        <v>73.81</v>
      </c>
      <c r="AB574" s="50">
        <v>67.709999999999994</v>
      </c>
      <c r="AC574" s="50">
        <v>12.23</v>
      </c>
      <c r="AD574" s="50">
        <v>44.41</v>
      </c>
      <c r="AE574" s="17">
        <v>41.24</v>
      </c>
      <c r="AF574" s="17">
        <v>33.58</v>
      </c>
      <c r="AG574" s="17">
        <v>39.549999999999997</v>
      </c>
      <c r="AH574" s="17">
        <v>32.57</v>
      </c>
      <c r="AI574" s="17">
        <v>1.3160000000000001</v>
      </c>
      <c r="AJ574" s="17"/>
      <c r="AK574" s="17"/>
      <c r="AL574" s="17">
        <v>12</v>
      </c>
      <c r="AM574" s="17"/>
      <c r="AN574" s="17"/>
      <c r="AO574" s="17">
        <f>15.5-3.3</f>
        <v>12.2</v>
      </c>
      <c r="AP574" s="17">
        <f>88.2-10.6</f>
        <v>77.600000000000009</v>
      </c>
      <c r="AQ574" s="17">
        <f>52-11.3</f>
        <v>40.700000000000003</v>
      </c>
      <c r="AR574" s="17">
        <v>36.6</v>
      </c>
      <c r="AS574" s="17">
        <v>16</v>
      </c>
      <c r="AT574" s="3" t="s">
        <v>147</v>
      </c>
      <c r="AU574" s="3"/>
    </row>
    <row r="575" spans="1:47" x14ac:dyDescent="0.2">
      <c r="A575" s="115">
        <v>573.00000000000045</v>
      </c>
      <c r="B575" s="3">
        <v>178</v>
      </c>
      <c r="C575" s="3">
        <v>21.573</v>
      </c>
      <c r="D575" s="129" t="s">
        <v>140</v>
      </c>
      <c r="E575" t="s">
        <v>141</v>
      </c>
      <c r="F575" s="3" t="s">
        <v>61</v>
      </c>
      <c r="G575"/>
      <c r="H575" s="3" t="s">
        <v>61</v>
      </c>
      <c r="I575" s="82">
        <v>44519</v>
      </c>
      <c r="J575" s="17" t="s">
        <v>142</v>
      </c>
      <c r="K575" s="17" t="s">
        <v>203</v>
      </c>
      <c r="L575" s="17"/>
      <c r="M575">
        <v>190.5</v>
      </c>
      <c r="N575" s="17">
        <v>184.4</v>
      </c>
      <c r="O575" s="17">
        <v>192.99</v>
      </c>
      <c r="P575" s="17">
        <v>195.91</v>
      </c>
      <c r="Q575" s="17">
        <v>36.83</v>
      </c>
      <c r="R575" s="17">
        <v>32.6</v>
      </c>
      <c r="S575" s="17">
        <v>125.13</v>
      </c>
      <c r="T575" s="17">
        <v>98.09</v>
      </c>
      <c r="U575" s="50">
        <v>53.24</v>
      </c>
      <c r="V575" s="50">
        <v>39.71</v>
      </c>
      <c r="W575" s="50">
        <v>69.91</v>
      </c>
      <c r="X575" s="50">
        <v>82.99</v>
      </c>
      <c r="Y575" s="50">
        <v>35.29</v>
      </c>
      <c r="Z575" s="50">
        <v>90.45</v>
      </c>
      <c r="AA575" s="50">
        <v>71.22</v>
      </c>
      <c r="AB575" s="50">
        <v>66.739999999999995</v>
      </c>
      <c r="AC575" s="50">
        <v>13.23</v>
      </c>
      <c r="AD575" s="50">
        <v>44.02</v>
      </c>
      <c r="AE575" s="17">
        <v>42.98</v>
      </c>
      <c r="AF575" s="17">
        <v>44.66</v>
      </c>
      <c r="AG575" s="17">
        <v>31.64</v>
      </c>
      <c r="AH575" s="17">
        <v>35.94</v>
      </c>
      <c r="AI575" s="17">
        <v>1.407</v>
      </c>
      <c r="AJ575" s="17"/>
      <c r="AK575" s="17"/>
      <c r="AL575" s="17"/>
      <c r="AM575" s="17"/>
      <c r="AN575" s="17"/>
      <c r="AO575" s="17">
        <f>10.2-3.2</f>
        <v>6.9999999999999991</v>
      </c>
      <c r="AP575" s="17">
        <f>113.2-14.2</f>
        <v>99</v>
      </c>
      <c r="AQ575" s="17">
        <f>50.4-12.3</f>
        <v>38.099999999999994</v>
      </c>
      <c r="AR575" s="17">
        <v>36.700000000000003</v>
      </c>
      <c r="AS575" s="17">
        <v>15.9</v>
      </c>
      <c r="AT575" s="3" t="s">
        <v>372</v>
      </c>
      <c r="AU575" s="3"/>
    </row>
    <row r="576" spans="1:47" x14ac:dyDescent="0.2">
      <c r="A576" s="115">
        <v>574.00000000000159</v>
      </c>
      <c r="B576" s="3" t="s">
        <v>673</v>
      </c>
      <c r="C576" s="3">
        <v>21.574000000000002</v>
      </c>
      <c r="D576" s="131" t="s">
        <v>151</v>
      </c>
      <c r="E576" t="s">
        <v>162</v>
      </c>
      <c r="F576" s="3" t="s">
        <v>88</v>
      </c>
      <c r="G576" s="3" t="s">
        <v>88</v>
      </c>
      <c r="H576"/>
      <c r="I576" s="82">
        <v>44508</v>
      </c>
      <c r="J576" s="9" t="s">
        <v>142</v>
      </c>
      <c r="K576" s="9" t="s">
        <v>203</v>
      </c>
      <c r="N576" s="3">
        <v>236.4</v>
      </c>
      <c r="O576" s="3">
        <v>178.32</v>
      </c>
      <c r="P576" s="3">
        <v>189.15</v>
      </c>
      <c r="Q576" s="3">
        <v>44.23</v>
      </c>
      <c r="R576" s="3">
        <v>16.8</v>
      </c>
      <c r="S576" s="3">
        <v>123.5</v>
      </c>
      <c r="T576" s="3">
        <v>96.35</v>
      </c>
      <c r="U576" s="6">
        <v>68.709999999999994</v>
      </c>
      <c r="V576" s="6">
        <v>48.43</v>
      </c>
      <c r="W576" s="6">
        <v>72.59</v>
      </c>
      <c r="X576" s="6">
        <v>91.73</v>
      </c>
      <c r="Y576" s="6">
        <v>42.28</v>
      </c>
      <c r="Z576" s="6">
        <v>101.46</v>
      </c>
      <c r="AA576" s="6">
        <v>77.48</v>
      </c>
      <c r="AB576" s="6">
        <v>77.64</v>
      </c>
      <c r="AC576" s="6">
        <v>7.92</v>
      </c>
      <c r="AD576" s="6">
        <v>44.98</v>
      </c>
      <c r="AE576" s="3">
        <v>27.4</v>
      </c>
      <c r="AF576" s="3">
        <v>34.07</v>
      </c>
      <c r="AG576" s="3">
        <v>42.08</v>
      </c>
      <c r="AH576" s="3">
        <v>47.63</v>
      </c>
      <c r="AI576" s="3">
        <v>1.744</v>
      </c>
      <c r="AL576" s="3">
        <v>35</v>
      </c>
      <c r="AO576" s="3">
        <f>15.7-3.2</f>
        <v>12.5</v>
      </c>
      <c r="AP576" s="3">
        <f>112.6-11.4</f>
        <v>101.19999999999999</v>
      </c>
      <c r="AQ576" s="3">
        <f>38.6-11.2</f>
        <v>27.400000000000002</v>
      </c>
      <c r="AR576" s="3">
        <v>55.6</v>
      </c>
      <c r="AS576" s="3">
        <v>24</v>
      </c>
      <c r="AT576" s="3" t="s">
        <v>147</v>
      </c>
      <c r="AU576" s="3"/>
    </row>
    <row r="577" spans="1:47" x14ac:dyDescent="0.2">
      <c r="A577" s="115">
        <v>574.99999999999932</v>
      </c>
      <c r="B577" s="14">
        <v>175</v>
      </c>
      <c r="C577" s="14">
        <v>21.574999999999999</v>
      </c>
      <c r="D577" s="129" t="s">
        <v>140</v>
      </c>
      <c r="E577" s="18" t="s">
        <v>141</v>
      </c>
      <c r="F577" s="14" t="s">
        <v>60</v>
      </c>
      <c r="G577"/>
      <c r="H577" s="14" t="s">
        <v>60</v>
      </c>
      <c r="I577" s="143">
        <v>44514</v>
      </c>
      <c r="J577" s="28" t="s">
        <v>142</v>
      </c>
      <c r="K577" s="28" t="s">
        <v>203</v>
      </c>
      <c r="L577" s="28"/>
      <c r="M577" s="18">
        <v>174.7</v>
      </c>
      <c r="N577" s="28"/>
      <c r="O577" s="28">
        <v>137.28</v>
      </c>
      <c r="P577" s="28">
        <v>150.03</v>
      </c>
      <c r="Q577" s="28">
        <v>30.41</v>
      </c>
      <c r="R577" s="28">
        <v>12.73</v>
      </c>
      <c r="S577" s="28">
        <v>98.82</v>
      </c>
      <c r="T577" s="28">
        <v>82.97</v>
      </c>
      <c r="U577" s="144">
        <v>69.84</v>
      </c>
      <c r="V577" s="144">
        <v>55.73</v>
      </c>
      <c r="W577" s="144">
        <v>74.23</v>
      </c>
      <c r="X577" s="144">
        <v>85.85</v>
      </c>
      <c r="Y577" s="144">
        <v>38.549999999999997</v>
      </c>
      <c r="Z577" s="144">
        <v>95.09</v>
      </c>
      <c r="AA577" s="144">
        <v>73.239999999999995</v>
      </c>
      <c r="AB577" s="144">
        <v>78.28</v>
      </c>
      <c r="AC577" s="144">
        <v>24.77</v>
      </c>
      <c r="AD577" s="144">
        <v>43.09</v>
      </c>
      <c r="AE577" s="28">
        <v>20.74</v>
      </c>
      <c r="AF577" s="28">
        <v>25.91</v>
      </c>
      <c r="AG577" s="28">
        <v>28.44</v>
      </c>
      <c r="AH577" s="28">
        <v>26.05</v>
      </c>
      <c r="AI577" s="28">
        <v>1.405</v>
      </c>
      <c r="AJ577" s="28"/>
      <c r="AK577" s="28"/>
      <c r="AL577" s="28">
        <v>19</v>
      </c>
      <c r="AM577" s="28"/>
      <c r="AN577" s="28"/>
      <c r="AO577" s="28">
        <f>15.5-3.2</f>
        <v>12.3</v>
      </c>
      <c r="AP577" s="28">
        <f>95.1-14.1</f>
        <v>81</v>
      </c>
      <c r="AQ577" s="28">
        <f>29.1-12.8</f>
        <v>16.3</v>
      </c>
      <c r="AR577" s="28">
        <v>42</v>
      </c>
      <c r="AS577" s="28">
        <v>18.600000000000001</v>
      </c>
      <c r="AT577" s="14" t="s">
        <v>372</v>
      </c>
      <c r="AU577" s="14"/>
    </row>
    <row r="578" spans="1:47" x14ac:dyDescent="0.2">
      <c r="A578" s="115">
        <v>576.00000000000045</v>
      </c>
      <c r="B578" s="3" t="s">
        <v>674</v>
      </c>
      <c r="C578" s="3">
        <v>21.576000000000001</v>
      </c>
      <c r="D578" s="131" t="s">
        <v>151</v>
      </c>
      <c r="E578" t="s">
        <v>162</v>
      </c>
      <c r="F578" s="3" t="s">
        <v>88</v>
      </c>
      <c r="G578" s="3" t="s">
        <v>88</v>
      </c>
      <c r="H578"/>
      <c r="I578" s="82">
        <v>44508</v>
      </c>
      <c r="J578" s="9" t="s">
        <v>142</v>
      </c>
      <c r="K578" s="9" t="s">
        <v>235</v>
      </c>
      <c r="N578" s="3">
        <v>259.3</v>
      </c>
      <c r="O578" s="3">
        <v>182.94</v>
      </c>
      <c r="P578" s="3">
        <v>191.86</v>
      </c>
      <c r="Q578" s="3">
        <v>43.69</v>
      </c>
      <c r="R578" s="3">
        <v>15.33</v>
      </c>
      <c r="S578" s="3">
        <v>125.86</v>
      </c>
      <c r="T578" s="3">
        <v>98.49</v>
      </c>
      <c r="U578" s="6">
        <v>65.91</v>
      </c>
      <c r="V578" s="6">
        <v>53.97</v>
      </c>
      <c r="W578" s="6">
        <v>73.58</v>
      </c>
      <c r="X578" s="6">
        <v>87.92</v>
      </c>
      <c r="Y578" s="6">
        <v>40.57</v>
      </c>
      <c r="Z578" s="6">
        <v>102.03</v>
      </c>
      <c r="AA578" s="6">
        <v>79.319999999999993</v>
      </c>
      <c r="AB578" s="6">
        <v>81.540000000000006</v>
      </c>
      <c r="AC578" s="6">
        <v>13.58</v>
      </c>
      <c r="AD578" s="6">
        <v>48.77</v>
      </c>
      <c r="AE578" s="3">
        <v>30.74</v>
      </c>
      <c r="AF578" s="3">
        <v>36.79</v>
      </c>
      <c r="AG578" s="3">
        <v>43.61</v>
      </c>
      <c r="AH578" s="3">
        <v>52.21</v>
      </c>
      <c r="AI578" s="3">
        <v>1.6060000000000001</v>
      </c>
      <c r="AO578" s="3">
        <f>17.9-3.2</f>
        <v>14.7</v>
      </c>
      <c r="AP578" s="3">
        <f>46-10.4</f>
        <v>35.6</v>
      </c>
      <c r="AR578" s="3">
        <v>55.3</v>
      </c>
      <c r="AS578" s="3">
        <v>24.3</v>
      </c>
      <c r="AT578" s="3" t="s">
        <v>147</v>
      </c>
      <c r="AU578" s="3"/>
    </row>
    <row r="579" spans="1:47" x14ac:dyDescent="0.2">
      <c r="A579" s="115">
        <v>577.00000000000171</v>
      </c>
      <c r="B579" s="3" t="s">
        <v>675</v>
      </c>
      <c r="C579" s="3">
        <v>21.577000000000002</v>
      </c>
      <c r="D579" s="131" t="s">
        <v>151</v>
      </c>
      <c r="E579" t="s">
        <v>162</v>
      </c>
      <c r="F579" s="3" t="s">
        <v>88</v>
      </c>
      <c r="G579" s="3" t="s">
        <v>88</v>
      </c>
      <c r="H579" s="17"/>
      <c r="I579" s="82">
        <v>44508</v>
      </c>
      <c r="J579" s="9" t="s">
        <v>142</v>
      </c>
      <c r="K579" s="9" t="s">
        <v>203</v>
      </c>
      <c r="O579" s="3">
        <v>179.94</v>
      </c>
      <c r="P579" s="3">
        <v>191.51</v>
      </c>
      <c r="Q579" s="3">
        <v>43.7</v>
      </c>
      <c r="R579" s="3">
        <v>20.309999999999999</v>
      </c>
      <c r="S579" s="3">
        <v>121.87</v>
      </c>
      <c r="T579" s="3">
        <v>90.82</v>
      </c>
      <c r="U579" s="6">
        <v>62.8</v>
      </c>
      <c r="V579" s="6">
        <v>47.98</v>
      </c>
      <c r="W579" s="6">
        <v>73.69</v>
      </c>
      <c r="X579" s="6">
        <v>95.22</v>
      </c>
      <c r="Y579" s="6">
        <v>42.77</v>
      </c>
      <c r="Z579" s="6">
        <v>103.97</v>
      </c>
      <c r="AA579" s="6">
        <v>80.19</v>
      </c>
      <c r="AB579" s="6">
        <v>81.41</v>
      </c>
      <c r="AC579" s="6">
        <v>10.5</v>
      </c>
      <c r="AD579" s="6">
        <v>46.39</v>
      </c>
      <c r="AE579" s="3">
        <v>31.1</v>
      </c>
      <c r="AF579" s="3">
        <v>35.020000000000003</v>
      </c>
      <c r="AG579" s="3">
        <v>39.57</v>
      </c>
      <c r="AH579" s="3">
        <v>44.07</v>
      </c>
      <c r="AI579" s="3">
        <v>1.903</v>
      </c>
      <c r="AL579" s="3">
        <v>10</v>
      </c>
      <c r="AO579" s="3">
        <f>18.7-3.2</f>
        <v>15.5</v>
      </c>
      <c r="AP579" s="3">
        <f>102.1-9.1</f>
        <v>93</v>
      </c>
      <c r="AQ579" s="3">
        <f>67.4-10.9</f>
        <v>56.500000000000007</v>
      </c>
      <c r="AR579" s="3">
        <v>58.4</v>
      </c>
      <c r="AS579" s="3">
        <v>25</v>
      </c>
      <c r="AT579" s="3" t="s">
        <v>147</v>
      </c>
      <c r="AU579" s="3"/>
    </row>
    <row r="580" spans="1:47" x14ac:dyDescent="0.2">
      <c r="A580" s="115">
        <v>577.99999999999943</v>
      </c>
      <c r="B580" s="3">
        <v>176</v>
      </c>
      <c r="C580" s="3">
        <v>21.577999999999999</v>
      </c>
      <c r="D580" s="129" t="s">
        <v>140</v>
      </c>
      <c r="E580" t="s">
        <v>141</v>
      </c>
      <c r="F580" s="3" t="s">
        <v>60</v>
      </c>
      <c r="G580" s="17"/>
      <c r="H580" s="3" t="s">
        <v>60</v>
      </c>
      <c r="I580" s="82">
        <v>44515</v>
      </c>
      <c r="J580" s="17" t="s">
        <v>142</v>
      </c>
      <c r="K580" s="17" t="s">
        <v>203</v>
      </c>
      <c r="L580" s="17"/>
      <c r="M580">
        <v>183.6</v>
      </c>
      <c r="N580" s="17">
        <v>180.6</v>
      </c>
      <c r="O580" s="17">
        <v>144.38</v>
      </c>
      <c r="P580" s="17">
        <v>147.72</v>
      </c>
      <c r="Q580" s="17">
        <v>30.35</v>
      </c>
      <c r="R580" s="17">
        <v>9.89</v>
      </c>
      <c r="S580" s="17">
        <v>102.58</v>
      </c>
      <c r="T580" s="17">
        <v>83.4</v>
      </c>
      <c r="U580" s="50">
        <v>72.39</v>
      </c>
      <c r="V580" s="50">
        <v>52.67</v>
      </c>
      <c r="W580" s="50">
        <v>77.69</v>
      </c>
      <c r="X580" s="50">
        <v>88.96</v>
      </c>
      <c r="Y580" s="50">
        <v>41.05</v>
      </c>
      <c r="Z580" s="50">
        <v>96.01</v>
      </c>
      <c r="AA580" s="50">
        <v>71.41</v>
      </c>
      <c r="AB580" s="50">
        <v>76.599999999999994</v>
      </c>
      <c r="AC580" s="50">
        <v>14.32</v>
      </c>
      <c r="AD580" s="50">
        <v>43.58</v>
      </c>
      <c r="AE580" s="17">
        <v>20.59</v>
      </c>
      <c r="AF580" s="17">
        <v>27.37</v>
      </c>
      <c r="AG580" s="17">
        <v>29.92</v>
      </c>
      <c r="AH580" s="17">
        <v>32.22</v>
      </c>
      <c r="AI580" s="17">
        <v>1.802</v>
      </c>
      <c r="AJ580" s="17"/>
      <c r="AK580" s="17"/>
      <c r="AL580" s="17"/>
      <c r="AM580" s="17"/>
      <c r="AN580" s="17"/>
      <c r="AO580" s="17">
        <f>13.7-3.2</f>
        <v>10.5</v>
      </c>
      <c r="AP580" s="17">
        <f>106.6-13.4</f>
        <v>93.199999999999989</v>
      </c>
      <c r="AQ580" s="17">
        <f>41-12.6</f>
        <v>28.4</v>
      </c>
      <c r="AR580" s="17">
        <v>46.4</v>
      </c>
      <c r="AS580" s="17">
        <v>20.3</v>
      </c>
      <c r="AT580" s="3" t="s">
        <v>372</v>
      </c>
      <c r="AU580" s="3"/>
    </row>
    <row r="581" spans="1:47" x14ac:dyDescent="0.2">
      <c r="A581" s="115">
        <v>579.00000000000068</v>
      </c>
      <c r="B581" s="3">
        <v>174</v>
      </c>
      <c r="C581" s="3">
        <v>21.579000000000001</v>
      </c>
      <c r="D581" s="129" t="s">
        <v>140</v>
      </c>
      <c r="E581" t="s">
        <v>141</v>
      </c>
      <c r="F581" s="3" t="s">
        <v>60</v>
      </c>
      <c r="G581"/>
      <c r="H581" s="3" t="s">
        <v>60</v>
      </c>
      <c r="I581" s="82">
        <v>44514</v>
      </c>
      <c r="J581" s="17" t="s">
        <v>142</v>
      </c>
      <c r="K581" s="17" t="s">
        <v>203</v>
      </c>
      <c r="L581" s="17"/>
      <c r="M581">
        <v>174.4</v>
      </c>
      <c r="N581" s="17"/>
      <c r="O581" s="17">
        <v>139.30000000000001</v>
      </c>
      <c r="P581" s="17">
        <v>145.97999999999999</v>
      </c>
      <c r="Q581" s="17">
        <v>28.25</v>
      </c>
      <c r="R581" s="17">
        <v>10.76</v>
      </c>
      <c r="S581" s="17">
        <v>100.68</v>
      </c>
      <c r="T581" s="17">
        <v>85.38</v>
      </c>
      <c r="U581" s="50">
        <v>73.09</v>
      </c>
      <c r="V581" s="50">
        <v>51.2</v>
      </c>
      <c r="W581" s="50">
        <v>74.2</v>
      </c>
      <c r="X581" s="50">
        <v>83.94</v>
      </c>
      <c r="Y581" s="50">
        <v>40.39</v>
      </c>
      <c r="Z581" s="50">
        <v>91.75</v>
      </c>
      <c r="AA581" s="50">
        <v>70.37</v>
      </c>
      <c r="AB581" s="50">
        <v>76.53</v>
      </c>
      <c r="AC581" s="50">
        <v>17.95</v>
      </c>
      <c r="AD581" s="50">
        <v>43.54</v>
      </c>
      <c r="AE581" s="17">
        <v>22.12</v>
      </c>
      <c r="AF581" s="17">
        <v>23.9</v>
      </c>
      <c r="AG581" s="17">
        <v>33.94</v>
      </c>
      <c r="AH581" s="17">
        <v>33.450000000000003</v>
      </c>
      <c r="AI581" s="17">
        <v>1.7370000000000001</v>
      </c>
      <c r="AJ581" s="17"/>
      <c r="AK581" s="17"/>
      <c r="AL581" s="17"/>
      <c r="AM581" s="17"/>
      <c r="AN581" s="17"/>
      <c r="AO581" s="17">
        <f>11-3.2</f>
        <v>7.8</v>
      </c>
      <c r="AP581" s="17">
        <f>103-12.5</f>
        <v>90.5</v>
      </c>
      <c r="AQ581" s="17">
        <f>44.4-13.3</f>
        <v>31.099999999999998</v>
      </c>
      <c r="AR581" s="17">
        <v>41.3</v>
      </c>
      <c r="AS581" s="17">
        <v>18.2</v>
      </c>
      <c r="AT581" s="3" t="s">
        <v>372</v>
      </c>
      <c r="AU581" s="3"/>
    </row>
    <row r="582" spans="1:47" x14ac:dyDescent="0.2">
      <c r="A582" s="115">
        <v>579.99999999999829</v>
      </c>
      <c r="B582" s="3" t="s">
        <v>676</v>
      </c>
      <c r="C582" s="12" t="s">
        <v>677</v>
      </c>
      <c r="D582" s="131" t="s">
        <v>151</v>
      </c>
      <c r="E582" t="s">
        <v>162</v>
      </c>
      <c r="F582" s="3" t="s">
        <v>88</v>
      </c>
      <c r="G582" s="3" t="s">
        <v>88</v>
      </c>
      <c r="H582"/>
      <c r="I582" s="82">
        <v>44508</v>
      </c>
      <c r="J582" s="9" t="s">
        <v>142</v>
      </c>
      <c r="K582" s="9" t="s">
        <v>203</v>
      </c>
      <c r="N582" s="3">
        <v>229.1</v>
      </c>
      <c r="O582" s="3">
        <v>179.67</v>
      </c>
      <c r="P582" s="3">
        <v>188.49</v>
      </c>
      <c r="Q582" s="3">
        <v>41.66</v>
      </c>
      <c r="R582" s="3">
        <v>21.18</v>
      </c>
      <c r="S582" s="3">
        <v>118.82</v>
      </c>
      <c r="T582" s="3">
        <v>92.24</v>
      </c>
      <c r="U582" s="6">
        <v>64.13</v>
      </c>
      <c r="V582" s="6">
        <v>49.13</v>
      </c>
      <c r="W582" s="6">
        <v>70.44</v>
      </c>
      <c r="X582" s="6">
        <v>90.16</v>
      </c>
      <c r="Y582" s="6">
        <v>41.92</v>
      </c>
      <c r="Z582" s="6">
        <v>104.46</v>
      </c>
      <c r="AA582" s="6">
        <v>81.5</v>
      </c>
      <c r="AB582" s="6">
        <v>84.69</v>
      </c>
      <c r="AC582" s="6">
        <v>15.59</v>
      </c>
      <c r="AD582" s="6">
        <v>44.84</v>
      </c>
      <c r="AE582" s="3">
        <v>32.76</v>
      </c>
      <c r="AF582" s="3">
        <v>38.92</v>
      </c>
      <c r="AG582" s="3">
        <v>41.38</v>
      </c>
      <c r="AH582" s="3">
        <v>43.44</v>
      </c>
      <c r="AI582" s="3">
        <v>1.8640000000000001</v>
      </c>
      <c r="AL582" s="3">
        <v>9</v>
      </c>
      <c r="AO582" s="3">
        <f>18.4-3.3</f>
        <v>15.099999999999998</v>
      </c>
      <c r="AP582" s="3">
        <f>100.8-12.3</f>
        <v>88.5</v>
      </c>
      <c r="AQ582" s="3">
        <f>67.8-10.7</f>
        <v>57.099999999999994</v>
      </c>
      <c r="AR582" s="3">
        <v>53.6</v>
      </c>
      <c r="AS582" s="3">
        <v>23.4</v>
      </c>
      <c r="AT582" s="3" t="s">
        <v>147</v>
      </c>
      <c r="AU582" s="3"/>
    </row>
    <row r="583" spans="1:47" x14ac:dyDescent="0.2">
      <c r="A583" s="115">
        <v>580.99999999999955</v>
      </c>
      <c r="B583" s="3" t="s">
        <v>678</v>
      </c>
      <c r="C583" s="3">
        <v>21.581</v>
      </c>
      <c r="D583" s="131" t="s">
        <v>151</v>
      </c>
      <c r="E583" t="s">
        <v>162</v>
      </c>
      <c r="F583" s="3" t="s">
        <v>88</v>
      </c>
      <c r="G583" s="3" t="s">
        <v>88</v>
      </c>
      <c r="H583"/>
      <c r="I583" s="82">
        <v>44508</v>
      </c>
      <c r="J583" s="9" t="s">
        <v>142</v>
      </c>
      <c r="K583" s="9" t="s">
        <v>203</v>
      </c>
      <c r="N583" s="3">
        <v>225.6</v>
      </c>
      <c r="O583" s="3">
        <v>182.74</v>
      </c>
      <c r="P583" s="3">
        <v>193.11</v>
      </c>
      <c r="Q583" s="3">
        <v>45.86</v>
      </c>
      <c r="R583" s="3">
        <v>22.43</v>
      </c>
      <c r="S583" s="3">
        <v>119.54</v>
      </c>
      <c r="T583" s="3">
        <v>92.62</v>
      </c>
      <c r="U583" s="6">
        <v>66.02</v>
      </c>
      <c r="V583" s="6">
        <v>48.8</v>
      </c>
      <c r="W583" s="6">
        <v>72.88</v>
      </c>
      <c r="X583" s="6">
        <v>94.21</v>
      </c>
      <c r="Y583" s="6">
        <v>41.55</v>
      </c>
      <c r="Z583" s="6">
        <v>104.12</v>
      </c>
      <c r="AA583" s="6">
        <v>81.7</v>
      </c>
      <c r="AB583" s="6">
        <v>81.819999999999993</v>
      </c>
      <c r="AC583" s="6">
        <v>12.7</v>
      </c>
      <c r="AD583" s="6">
        <v>44.32</v>
      </c>
      <c r="AE583" s="3">
        <v>31.45</v>
      </c>
      <c r="AF583" s="3">
        <v>39.17</v>
      </c>
      <c r="AG583" s="3">
        <v>46.69</v>
      </c>
      <c r="AH583" s="3">
        <v>44.12</v>
      </c>
      <c r="AI583" s="3">
        <v>1.9059999999999999</v>
      </c>
      <c r="AL583" s="3">
        <v>16</v>
      </c>
      <c r="AO583" s="3">
        <f>18-3.2</f>
        <v>14.8</v>
      </c>
      <c r="AP583" s="3">
        <f>96.4-12.2</f>
        <v>84.2</v>
      </c>
      <c r="AQ583" s="3">
        <f>64.5-10.9</f>
        <v>53.6</v>
      </c>
      <c r="AR583" s="3">
        <v>53</v>
      </c>
      <c r="AS583" s="3">
        <v>23</v>
      </c>
      <c r="AT583" s="3" t="s">
        <v>147</v>
      </c>
      <c r="AU583" s="3"/>
    </row>
    <row r="584" spans="1:47" x14ac:dyDescent="0.2">
      <c r="A584" s="115">
        <v>582.00000000000068</v>
      </c>
      <c r="B584" s="3">
        <v>177</v>
      </c>
      <c r="C584" s="3">
        <v>21.582000000000001</v>
      </c>
      <c r="D584" s="129" t="s">
        <v>140</v>
      </c>
      <c r="E584" t="s">
        <v>141</v>
      </c>
      <c r="F584" s="3" t="s">
        <v>60</v>
      </c>
      <c r="G584"/>
      <c r="H584" s="3" t="s">
        <v>60</v>
      </c>
      <c r="I584" s="82">
        <v>44519</v>
      </c>
      <c r="J584" s="17" t="s">
        <v>142</v>
      </c>
      <c r="K584" s="17" t="s">
        <v>203</v>
      </c>
      <c r="L584" s="17"/>
      <c r="M584">
        <v>205.7</v>
      </c>
      <c r="N584" s="17">
        <v>203.7</v>
      </c>
      <c r="O584" s="17">
        <v>152.13</v>
      </c>
      <c r="P584" s="17">
        <v>159.81</v>
      </c>
      <c r="Q584" s="17">
        <v>31.39</v>
      </c>
      <c r="R584" s="17">
        <v>17.850000000000001</v>
      </c>
      <c r="S584" s="17">
        <v>110.99</v>
      </c>
      <c r="T584" s="17">
        <v>91.86</v>
      </c>
      <c r="U584" s="50">
        <v>67.09</v>
      </c>
      <c r="V584" s="50">
        <v>48.21</v>
      </c>
      <c r="W584" s="50">
        <v>76.53</v>
      </c>
      <c r="X584" s="50">
        <v>90.06</v>
      </c>
      <c r="Y584" s="50">
        <v>39.520000000000003</v>
      </c>
      <c r="Z584" s="50">
        <v>95.71</v>
      </c>
      <c r="AA584" s="50">
        <v>74.260000000000005</v>
      </c>
      <c r="AB584" s="50">
        <v>75.73</v>
      </c>
      <c r="AC584" s="50">
        <v>8.92</v>
      </c>
      <c r="AD584" s="50">
        <v>46.35</v>
      </c>
      <c r="AE584" s="17">
        <v>21.82</v>
      </c>
      <c r="AF584" s="17">
        <v>31.15</v>
      </c>
      <c r="AG584" s="17">
        <v>31.11</v>
      </c>
      <c r="AH584" s="17">
        <v>34.950000000000003</v>
      </c>
      <c r="AI584" s="17">
        <v>1.86</v>
      </c>
      <c r="AJ584" s="17"/>
      <c r="AK584" s="17"/>
      <c r="AL584" s="17">
        <v>38.5</v>
      </c>
      <c r="AM584" s="17"/>
      <c r="AN584" s="17"/>
      <c r="AO584" s="17">
        <f>15.2-3.3</f>
        <v>11.899999999999999</v>
      </c>
      <c r="AP584" s="17">
        <f>117.5-12.7</f>
        <v>104.8</v>
      </c>
      <c r="AQ584" s="17"/>
      <c r="AR584" s="17">
        <v>46.6</v>
      </c>
      <c r="AS584" s="17">
        <v>19.899999999999999</v>
      </c>
      <c r="AT584" s="3" t="s">
        <v>372</v>
      </c>
      <c r="AU584" s="3"/>
    </row>
    <row r="585" spans="1:47" x14ac:dyDescent="0.2">
      <c r="A585" s="115">
        <v>582.99999999999841</v>
      </c>
      <c r="B585" s="3">
        <v>173</v>
      </c>
      <c r="C585" s="3">
        <v>21.582999999999998</v>
      </c>
      <c r="D585" s="129" t="s">
        <v>140</v>
      </c>
      <c r="E585" t="s">
        <v>141</v>
      </c>
      <c r="F585" s="3" t="s">
        <v>60</v>
      </c>
      <c r="G585"/>
      <c r="H585" s="3" t="s">
        <v>60</v>
      </c>
      <c r="I585" s="82">
        <v>44514</v>
      </c>
      <c r="J585" s="17" t="s">
        <v>142</v>
      </c>
      <c r="K585" s="17" t="s">
        <v>203</v>
      </c>
      <c r="L585" s="17"/>
      <c r="M585">
        <v>180.8</v>
      </c>
      <c r="N585" s="17">
        <v>179.6</v>
      </c>
      <c r="O585" s="17">
        <v>141.72</v>
      </c>
      <c r="P585" s="17">
        <v>148.93</v>
      </c>
      <c r="Q585" s="17">
        <v>32.700000000000003</v>
      </c>
      <c r="R585" s="17">
        <v>8.66</v>
      </c>
      <c r="S585" s="17">
        <v>100.37</v>
      </c>
      <c r="T585" s="17">
        <v>84.91</v>
      </c>
      <c r="U585" s="50">
        <v>65.8</v>
      </c>
      <c r="V585" s="50">
        <v>58.66</v>
      </c>
      <c r="W585" s="50">
        <v>74.78</v>
      </c>
      <c r="X585" s="50">
        <v>84.74</v>
      </c>
      <c r="Y585" s="50">
        <v>41.69</v>
      </c>
      <c r="Z585" s="50">
        <v>97.67</v>
      </c>
      <c r="AA585" s="50">
        <v>73.09</v>
      </c>
      <c r="AB585" s="50">
        <v>78.12</v>
      </c>
      <c r="AC585" s="50">
        <v>20.49</v>
      </c>
      <c r="AD585" s="50">
        <v>42.93</v>
      </c>
      <c r="AE585" s="17">
        <v>24.15</v>
      </c>
      <c r="AF585" s="17">
        <v>26.02</v>
      </c>
      <c r="AG585" s="17">
        <v>36.630000000000003</v>
      </c>
      <c r="AH585" s="17">
        <v>32.340000000000003</v>
      </c>
      <c r="AI585" s="17">
        <v>1.9910000000000001</v>
      </c>
      <c r="AJ585" s="17"/>
      <c r="AK585" s="17"/>
      <c r="AL585" s="17">
        <v>16</v>
      </c>
      <c r="AM585" s="17"/>
      <c r="AN585" s="17"/>
      <c r="AO585" s="17">
        <f>15.2-3.2</f>
        <v>12</v>
      </c>
      <c r="AP585" s="17">
        <f>108.8-12.5</f>
        <v>96.3</v>
      </c>
      <c r="AQ585" s="17">
        <f>20-13</f>
        <v>7</v>
      </c>
      <c r="AR585" s="17">
        <v>46</v>
      </c>
      <c r="AS585" s="17">
        <v>20.5</v>
      </c>
      <c r="AT585" s="3" t="s">
        <v>372</v>
      </c>
      <c r="AU585" s="3"/>
    </row>
    <row r="586" spans="1:47" x14ac:dyDescent="0.2">
      <c r="A586" s="115">
        <v>583.99999999999966</v>
      </c>
      <c r="B586" s="3" t="s">
        <v>678</v>
      </c>
      <c r="C586" s="3">
        <v>21.584</v>
      </c>
      <c r="D586" s="131" t="s">
        <v>151</v>
      </c>
      <c r="E586" t="s">
        <v>162</v>
      </c>
      <c r="F586" s="3" t="s">
        <v>88</v>
      </c>
      <c r="G586" s="3" t="s">
        <v>88</v>
      </c>
      <c r="H586"/>
      <c r="I586" s="82">
        <v>44508</v>
      </c>
      <c r="J586" s="9" t="s">
        <v>142</v>
      </c>
      <c r="K586" s="9" t="s">
        <v>203</v>
      </c>
      <c r="N586" s="3">
        <v>201.8</v>
      </c>
      <c r="O586" s="3">
        <v>182.74</v>
      </c>
      <c r="P586" s="3">
        <v>193.11</v>
      </c>
      <c r="Q586" s="3">
        <v>45.86</v>
      </c>
      <c r="R586" s="3">
        <v>22.43</v>
      </c>
      <c r="S586" s="3">
        <v>119.54</v>
      </c>
      <c r="T586" s="3">
        <v>92.62</v>
      </c>
      <c r="U586" s="6">
        <v>66.02</v>
      </c>
      <c r="V586" s="6">
        <v>48.8</v>
      </c>
      <c r="W586" s="6">
        <v>72.88</v>
      </c>
      <c r="X586" s="6">
        <v>94.21</v>
      </c>
      <c r="Y586" s="6">
        <v>41.55</v>
      </c>
      <c r="Z586" s="6">
        <v>104.12</v>
      </c>
      <c r="AA586" s="6">
        <v>81.7</v>
      </c>
      <c r="AB586" s="6">
        <v>81.819999999999993</v>
      </c>
      <c r="AC586" s="6">
        <v>12.7</v>
      </c>
      <c r="AD586" s="6">
        <v>44.32</v>
      </c>
      <c r="AE586" s="3">
        <v>31.45</v>
      </c>
      <c r="AF586" s="3">
        <v>39.17</v>
      </c>
      <c r="AG586" s="3">
        <v>46.69</v>
      </c>
      <c r="AH586" s="3">
        <v>44.12</v>
      </c>
      <c r="AI586" s="3">
        <v>1.6319999999999999</v>
      </c>
      <c r="AL586" s="3">
        <v>30</v>
      </c>
      <c r="AO586" s="3">
        <f>19.3-3.2</f>
        <v>16.100000000000001</v>
      </c>
      <c r="AP586" s="3">
        <f>96.5-12.4</f>
        <v>84.1</v>
      </c>
      <c r="AQ586" s="3">
        <f>29.8-11.1</f>
        <v>18.700000000000003</v>
      </c>
      <c r="AR586" s="3">
        <v>46.2</v>
      </c>
      <c r="AS586" s="3">
        <v>20</v>
      </c>
      <c r="AT586" s="3" t="s">
        <v>147</v>
      </c>
      <c r="AU586" s="3"/>
    </row>
    <row r="587" spans="1:47" x14ac:dyDescent="0.2">
      <c r="A587" s="115">
        <v>585.00000000000091</v>
      </c>
      <c r="B587" s="3" t="s">
        <v>679</v>
      </c>
      <c r="C587" s="3">
        <v>21.585000000000001</v>
      </c>
      <c r="D587" s="125" t="s">
        <v>156</v>
      </c>
      <c r="E587" t="s">
        <v>491</v>
      </c>
      <c r="F587" s="3" t="s">
        <v>77</v>
      </c>
      <c r="G587" s="3" t="s">
        <v>77</v>
      </c>
      <c r="H587"/>
      <c r="I587" s="82">
        <v>44470</v>
      </c>
      <c r="J587" s="16" t="s">
        <v>142</v>
      </c>
      <c r="K587" s="17" t="s">
        <v>203</v>
      </c>
      <c r="L587" s="17"/>
      <c r="M587" s="17"/>
      <c r="N587" s="17">
        <v>193.4</v>
      </c>
      <c r="O587" s="17">
        <v>167.34</v>
      </c>
      <c r="P587" s="17">
        <v>176.32</v>
      </c>
      <c r="Q587" s="17">
        <v>36.1</v>
      </c>
      <c r="R587" s="17">
        <v>20.170000000000002</v>
      </c>
      <c r="S587" s="17">
        <v>115.81</v>
      </c>
      <c r="T587" s="17">
        <v>96.05</v>
      </c>
      <c r="U587" s="50">
        <v>59.81</v>
      </c>
      <c r="V587" s="50">
        <v>42.34</v>
      </c>
      <c r="W587" s="50">
        <v>69.59</v>
      </c>
      <c r="X587" s="50">
        <v>82.13</v>
      </c>
      <c r="Y587" s="50">
        <v>37.07</v>
      </c>
      <c r="Z587" s="50">
        <v>88.74</v>
      </c>
      <c r="AA587" s="50">
        <v>74.040000000000006</v>
      </c>
      <c r="AB587" s="50">
        <v>38.450000000000003</v>
      </c>
      <c r="AC587" s="50">
        <v>12.18</v>
      </c>
      <c r="AD587" s="50">
        <v>43.87</v>
      </c>
      <c r="AE587" s="17">
        <v>27.98</v>
      </c>
      <c r="AF587" s="17">
        <v>30.02</v>
      </c>
      <c r="AG587" s="17">
        <v>33.369999999999997</v>
      </c>
      <c r="AH587" s="17">
        <v>40.81</v>
      </c>
      <c r="AI587" s="17">
        <v>1.222</v>
      </c>
      <c r="AJ587" s="17"/>
      <c r="AK587" s="17"/>
      <c r="AL587" s="17">
        <v>18</v>
      </c>
      <c r="AM587" s="17"/>
      <c r="AN587" s="17"/>
      <c r="AO587" s="17">
        <f>14.9-3.2</f>
        <v>11.7</v>
      </c>
      <c r="AP587" s="17">
        <f>77-12</f>
        <v>65</v>
      </c>
      <c r="AQ587" s="17">
        <f>65-11.1</f>
        <v>53.9</v>
      </c>
      <c r="AR587" s="17">
        <v>43</v>
      </c>
      <c r="AS587" s="17">
        <v>19.2</v>
      </c>
      <c r="AT587" s="3" t="s">
        <v>147</v>
      </c>
      <c r="AU587" s="3"/>
    </row>
    <row r="588" spans="1:47" x14ac:dyDescent="0.2">
      <c r="A588" s="115">
        <v>585.99999999999852</v>
      </c>
      <c r="B588" s="3" t="s">
        <v>680</v>
      </c>
      <c r="C588" s="3">
        <v>21.585999999999999</v>
      </c>
      <c r="D588" s="125" t="s">
        <v>156</v>
      </c>
      <c r="E588" t="s">
        <v>491</v>
      </c>
      <c r="F588" s="3" t="s">
        <v>77</v>
      </c>
      <c r="G588" s="3" t="s">
        <v>77</v>
      </c>
      <c r="H588"/>
      <c r="I588" s="82">
        <v>44509</v>
      </c>
      <c r="J588" s="16" t="s">
        <v>142</v>
      </c>
      <c r="K588" s="17" t="s">
        <v>203</v>
      </c>
      <c r="L588" s="17"/>
      <c r="M588" s="17"/>
      <c r="N588" s="17">
        <f>166.5+13.6</f>
        <v>180.1</v>
      </c>
      <c r="O588" s="17">
        <v>162.68</v>
      </c>
      <c r="P588" s="17">
        <v>169.47</v>
      </c>
      <c r="Q588" s="17">
        <v>39.380000000000003</v>
      </c>
      <c r="R588" s="17">
        <v>13.97</v>
      </c>
      <c r="S588" s="17">
        <v>112.81</v>
      </c>
      <c r="T588" s="17">
        <v>93.94</v>
      </c>
      <c r="U588" s="50">
        <v>61.45</v>
      </c>
      <c r="V588" s="50">
        <v>42.6</v>
      </c>
      <c r="W588" s="50">
        <v>66.650000000000006</v>
      </c>
      <c r="X588" s="50">
        <v>76.38</v>
      </c>
      <c r="Y588" s="50">
        <v>32.520000000000003</v>
      </c>
      <c r="Z588" s="50">
        <v>84.93</v>
      </c>
      <c r="AA588" s="50">
        <v>69.44</v>
      </c>
      <c r="AB588" s="50">
        <v>70.02</v>
      </c>
      <c r="AC588" s="50">
        <v>12.28</v>
      </c>
      <c r="AD588" s="50">
        <v>45.34</v>
      </c>
      <c r="AE588" s="17">
        <v>22.85</v>
      </c>
      <c r="AF588" s="17">
        <v>26.29</v>
      </c>
      <c r="AG588" s="17">
        <v>42.69</v>
      </c>
      <c r="AH588" s="17">
        <v>41.18</v>
      </c>
      <c r="AI588" s="17">
        <v>1.244</v>
      </c>
      <c r="AJ588" s="17"/>
      <c r="AK588" s="17"/>
      <c r="AL588" s="17">
        <v>14</v>
      </c>
      <c r="AM588" s="17"/>
      <c r="AN588" s="17"/>
      <c r="AO588" s="17">
        <f>17.2-3.2</f>
        <v>14</v>
      </c>
      <c r="AP588" s="17">
        <f>82.2-12.6</f>
        <v>69.600000000000009</v>
      </c>
      <c r="AQ588" s="17">
        <f>52.9-11.2</f>
        <v>41.7</v>
      </c>
      <c r="AR588" s="17">
        <v>38.700000000000003</v>
      </c>
      <c r="AS588" s="17">
        <v>17.399999999999999</v>
      </c>
      <c r="AT588" s="3" t="s">
        <v>147</v>
      </c>
      <c r="AU588" s="3"/>
    </row>
    <row r="589" spans="1:47" x14ac:dyDescent="0.2">
      <c r="A589" s="115">
        <v>586.99999999999977</v>
      </c>
      <c r="B589" s="3" t="s">
        <v>681</v>
      </c>
      <c r="C589" s="3">
        <v>21.587</v>
      </c>
      <c r="D589" s="125" t="s">
        <v>156</v>
      </c>
      <c r="E589" t="s">
        <v>491</v>
      </c>
      <c r="F589" s="3" t="s">
        <v>77</v>
      </c>
      <c r="G589" s="3" t="s">
        <v>77</v>
      </c>
      <c r="H589"/>
      <c r="I589" s="82">
        <v>44470</v>
      </c>
      <c r="J589" s="16" t="s">
        <v>142</v>
      </c>
      <c r="K589" s="17" t="s">
        <v>203</v>
      </c>
      <c r="L589" s="17"/>
      <c r="M589" s="17"/>
      <c r="N589" s="17">
        <v>187.4</v>
      </c>
      <c r="O589" s="17">
        <v>158.35</v>
      </c>
      <c r="P589" s="17">
        <v>168.96</v>
      </c>
      <c r="Q589" s="17">
        <v>36.409999999999997</v>
      </c>
      <c r="R589" s="17">
        <v>11.27</v>
      </c>
      <c r="S589" s="17">
        <v>113.92</v>
      </c>
      <c r="T589" s="17">
        <v>91.46</v>
      </c>
      <c r="U589" s="50">
        <v>60.84</v>
      </c>
      <c r="V589" s="50">
        <v>43.82</v>
      </c>
      <c r="W589" s="50">
        <v>63.73</v>
      </c>
      <c r="X589" s="50">
        <v>75.89</v>
      </c>
      <c r="Y589" s="50">
        <v>33.590000000000003</v>
      </c>
      <c r="Z589" s="50">
        <v>84.92</v>
      </c>
      <c r="AA589" s="50">
        <v>70.150000000000006</v>
      </c>
      <c r="AB589" s="50">
        <v>67.430000000000007</v>
      </c>
      <c r="AC589" s="50">
        <v>13.38</v>
      </c>
      <c r="AD589" s="50">
        <v>45.21</v>
      </c>
      <c r="AE589" s="17">
        <v>22.35</v>
      </c>
      <c r="AF589" s="17">
        <v>25.84</v>
      </c>
      <c r="AG589" s="17">
        <v>39.5</v>
      </c>
      <c r="AH589" s="17">
        <v>43.14</v>
      </c>
      <c r="AI589" s="17">
        <v>1.3560000000000001</v>
      </c>
      <c r="AJ589" s="17"/>
      <c r="AK589" s="17"/>
      <c r="AL589" s="17">
        <v>6</v>
      </c>
      <c r="AM589" s="17"/>
      <c r="AN589" s="17"/>
      <c r="AO589" s="17">
        <f>14.4-3.2</f>
        <v>11.2</v>
      </c>
      <c r="AP589" s="17">
        <f>70.8-12.7</f>
        <v>58.099999999999994</v>
      </c>
      <c r="AQ589" s="17">
        <f>77.2-11.3</f>
        <v>65.900000000000006</v>
      </c>
      <c r="AR589" s="17">
        <v>43.3</v>
      </c>
      <c r="AS589" s="17">
        <v>19.3</v>
      </c>
      <c r="AT589" s="3" t="s">
        <v>147</v>
      </c>
      <c r="AU589" s="3"/>
    </row>
    <row r="590" spans="1:47" x14ac:dyDescent="0.2">
      <c r="A590" s="115">
        <v>588.00000000000091</v>
      </c>
      <c r="B590" s="3" t="s">
        <v>682</v>
      </c>
      <c r="C590" s="3">
        <v>21.588000000000001</v>
      </c>
      <c r="D590" s="125" t="s">
        <v>156</v>
      </c>
      <c r="E590" t="s">
        <v>491</v>
      </c>
      <c r="F590" s="3" t="s">
        <v>77</v>
      </c>
      <c r="G590" s="3" t="s">
        <v>77</v>
      </c>
      <c r="H590"/>
      <c r="I590" s="82">
        <v>44470</v>
      </c>
      <c r="J590" s="16" t="s">
        <v>142</v>
      </c>
      <c r="K590" s="17" t="s">
        <v>203</v>
      </c>
      <c r="L590" s="17"/>
      <c r="M590" s="17"/>
      <c r="N590" s="17">
        <v>188.4</v>
      </c>
      <c r="O590" s="17">
        <v>154.66</v>
      </c>
      <c r="P590" s="17">
        <v>162.27000000000001</v>
      </c>
      <c r="Q590" s="17">
        <v>34.49</v>
      </c>
      <c r="R590" s="17">
        <v>11.66</v>
      </c>
      <c r="S590" s="17">
        <v>110.25</v>
      </c>
      <c r="T590" s="17">
        <v>91.77</v>
      </c>
      <c r="U590" s="50">
        <v>60.06</v>
      </c>
      <c r="V590" s="50">
        <v>45.12</v>
      </c>
      <c r="W590" s="50">
        <v>66.25</v>
      </c>
      <c r="X590" s="50">
        <v>79.13</v>
      </c>
      <c r="Y590" s="50">
        <v>35.64</v>
      </c>
      <c r="Z590" s="50">
        <v>86.14</v>
      </c>
      <c r="AA590" s="50">
        <v>70.86</v>
      </c>
      <c r="AB590" s="50">
        <v>70.19</v>
      </c>
      <c r="AC590" s="50">
        <v>10.99</v>
      </c>
      <c r="AD590" s="50">
        <v>45.68</v>
      </c>
      <c r="AE590" s="17">
        <v>20.61</v>
      </c>
      <c r="AF590" s="17">
        <v>21.72</v>
      </c>
      <c r="AG590" s="17">
        <v>39.659999999999997</v>
      </c>
      <c r="AH590" s="17">
        <v>38.44</v>
      </c>
      <c r="AI590" s="17">
        <v>1.3640000000000001</v>
      </c>
      <c r="AJ590" s="17"/>
      <c r="AK590" s="17"/>
      <c r="AL590" s="17"/>
      <c r="AM590" s="17"/>
      <c r="AN590" s="17"/>
      <c r="AO590" s="17">
        <f>12.2-3.2</f>
        <v>9</v>
      </c>
      <c r="AP590" s="17">
        <f>79.1-12.6</f>
        <v>66.5</v>
      </c>
      <c r="AQ590" s="17">
        <f>77.5-13</f>
        <v>64.5</v>
      </c>
      <c r="AR590" s="17">
        <v>43.1</v>
      </c>
      <c r="AS590" s="17">
        <v>19.100000000000001</v>
      </c>
      <c r="AT590" s="3" t="s">
        <v>372</v>
      </c>
      <c r="AU590" s="3"/>
    </row>
    <row r="591" spans="1:47" x14ac:dyDescent="0.2">
      <c r="A591" s="115">
        <v>588.99999999999864</v>
      </c>
      <c r="B591" s="3" t="s">
        <v>683</v>
      </c>
      <c r="C591" s="3">
        <v>21.588999999999999</v>
      </c>
      <c r="D591" s="125" t="s">
        <v>156</v>
      </c>
      <c r="E591" t="s">
        <v>491</v>
      </c>
      <c r="F591" s="3" t="s">
        <v>77</v>
      </c>
      <c r="G591" s="3" t="s">
        <v>77</v>
      </c>
      <c r="H591"/>
      <c r="I591" s="82">
        <v>44482</v>
      </c>
      <c r="J591" s="16" t="s">
        <v>142</v>
      </c>
      <c r="K591" s="17" t="s">
        <v>203</v>
      </c>
      <c r="L591" s="17"/>
      <c r="M591" s="17"/>
      <c r="N591" s="17">
        <v>175.2</v>
      </c>
      <c r="O591" s="17">
        <v>171.08</v>
      </c>
      <c r="P591" s="17">
        <v>171.67</v>
      </c>
      <c r="Q591" s="17">
        <v>37.340000000000003</v>
      </c>
      <c r="R591" s="17">
        <v>18.809999999999999</v>
      </c>
      <c r="S591" s="17">
        <v>114.03</v>
      </c>
      <c r="T591" s="17">
        <v>88.54</v>
      </c>
      <c r="U591" s="50">
        <v>60.62</v>
      </c>
      <c r="V591" s="50">
        <v>42.26</v>
      </c>
      <c r="W591" s="50">
        <v>69.38</v>
      </c>
      <c r="X591" s="50">
        <v>80.290000000000006</v>
      </c>
      <c r="Y591" s="50">
        <v>37.07</v>
      </c>
      <c r="Z591" s="50">
        <v>86.78</v>
      </c>
      <c r="AA591" s="50">
        <v>71.41</v>
      </c>
      <c r="AB591" s="50">
        <v>69.06</v>
      </c>
      <c r="AC591" s="50">
        <v>12.82</v>
      </c>
      <c r="AD591" s="50">
        <v>43.93</v>
      </c>
      <c r="AE591" s="17">
        <v>29.52</v>
      </c>
      <c r="AF591" s="17">
        <v>31.81</v>
      </c>
      <c r="AG591" s="17">
        <v>42.19</v>
      </c>
      <c r="AH591" s="17">
        <v>41.61</v>
      </c>
      <c r="AI591" s="17">
        <v>1.2949999999999999</v>
      </c>
      <c r="AJ591" s="17"/>
      <c r="AK591" s="17"/>
      <c r="AL591" s="17">
        <v>8</v>
      </c>
      <c r="AM591" s="17"/>
      <c r="AN591" s="17"/>
      <c r="AO591" s="17">
        <f>13.5-3.2</f>
        <v>10.3</v>
      </c>
      <c r="AP591" s="17">
        <f>74.8-12.6</f>
        <v>62.199999999999996</v>
      </c>
      <c r="AQ591" s="17">
        <f>55.5-11.3</f>
        <v>44.2</v>
      </c>
      <c r="AR591" s="17">
        <v>42.6</v>
      </c>
      <c r="AS591" s="17">
        <v>19.100000000000001</v>
      </c>
      <c r="AT591" s="3" t="s">
        <v>147</v>
      </c>
      <c r="AU591" s="3"/>
    </row>
    <row r="592" spans="1:47" x14ac:dyDescent="0.2">
      <c r="A592" s="115">
        <v>589.99999999999989</v>
      </c>
      <c r="B592" s="3" t="s">
        <v>684</v>
      </c>
      <c r="C592" s="12" t="s">
        <v>685</v>
      </c>
      <c r="D592" s="125" t="s">
        <v>156</v>
      </c>
      <c r="E592" t="s">
        <v>491</v>
      </c>
      <c r="F592" s="3" t="s">
        <v>77</v>
      </c>
      <c r="G592" s="3" t="s">
        <v>77</v>
      </c>
      <c r="H592"/>
      <c r="I592" s="82">
        <v>44479</v>
      </c>
      <c r="J592" s="16" t="s">
        <v>142</v>
      </c>
      <c r="K592" s="17" t="s">
        <v>203</v>
      </c>
      <c r="L592" s="17"/>
      <c r="M592" s="17"/>
      <c r="N592" s="17">
        <v>195.1</v>
      </c>
      <c r="O592" s="17">
        <v>166.18</v>
      </c>
      <c r="P592" s="17">
        <v>173.14</v>
      </c>
      <c r="Q592" s="17">
        <v>38.869999999999997</v>
      </c>
      <c r="R592" s="17">
        <v>15.19</v>
      </c>
      <c r="S592" s="17">
        <v>115.27</v>
      </c>
      <c r="T592" s="17">
        <v>93.17</v>
      </c>
      <c r="U592" s="50">
        <v>58.15</v>
      </c>
      <c r="V592" s="50">
        <v>44.28</v>
      </c>
      <c r="W592" s="50">
        <v>67.22</v>
      </c>
      <c r="X592" s="50">
        <v>79.44</v>
      </c>
      <c r="Y592" s="50">
        <v>35.130000000000003</v>
      </c>
      <c r="Z592" s="50">
        <v>86.69</v>
      </c>
      <c r="AA592" s="50">
        <v>71.19</v>
      </c>
      <c r="AB592" s="50">
        <v>67.239999999999995</v>
      </c>
      <c r="AC592" s="50">
        <v>12.75</v>
      </c>
      <c r="AD592" s="50">
        <v>45.74</v>
      </c>
      <c r="AE592" s="17">
        <v>24.7</v>
      </c>
      <c r="AF592" s="17">
        <v>30.26</v>
      </c>
      <c r="AG592" s="17">
        <v>40.18</v>
      </c>
      <c r="AH592" s="17">
        <v>42.47</v>
      </c>
      <c r="AI592" s="17">
        <v>1.5580000000000001</v>
      </c>
      <c r="AJ592" s="17"/>
      <c r="AK592" s="17"/>
      <c r="AL592" s="17">
        <v>10</v>
      </c>
      <c r="AM592" s="17"/>
      <c r="AN592" s="17"/>
      <c r="AO592" s="17">
        <f>13.4-3.2</f>
        <v>10.199999999999999</v>
      </c>
      <c r="AP592" s="17">
        <f>87.3-11.7</f>
        <v>75.599999999999994</v>
      </c>
      <c r="AQ592" s="17">
        <f>64.9-12</f>
        <v>52.900000000000006</v>
      </c>
      <c r="AR592" s="17">
        <v>44.9</v>
      </c>
      <c r="AS592" s="17">
        <v>20.3</v>
      </c>
      <c r="AT592" s="3" t="s">
        <v>147</v>
      </c>
      <c r="AU592" s="3"/>
    </row>
    <row r="593" spans="1:47" x14ac:dyDescent="0.2">
      <c r="A593" s="115">
        <v>591.00000000000114</v>
      </c>
      <c r="B593" s="3" t="s">
        <v>686</v>
      </c>
      <c r="C593" s="3">
        <v>21.591000000000001</v>
      </c>
      <c r="D593" s="125" t="s">
        <v>156</v>
      </c>
      <c r="E593" t="s">
        <v>491</v>
      </c>
      <c r="F593" s="3" t="s">
        <v>77</v>
      </c>
      <c r="G593" s="3" t="s">
        <v>77</v>
      </c>
      <c r="I593" s="82">
        <v>44470</v>
      </c>
      <c r="J593" s="16" t="s">
        <v>142</v>
      </c>
      <c r="K593" s="17" t="s">
        <v>203</v>
      </c>
      <c r="L593" s="17"/>
      <c r="M593" s="17"/>
      <c r="N593" s="17">
        <v>203.1</v>
      </c>
      <c r="O593" s="17">
        <v>170.22</v>
      </c>
      <c r="P593" s="17">
        <v>173.44</v>
      </c>
      <c r="Q593" s="17">
        <v>36.04</v>
      </c>
      <c r="R593" s="17">
        <v>19</v>
      </c>
      <c r="S593" s="17">
        <v>117.53</v>
      </c>
      <c r="T593" s="17">
        <v>94.06</v>
      </c>
      <c r="U593" s="50">
        <v>59.9</v>
      </c>
      <c r="V593" s="50">
        <v>42.5</v>
      </c>
      <c r="W593" s="50">
        <v>67.650000000000006</v>
      </c>
      <c r="X593" s="50">
        <v>80.75</v>
      </c>
      <c r="Y593" s="50">
        <v>35.200000000000003</v>
      </c>
      <c r="Z593" s="50">
        <v>89.32</v>
      </c>
      <c r="AA593" s="50">
        <v>76.39</v>
      </c>
      <c r="AB593" s="50">
        <v>69.17</v>
      </c>
      <c r="AC593" s="50">
        <v>12.16</v>
      </c>
      <c r="AD593" s="50"/>
      <c r="AE593" s="17">
        <v>32.47</v>
      </c>
      <c r="AF593" s="17">
        <v>28.76</v>
      </c>
      <c r="AG593" s="17">
        <v>40.619999999999997</v>
      </c>
      <c r="AH593" s="17">
        <v>41.37</v>
      </c>
      <c r="AI593" s="17">
        <v>1.1539999999999999</v>
      </c>
      <c r="AJ593" s="17"/>
      <c r="AK593" s="17"/>
      <c r="AL593" s="17"/>
      <c r="AM593" s="17"/>
      <c r="AN593" s="17"/>
      <c r="AO593" s="17">
        <f>13.3-3.3</f>
        <v>10</v>
      </c>
      <c r="AP593" s="17">
        <f>19-11.7</f>
        <v>7.3000000000000007</v>
      </c>
      <c r="AQ593" s="17">
        <f>151.2-11.3</f>
        <v>139.89999999999998</v>
      </c>
      <c r="AR593" s="17">
        <v>43</v>
      </c>
      <c r="AS593" s="17">
        <v>19</v>
      </c>
      <c r="AT593" s="3" t="s">
        <v>147</v>
      </c>
      <c r="AU593" s="3"/>
    </row>
    <row r="594" spans="1:47" x14ac:dyDescent="0.2">
      <c r="A594" s="115">
        <v>591.99999999999875</v>
      </c>
      <c r="B594" s="3" t="s">
        <v>371</v>
      </c>
      <c r="C594" s="3">
        <v>21.591999999999999</v>
      </c>
      <c r="D594" s="139" t="s">
        <v>179</v>
      </c>
      <c r="E594" s="146" t="s">
        <v>180</v>
      </c>
      <c r="F594" s="3" t="s">
        <v>181</v>
      </c>
      <c r="G594" s="3">
        <v>259</v>
      </c>
      <c r="I594" s="82">
        <v>44473</v>
      </c>
      <c r="J594" s="17" t="s">
        <v>142</v>
      </c>
      <c r="K594" s="17" t="s">
        <v>235</v>
      </c>
      <c r="L594" s="17"/>
      <c r="M594" s="17">
        <v>265</v>
      </c>
      <c r="N594" s="17">
        <v>271.74</v>
      </c>
      <c r="O594" s="17">
        <v>196.25</v>
      </c>
      <c r="P594" s="17">
        <v>205.53</v>
      </c>
      <c r="Q594" s="17">
        <v>42.54</v>
      </c>
      <c r="R594" s="17">
        <v>22.65</v>
      </c>
      <c r="S594" s="17">
        <v>132.03</v>
      </c>
      <c r="T594" s="17">
        <v>106.89</v>
      </c>
      <c r="U594" s="50">
        <v>58.16</v>
      </c>
      <c r="V594" s="50">
        <v>44.32</v>
      </c>
      <c r="W594" s="50">
        <v>68.23</v>
      </c>
      <c r="X594" s="50">
        <v>84.36</v>
      </c>
      <c r="Y594" s="50">
        <v>37.17</v>
      </c>
      <c r="Z594" s="50">
        <v>94.97</v>
      </c>
      <c r="AA594" s="50">
        <v>80.489999999999995</v>
      </c>
      <c r="AB594" s="50">
        <v>67.58</v>
      </c>
      <c r="AC594" s="50">
        <v>8.94</v>
      </c>
      <c r="AD594" s="50">
        <v>52.48</v>
      </c>
      <c r="AE594" s="17">
        <v>35.53</v>
      </c>
      <c r="AF594" s="17">
        <v>31.19</v>
      </c>
      <c r="AG594" s="17">
        <v>44.86</v>
      </c>
      <c r="AH594" s="17">
        <v>44.42</v>
      </c>
      <c r="AI594" s="17">
        <v>1.0389999999999999</v>
      </c>
      <c r="AJ594" s="17">
        <v>38.08</v>
      </c>
      <c r="AK594" s="17"/>
      <c r="AL594" s="17"/>
      <c r="AM594" s="17"/>
      <c r="AN594" s="17">
        <v>136</v>
      </c>
      <c r="AO594" s="17"/>
      <c r="AP594" s="17"/>
      <c r="AQ594" s="17"/>
      <c r="AR594" s="17"/>
      <c r="AS594" s="17"/>
    </row>
    <row r="595" spans="1:47" x14ac:dyDescent="0.2">
      <c r="A595" s="115">
        <v>593</v>
      </c>
      <c r="B595" s="3" t="s">
        <v>335</v>
      </c>
      <c r="C595" s="3">
        <v>21.593</v>
      </c>
      <c r="D595" s="139" t="s">
        <v>179</v>
      </c>
      <c r="E595" s="146" t="s">
        <v>180</v>
      </c>
      <c r="F595" s="3" t="s">
        <v>181</v>
      </c>
      <c r="H595" s="3" t="s">
        <v>182</v>
      </c>
      <c r="I595" s="82">
        <v>44473</v>
      </c>
      <c r="J595" s="17" t="s">
        <v>142</v>
      </c>
      <c r="K595" s="17" t="s">
        <v>235</v>
      </c>
      <c r="L595" s="17"/>
      <c r="M595" s="17">
        <v>255</v>
      </c>
      <c r="N595" s="17">
        <v>256.55</v>
      </c>
      <c r="O595" s="17">
        <v>201.81</v>
      </c>
      <c r="P595" s="17">
        <v>212</v>
      </c>
      <c r="Q595" s="17">
        <v>42.76</v>
      </c>
      <c r="R595" s="17">
        <v>29.43</v>
      </c>
      <c r="S595" s="17">
        <v>137.84</v>
      </c>
      <c r="T595" s="17">
        <v>115.53</v>
      </c>
      <c r="U595" s="50">
        <v>59.14</v>
      </c>
      <c r="V595" s="50">
        <v>42.9</v>
      </c>
      <c r="W595" s="50">
        <v>67.540000000000006</v>
      </c>
      <c r="X595" s="50">
        <v>84.49</v>
      </c>
      <c r="Y595" s="50">
        <v>36.9</v>
      </c>
      <c r="Z595" s="50">
        <v>91.08</v>
      </c>
      <c r="AA595" s="50">
        <v>75.55</v>
      </c>
      <c r="AB595" s="50">
        <v>64.209999999999994</v>
      </c>
      <c r="AC595" s="50">
        <v>9.35</v>
      </c>
      <c r="AD595" s="50">
        <v>53.24</v>
      </c>
      <c r="AE595" s="17">
        <v>31.09</v>
      </c>
      <c r="AF595" s="17">
        <v>33.22</v>
      </c>
      <c r="AG595" s="17">
        <v>38.26</v>
      </c>
      <c r="AH595" s="17">
        <v>48.2</v>
      </c>
      <c r="AI595" s="17">
        <v>1.2310000000000001</v>
      </c>
      <c r="AJ595" s="17">
        <v>31.18</v>
      </c>
      <c r="AK595" s="17"/>
      <c r="AL595" s="17"/>
      <c r="AM595" s="17"/>
      <c r="AN595" s="17">
        <v>135</v>
      </c>
      <c r="AO595" s="17"/>
      <c r="AP595" s="17"/>
      <c r="AQ595" s="17"/>
      <c r="AR595" s="17"/>
      <c r="AS595" s="17"/>
    </row>
    <row r="596" spans="1:47" x14ac:dyDescent="0.2">
      <c r="A596" s="115">
        <v>594.00000000000114</v>
      </c>
      <c r="B596" s="3" t="s">
        <v>332</v>
      </c>
      <c r="C596" s="3">
        <v>21.594000000000001</v>
      </c>
      <c r="D596" s="139" t="s">
        <v>179</v>
      </c>
      <c r="E596" s="146" t="s">
        <v>180</v>
      </c>
      <c r="F596" s="3" t="s">
        <v>181</v>
      </c>
      <c r="G596" s="3">
        <v>259</v>
      </c>
      <c r="I596" s="82">
        <v>44473</v>
      </c>
      <c r="J596" s="17" t="s">
        <v>142</v>
      </c>
      <c r="K596" s="17" t="s">
        <v>235</v>
      </c>
      <c r="L596" s="17"/>
      <c r="M596" s="17">
        <v>260</v>
      </c>
      <c r="N596" s="17">
        <v>261.16000000000003</v>
      </c>
      <c r="O596" s="17">
        <v>188.71</v>
      </c>
      <c r="P596" s="17">
        <v>196.25</v>
      </c>
      <c r="Q596" s="17">
        <v>45.98</v>
      </c>
      <c r="R596" s="17">
        <v>23.18</v>
      </c>
      <c r="S596" s="17">
        <v>126.63</v>
      </c>
      <c r="T596" s="17">
        <v>102.74</v>
      </c>
      <c r="U596" s="50">
        <v>64.319999999999993</v>
      </c>
      <c r="V596" s="50">
        <v>45.34</v>
      </c>
      <c r="W596" s="50">
        <v>70.08</v>
      </c>
      <c r="X596" s="50">
        <v>87.34</v>
      </c>
      <c r="Y596" s="50">
        <v>38.090000000000003</v>
      </c>
      <c r="Z596" s="50">
        <v>95.52</v>
      </c>
      <c r="AA596" s="50">
        <v>80.510000000000005</v>
      </c>
      <c r="AB596" s="50">
        <v>72.06</v>
      </c>
      <c r="AC596" s="50">
        <v>11.01</v>
      </c>
      <c r="AD596" s="50">
        <v>51.04</v>
      </c>
      <c r="AE596" s="17">
        <v>30.98</v>
      </c>
      <c r="AF596" s="17">
        <v>37.74</v>
      </c>
      <c r="AG596" s="17">
        <v>35.770000000000003</v>
      </c>
      <c r="AH596" s="17">
        <v>48.56</v>
      </c>
      <c r="AI596" s="17">
        <v>1.268</v>
      </c>
      <c r="AJ596" s="17">
        <v>37.08</v>
      </c>
      <c r="AK596" s="17"/>
      <c r="AL596" s="17"/>
      <c r="AM596" s="17"/>
      <c r="AN596" s="17">
        <v>140</v>
      </c>
      <c r="AO596" s="17"/>
      <c r="AP596" s="17"/>
      <c r="AQ596" s="17"/>
      <c r="AR596" s="17"/>
      <c r="AS596" s="17"/>
    </row>
    <row r="597" spans="1:47" x14ac:dyDescent="0.2">
      <c r="A597" s="115">
        <v>594.99999999999886</v>
      </c>
      <c r="B597" s="3">
        <v>164</v>
      </c>
      <c r="C597" s="3">
        <v>21.594999999999999</v>
      </c>
      <c r="D597" s="129" t="s">
        <v>140</v>
      </c>
      <c r="E597" t="s">
        <v>141</v>
      </c>
      <c r="F597" s="3" t="s">
        <v>61</v>
      </c>
      <c r="H597" s="3" t="s">
        <v>61</v>
      </c>
      <c r="I597" s="82">
        <v>44499</v>
      </c>
      <c r="J597" s="17" t="s">
        <v>142</v>
      </c>
      <c r="K597" s="17" t="s">
        <v>235</v>
      </c>
      <c r="L597" s="17"/>
      <c r="M597" s="17">
        <v>241</v>
      </c>
      <c r="N597" s="17">
        <v>246.68</v>
      </c>
      <c r="O597" s="17">
        <v>184.05</v>
      </c>
      <c r="P597" s="17">
        <v>197.92</v>
      </c>
      <c r="Q597" s="17">
        <v>35.89</v>
      </c>
      <c r="R597" s="17">
        <v>29.89</v>
      </c>
      <c r="S597" s="17">
        <v>128.07</v>
      </c>
      <c r="T597" s="17">
        <v>105.25</v>
      </c>
      <c r="U597" s="50">
        <v>58.8</v>
      </c>
      <c r="V597" s="50">
        <v>40.89</v>
      </c>
      <c r="W597" s="50">
        <v>71.489999999999995</v>
      </c>
      <c r="X597" s="50">
        <v>85.48</v>
      </c>
      <c r="Y597" s="50">
        <v>33.520000000000003</v>
      </c>
      <c r="Z597" s="50">
        <v>93.58</v>
      </c>
      <c r="AA597" s="50">
        <v>76.97</v>
      </c>
      <c r="AB597" s="50">
        <v>63.06</v>
      </c>
      <c r="AC597" s="50">
        <v>14.82</v>
      </c>
      <c r="AD597" s="50">
        <v>52.17</v>
      </c>
      <c r="AE597" s="17">
        <v>43.65</v>
      </c>
      <c r="AF597" s="17">
        <v>47.58</v>
      </c>
      <c r="AG597" s="17">
        <v>38.020000000000003</v>
      </c>
      <c r="AH597" s="17">
        <v>32.49</v>
      </c>
      <c r="AI597" s="17">
        <v>0.997</v>
      </c>
      <c r="AJ597" s="17"/>
      <c r="AK597" s="17"/>
      <c r="AL597" s="17"/>
      <c r="AM597" s="17"/>
      <c r="AN597" s="17">
        <v>93</v>
      </c>
      <c r="AO597" s="17"/>
      <c r="AP597" s="17"/>
      <c r="AQ597" s="17"/>
      <c r="AR597" s="17"/>
      <c r="AS597" s="17"/>
      <c r="AT597" s="3"/>
      <c r="AU597" s="3"/>
    </row>
    <row r="598" spans="1:47" x14ac:dyDescent="0.2">
      <c r="A598" s="115">
        <v>596.00000000000011</v>
      </c>
      <c r="B598" s="3">
        <v>67</v>
      </c>
      <c r="C598" s="3">
        <v>21.596</v>
      </c>
      <c r="D598" s="139" t="s">
        <v>179</v>
      </c>
      <c r="E598" t="s">
        <v>180</v>
      </c>
      <c r="F598" s="3" t="s">
        <v>181</v>
      </c>
      <c r="G598" s="3">
        <v>8</v>
      </c>
      <c r="I598" s="82">
        <v>44491</v>
      </c>
      <c r="J598" s="17" t="s">
        <v>142</v>
      </c>
      <c r="K598" s="17" t="s">
        <v>235</v>
      </c>
      <c r="L598" s="17"/>
      <c r="M598" s="17">
        <v>265</v>
      </c>
      <c r="N598" s="17">
        <v>271.8</v>
      </c>
      <c r="O598" s="17">
        <v>202.7</v>
      </c>
      <c r="P598" s="17">
        <v>212</v>
      </c>
      <c r="Q598" s="17">
        <v>46.73</v>
      </c>
      <c r="R598" s="17">
        <v>26.34</v>
      </c>
      <c r="S598" s="17">
        <v>133.24</v>
      </c>
      <c r="T598" s="17">
        <v>110.34</v>
      </c>
      <c r="U598" s="50">
        <v>60.71</v>
      </c>
      <c r="V598" s="50">
        <v>47.59</v>
      </c>
      <c r="W598" s="50">
        <v>69.37</v>
      </c>
      <c r="X598" s="50">
        <v>85.64</v>
      </c>
      <c r="Y598" s="50">
        <v>42.37</v>
      </c>
      <c r="Z598" s="50">
        <v>91.97</v>
      </c>
      <c r="AA598" s="50">
        <v>76.73</v>
      </c>
      <c r="AB598" s="50">
        <v>66.91</v>
      </c>
      <c r="AC598" s="50">
        <v>15</v>
      </c>
      <c r="AD598" s="50">
        <v>54.27</v>
      </c>
      <c r="AE598" s="17">
        <v>30.49</v>
      </c>
      <c r="AF598" s="17">
        <v>33.83</v>
      </c>
      <c r="AG598" s="17">
        <v>42.65</v>
      </c>
      <c r="AH598" s="17">
        <v>46.29</v>
      </c>
      <c r="AI598" s="17">
        <v>0.94699999999999995</v>
      </c>
      <c r="AJ598" s="17">
        <v>30.91</v>
      </c>
      <c r="AK598" s="17"/>
      <c r="AL598" s="17"/>
      <c r="AM598" s="17"/>
      <c r="AN598" s="17">
        <v>128</v>
      </c>
      <c r="AO598" s="17"/>
      <c r="AP598" s="17"/>
      <c r="AQ598" s="17"/>
      <c r="AR598" s="17"/>
      <c r="AS598" s="17"/>
      <c r="AT598" s="3"/>
      <c r="AU598" s="3"/>
    </row>
    <row r="599" spans="1:47" x14ac:dyDescent="0.2">
      <c r="A599" s="115">
        <v>597.00000000000136</v>
      </c>
      <c r="B599" s="3">
        <v>69</v>
      </c>
      <c r="C599" s="3">
        <v>21.597000000000001</v>
      </c>
      <c r="D599" s="139" t="s">
        <v>179</v>
      </c>
      <c r="E599" t="s">
        <v>180</v>
      </c>
      <c r="F599" s="3" t="s">
        <v>181</v>
      </c>
      <c r="G599"/>
      <c r="H599" s="3" t="s">
        <v>268</v>
      </c>
      <c r="I599" s="127">
        <v>44500</v>
      </c>
      <c r="J599" s="17" t="s">
        <v>142</v>
      </c>
      <c r="K599" s="17" t="s">
        <v>235</v>
      </c>
      <c r="L599" s="17"/>
      <c r="M599" s="17">
        <v>265</v>
      </c>
      <c r="N599" s="17">
        <v>271.95999999999998</v>
      </c>
      <c r="O599" s="17">
        <v>195.51</v>
      </c>
      <c r="P599" s="17">
        <v>204.51</v>
      </c>
      <c r="Q599" s="17">
        <v>42.98</v>
      </c>
      <c r="R599" s="17">
        <v>28.29</v>
      </c>
      <c r="S599" s="17">
        <v>130.88</v>
      </c>
      <c r="T599" s="17">
        <v>103.83</v>
      </c>
      <c r="U599" s="50">
        <v>60.25</v>
      </c>
      <c r="V599" s="50">
        <v>45.05</v>
      </c>
      <c r="W599" s="50">
        <v>67.72</v>
      </c>
      <c r="X599" s="50">
        <v>86.36</v>
      </c>
      <c r="Y599" s="50">
        <v>39.450000000000003</v>
      </c>
      <c r="Z599" s="50">
        <v>95.14</v>
      </c>
      <c r="AA599" s="50">
        <v>82.05</v>
      </c>
      <c r="AB599" s="50">
        <v>71.34</v>
      </c>
      <c r="AC599" s="50">
        <v>10.9</v>
      </c>
      <c r="AD599" s="50">
        <v>51.01</v>
      </c>
      <c r="AE599" s="17">
        <v>32.090000000000003</v>
      </c>
      <c r="AF599" s="17">
        <v>32.020000000000003</v>
      </c>
      <c r="AG599" s="17">
        <v>39.31</v>
      </c>
      <c r="AH599" s="17">
        <v>42.01</v>
      </c>
      <c r="AI599" s="17">
        <v>0.89600000000000002</v>
      </c>
      <c r="AJ599" s="17">
        <v>36.14</v>
      </c>
      <c r="AK599" s="17"/>
      <c r="AL599" s="17"/>
      <c r="AM599" s="17"/>
      <c r="AN599" s="17">
        <f>55+90</f>
        <v>145</v>
      </c>
      <c r="AO599" s="17"/>
      <c r="AP599" s="17"/>
      <c r="AQ599" s="17"/>
      <c r="AR599" s="17"/>
      <c r="AS599" s="17"/>
      <c r="AT599" s="3"/>
      <c r="AU599" s="3"/>
    </row>
    <row r="600" spans="1:47" x14ac:dyDescent="0.2">
      <c r="A600" s="115">
        <v>597.99999999999898</v>
      </c>
      <c r="B600" s="3" t="s">
        <v>375</v>
      </c>
      <c r="C600" s="3">
        <v>21.597999999999999</v>
      </c>
      <c r="D600" s="139" t="s">
        <v>179</v>
      </c>
      <c r="E600" s="146" t="s">
        <v>180</v>
      </c>
      <c r="F600" s="3" t="s">
        <v>181</v>
      </c>
      <c r="G600"/>
      <c r="H600" s="3" t="s">
        <v>268</v>
      </c>
      <c r="I600" s="82">
        <v>44470</v>
      </c>
      <c r="J600" s="17" t="s">
        <v>142</v>
      </c>
      <c r="K600" s="17" t="s">
        <v>235</v>
      </c>
      <c r="L600" s="17"/>
      <c r="M600" s="17">
        <v>255</v>
      </c>
      <c r="N600" s="17">
        <v>259.37</v>
      </c>
      <c r="O600" s="17">
        <v>191.84</v>
      </c>
      <c r="P600" s="17">
        <v>200.51</v>
      </c>
      <c r="Q600" s="17">
        <v>48.47</v>
      </c>
      <c r="R600" s="17">
        <v>20.079999999999998</v>
      </c>
      <c r="S600" s="17">
        <v>129.72</v>
      </c>
      <c r="T600" s="17">
        <v>105.56</v>
      </c>
      <c r="U600" s="50">
        <v>59.11</v>
      </c>
      <c r="V600" s="50">
        <v>45.03</v>
      </c>
      <c r="W600" s="50">
        <v>67.88</v>
      </c>
      <c r="X600" s="50">
        <v>83.79</v>
      </c>
      <c r="Y600" s="50">
        <v>39.979999999999997</v>
      </c>
      <c r="Z600" s="50">
        <v>95.29</v>
      </c>
      <c r="AA600" s="50">
        <v>80.44</v>
      </c>
      <c r="AB600" s="50">
        <v>67.510000000000005</v>
      </c>
      <c r="AC600" s="50">
        <v>10.63</v>
      </c>
      <c r="AD600" s="50">
        <v>51.3</v>
      </c>
      <c r="AE600" s="17">
        <v>30.32</v>
      </c>
      <c r="AF600" s="17">
        <v>31.48</v>
      </c>
      <c r="AG600" s="17">
        <v>37.11</v>
      </c>
      <c r="AH600" s="17">
        <v>46.63</v>
      </c>
      <c r="AI600" s="17">
        <v>1.1499999999999999</v>
      </c>
      <c r="AJ600" s="17">
        <v>37.33</v>
      </c>
      <c r="AK600" s="17"/>
      <c r="AL600" s="17"/>
      <c r="AM600" s="17"/>
      <c r="AN600" s="17">
        <v>123</v>
      </c>
      <c r="AO600" s="17"/>
      <c r="AP600" s="17"/>
      <c r="AQ600" s="17"/>
      <c r="AR600" s="17"/>
      <c r="AS600" s="17"/>
    </row>
    <row r="601" spans="1:47" x14ac:dyDescent="0.2">
      <c r="A601" s="115">
        <v>599.00000000000023</v>
      </c>
      <c r="B601" s="3" t="s">
        <v>333</v>
      </c>
      <c r="C601" s="3">
        <v>21.599</v>
      </c>
      <c r="D601" s="139" t="s">
        <v>179</v>
      </c>
      <c r="E601" s="146" t="s">
        <v>180</v>
      </c>
      <c r="F601" s="3" t="s">
        <v>181</v>
      </c>
      <c r="G601"/>
      <c r="H601" s="3" t="s">
        <v>268</v>
      </c>
      <c r="I601" s="82">
        <v>44470</v>
      </c>
      <c r="J601" s="17" t="s">
        <v>142</v>
      </c>
      <c r="K601" s="17" t="s">
        <v>235</v>
      </c>
      <c r="L601" s="17"/>
      <c r="M601" s="17">
        <v>265</v>
      </c>
      <c r="N601" s="17">
        <v>271.83999999999997</v>
      </c>
      <c r="O601" s="17">
        <v>192.81</v>
      </c>
      <c r="P601" s="17">
        <v>199.5</v>
      </c>
      <c r="Q601" s="17">
        <v>42.6</v>
      </c>
      <c r="R601" s="17">
        <v>25.57</v>
      </c>
      <c r="S601" s="17">
        <v>130.31</v>
      </c>
      <c r="T601" s="17">
        <v>102.1</v>
      </c>
      <c r="U601" s="50">
        <v>65.069999999999993</v>
      </c>
      <c r="V601" s="50">
        <v>46.47</v>
      </c>
      <c r="W601" s="50">
        <v>70.47</v>
      </c>
      <c r="X601" s="50">
        <v>85.31</v>
      </c>
      <c r="Y601" s="50">
        <v>37.630000000000003</v>
      </c>
      <c r="Z601" s="50">
        <v>95.17</v>
      </c>
      <c r="AA601" s="50">
        <v>81.73</v>
      </c>
      <c r="AB601" s="50">
        <v>73.400000000000006</v>
      </c>
      <c r="AC601" s="50">
        <v>10.11</v>
      </c>
      <c r="AD601" s="50">
        <v>52.66</v>
      </c>
      <c r="AE601" s="17">
        <v>32.869999999999997</v>
      </c>
      <c r="AF601" s="17">
        <v>34.53</v>
      </c>
      <c r="AG601" s="17">
        <v>37.270000000000003</v>
      </c>
      <c r="AH601" s="17">
        <v>42.64</v>
      </c>
      <c r="AI601" s="17">
        <v>1.1679999999999999</v>
      </c>
      <c r="AJ601" s="17">
        <v>33.909999999999997</v>
      </c>
      <c r="AK601" s="17"/>
      <c r="AL601" s="17"/>
      <c r="AM601" s="17"/>
      <c r="AN601" s="17">
        <v>129</v>
      </c>
      <c r="AO601" s="17"/>
      <c r="AP601" s="17"/>
      <c r="AQ601" s="17"/>
      <c r="AR601" s="17"/>
      <c r="AS601" s="17"/>
    </row>
    <row r="602" spans="1:47" x14ac:dyDescent="0.2">
      <c r="A602" s="115">
        <v>600.00000000000136</v>
      </c>
      <c r="B602" s="3">
        <v>147</v>
      </c>
      <c r="C602" s="12" t="s">
        <v>9</v>
      </c>
      <c r="D602" s="126" t="s">
        <v>168</v>
      </c>
      <c r="E602" t="s">
        <v>169</v>
      </c>
      <c r="F602" s="3" t="s">
        <v>170</v>
      </c>
      <c r="G602"/>
      <c r="H602" s="3" t="s">
        <v>177</v>
      </c>
      <c r="I602" s="127">
        <v>44381</v>
      </c>
      <c r="J602" s="16" t="s">
        <v>142</v>
      </c>
      <c r="K602" s="16" t="s">
        <v>235</v>
      </c>
      <c r="L602" s="17"/>
      <c r="M602" s="17"/>
      <c r="N602" s="17">
        <v>273.94</v>
      </c>
      <c r="O602" s="17">
        <v>193.88</v>
      </c>
      <c r="P602" s="17">
        <v>185.44</v>
      </c>
      <c r="Q602" s="17">
        <v>35.880000000000003</v>
      </c>
      <c r="R602" s="17">
        <v>25.05</v>
      </c>
      <c r="S602" s="17">
        <v>126.42</v>
      </c>
      <c r="T602" s="17">
        <v>104.09</v>
      </c>
      <c r="U602" s="50">
        <v>75.22</v>
      </c>
      <c r="V602" s="50">
        <v>52.63</v>
      </c>
      <c r="W602" s="50">
        <v>78.88</v>
      </c>
      <c r="X602" s="50">
        <v>96.85</v>
      </c>
      <c r="Y602" s="50">
        <v>42.94</v>
      </c>
      <c r="Z602" s="50">
        <v>103.14</v>
      </c>
      <c r="AA602" s="50">
        <v>89.66</v>
      </c>
      <c r="AB602" s="50">
        <v>82.59</v>
      </c>
      <c r="AC602" s="50">
        <v>5.76</v>
      </c>
      <c r="AD602" s="50">
        <v>53.56</v>
      </c>
      <c r="AE602" s="17">
        <v>27.95</v>
      </c>
      <c r="AF602" s="17">
        <v>35.729999999999997</v>
      </c>
      <c r="AG602" s="17">
        <v>31.83</v>
      </c>
      <c r="AH602" s="17">
        <v>36.19</v>
      </c>
      <c r="AI602" s="17">
        <v>1.079</v>
      </c>
      <c r="AJ602" s="17">
        <v>52.9</v>
      </c>
      <c r="AK602" s="17"/>
      <c r="AL602" s="17"/>
      <c r="AM602" s="17"/>
      <c r="AN602" s="17">
        <v>60</v>
      </c>
      <c r="AO602" s="17"/>
      <c r="AP602" s="17"/>
      <c r="AQ602" s="17"/>
      <c r="AR602" s="17"/>
      <c r="AS602" s="17"/>
      <c r="AT602" s="3"/>
      <c r="AU602" s="3"/>
    </row>
    <row r="603" spans="1:47" x14ac:dyDescent="0.2">
      <c r="A603" s="115">
        <v>600.99999999999909</v>
      </c>
      <c r="B603" s="3">
        <v>163</v>
      </c>
      <c r="C603" s="3">
        <v>21.600999999999999</v>
      </c>
      <c r="D603" t="s">
        <v>140</v>
      </c>
      <c r="E603" t="s">
        <v>141</v>
      </c>
      <c r="F603" s="3" t="s">
        <v>61</v>
      </c>
      <c r="G603" s="3" t="s">
        <v>61</v>
      </c>
      <c r="H603" s="3" t="s">
        <v>61</v>
      </c>
      <c r="I603" s="82">
        <v>44496</v>
      </c>
      <c r="J603" s="17" t="s">
        <v>142</v>
      </c>
      <c r="K603" s="17" t="s">
        <v>235</v>
      </c>
      <c r="L603" s="17"/>
      <c r="M603" s="17">
        <v>226.9</v>
      </c>
      <c r="N603" s="17">
        <v>241.06</v>
      </c>
      <c r="O603" s="17">
        <v>185.88</v>
      </c>
      <c r="P603" s="17">
        <v>196.24</v>
      </c>
      <c r="Q603" s="17">
        <v>36.22</v>
      </c>
      <c r="R603" s="17">
        <v>32</v>
      </c>
      <c r="S603" s="17">
        <v>123.17</v>
      </c>
      <c r="T603" s="17">
        <v>103.66</v>
      </c>
      <c r="U603" s="50">
        <v>58.3</v>
      </c>
      <c r="V603" s="50">
        <v>41.58</v>
      </c>
      <c r="W603" s="50">
        <v>72.3</v>
      </c>
      <c r="X603" s="50">
        <v>82.77</v>
      </c>
      <c r="Y603" s="50">
        <v>33.85</v>
      </c>
      <c r="Z603" s="50">
        <v>92.39</v>
      </c>
      <c r="AA603" s="50">
        <v>78.959999999999994</v>
      </c>
      <c r="AB603" s="50">
        <v>65.14</v>
      </c>
      <c r="AC603" s="50">
        <v>15.76</v>
      </c>
      <c r="AD603" s="50">
        <v>51.46</v>
      </c>
      <c r="AE603" s="17">
        <v>46.22</v>
      </c>
      <c r="AF603" s="17">
        <v>46.13</v>
      </c>
      <c r="AG603" s="17">
        <v>36.590000000000003</v>
      </c>
      <c r="AH603" s="17">
        <v>37.229999999999997</v>
      </c>
      <c r="AI603" s="17">
        <v>0.90800000000000003</v>
      </c>
      <c r="AJ603" s="17">
        <v>59.67</v>
      </c>
      <c r="AK603" s="17"/>
      <c r="AL603" s="17"/>
      <c r="AM603" s="17"/>
      <c r="AN603" s="17">
        <v>97</v>
      </c>
      <c r="AO603" s="17"/>
      <c r="AP603" s="17"/>
      <c r="AQ603" s="17"/>
      <c r="AR603" s="17"/>
      <c r="AS603" s="17"/>
      <c r="AT603" s="3"/>
      <c r="AU603" s="3"/>
    </row>
    <row r="604" spans="1:47" x14ac:dyDescent="0.2">
      <c r="A604" s="115">
        <v>602.00000000000034</v>
      </c>
      <c r="B604" s="3">
        <v>64</v>
      </c>
      <c r="C604" s="3">
        <v>21.602</v>
      </c>
      <c r="D604" s="139" t="s">
        <v>179</v>
      </c>
      <c r="E604" t="s">
        <v>180</v>
      </c>
      <c r="F604" s="3" t="s">
        <v>181</v>
      </c>
      <c r="G604" s="3">
        <v>259</v>
      </c>
      <c r="H604"/>
      <c r="I604" s="82">
        <v>44490</v>
      </c>
      <c r="J604" s="17" t="s">
        <v>142</v>
      </c>
      <c r="K604" s="17" t="s">
        <v>235</v>
      </c>
      <c r="L604" s="17"/>
      <c r="M604" s="17">
        <v>265</v>
      </c>
      <c r="N604" s="17">
        <v>273.08999999999997</v>
      </c>
      <c r="O604" s="17">
        <v>192.75</v>
      </c>
      <c r="P604" s="17">
        <v>201.92</v>
      </c>
      <c r="Q604" s="17">
        <v>43.1</v>
      </c>
      <c r="R604" s="17">
        <v>22.13</v>
      </c>
      <c r="S604" s="17">
        <v>130.84</v>
      </c>
      <c r="T604" s="17">
        <v>105.73</v>
      </c>
      <c r="U604" s="50">
        <v>59.73</v>
      </c>
      <c r="V604" s="50">
        <v>43.76</v>
      </c>
      <c r="W604" s="50">
        <v>66.44</v>
      </c>
      <c r="X604" s="50">
        <v>84.39</v>
      </c>
      <c r="Y604" s="50">
        <v>36.44</v>
      </c>
      <c r="Z604" s="50">
        <v>95.07</v>
      </c>
      <c r="AA604" s="50">
        <v>80.260000000000005</v>
      </c>
      <c r="AB604" s="50">
        <v>66.95</v>
      </c>
      <c r="AC604" s="50">
        <v>9.11</v>
      </c>
      <c r="AD604" s="50">
        <v>51.41</v>
      </c>
      <c r="AE604" s="17">
        <v>32.5</v>
      </c>
      <c r="AF604" s="17">
        <v>32.06</v>
      </c>
      <c r="AG604" s="17">
        <v>41.24</v>
      </c>
      <c r="AH604" s="17">
        <v>43.72</v>
      </c>
      <c r="AI604" s="17">
        <v>1.0860000000000001</v>
      </c>
      <c r="AJ604" s="17">
        <v>40.18</v>
      </c>
      <c r="AK604" s="17"/>
      <c r="AL604" s="17"/>
      <c r="AM604" s="17"/>
      <c r="AN604" s="17">
        <v>134</v>
      </c>
      <c r="AO604" s="17"/>
      <c r="AP604" s="17"/>
      <c r="AQ604" s="17"/>
      <c r="AR604" s="17"/>
      <c r="AS604" s="17"/>
      <c r="AT604" s="3"/>
      <c r="AU604" s="3"/>
    </row>
    <row r="605" spans="1:47" x14ac:dyDescent="0.2">
      <c r="A605" s="115">
        <v>603.00000000000159</v>
      </c>
      <c r="B605" s="9">
        <v>157</v>
      </c>
      <c r="C605" s="9">
        <v>21.603000000000002</v>
      </c>
      <c r="D605" s="129" t="s">
        <v>140</v>
      </c>
      <c r="E605" s="11" t="s">
        <v>141</v>
      </c>
      <c r="F605" s="9" t="s">
        <v>60</v>
      </c>
      <c r="G605"/>
      <c r="H605" s="9" t="s">
        <v>60</v>
      </c>
      <c r="I605" s="134">
        <v>44496</v>
      </c>
      <c r="J605" s="16" t="s">
        <v>142</v>
      </c>
      <c r="K605" s="16" t="s">
        <v>235</v>
      </c>
      <c r="L605" s="16"/>
      <c r="M605" s="16">
        <v>273</v>
      </c>
      <c r="N605" s="16">
        <v>284.12</v>
      </c>
      <c r="O605" s="16">
        <v>163.96</v>
      </c>
      <c r="P605" s="16">
        <v>178.96</v>
      </c>
      <c r="Q605" s="16">
        <v>27.95</v>
      </c>
      <c r="R605" s="16">
        <v>20.64</v>
      </c>
      <c r="S605" s="16">
        <v>120.58</v>
      </c>
      <c r="T605" s="16">
        <v>103.21</v>
      </c>
      <c r="U605" s="133">
        <v>61.93</v>
      </c>
      <c r="V605" s="133">
        <v>51.24</v>
      </c>
      <c r="W605" s="133">
        <v>76.540000000000006</v>
      </c>
      <c r="X605" s="133">
        <v>91.27</v>
      </c>
      <c r="Y605" s="133">
        <v>39.799999999999997</v>
      </c>
      <c r="Z605" s="133">
        <v>99.25</v>
      </c>
      <c r="AA605" s="133">
        <v>81.02</v>
      </c>
      <c r="AB605" s="133">
        <v>75.28</v>
      </c>
      <c r="AC605" s="133">
        <v>11.6</v>
      </c>
      <c r="AD605" s="133">
        <v>53.86</v>
      </c>
      <c r="AE605" s="16">
        <v>38.020000000000003</v>
      </c>
      <c r="AF605" s="16">
        <v>33.299999999999997</v>
      </c>
      <c r="AG605" s="16">
        <v>32.92</v>
      </c>
      <c r="AH605" s="16">
        <v>35.72</v>
      </c>
      <c r="AI605" s="16">
        <v>1.8149999999999999</v>
      </c>
      <c r="AJ605" s="16">
        <v>50.19</v>
      </c>
      <c r="AK605" s="16"/>
      <c r="AL605" s="16"/>
      <c r="AM605" s="16"/>
      <c r="AN605" s="16">
        <v>120</v>
      </c>
      <c r="AO605" s="16"/>
      <c r="AP605" s="16"/>
      <c r="AQ605" s="16"/>
      <c r="AR605" s="16"/>
      <c r="AS605" s="16"/>
      <c r="AT605" s="9"/>
      <c r="AU605" s="9"/>
    </row>
    <row r="606" spans="1:47" x14ac:dyDescent="0.2">
      <c r="A606" s="115">
        <v>603.9999999999992</v>
      </c>
      <c r="B606" s="3">
        <v>68</v>
      </c>
      <c r="C606" s="3">
        <v>21.603999999999999</v>
      </c>
      <c r="D606" s="139" t="s">
        <v>179</v>
      </c>
      <c r="E606" t="s">
        <v>180</v>
      </c>
      <c r="F606" s="3" t="s">
        <v>181</v>
      </c>
      <c r="G606"/>
      <c r="H606" s="3" t="s">
        <v>268</v>
      </c>
      <c r="I606" s="82">
        <v>44491</v>
      </c>
      <c r="J606" s="17" t="s">
        <v>142</v>
      </c>
      <c r="K606" s="17" t="s">
        <v>235</v>
      </c>
      <c r="L606" s="17"/>
      <c r="M606" s="17">
        <v>260</v>
      </c>
      <c r="N606" s="17">
        <v>266.64</v>
      </c>
      <c r="O606" s="17">
        <v>192.64</v>
      </c>
      <c r="P606" s="17">
        <v>201.78</v>
      </c>
      <c r="Q606" s="17">
        <v>43.91</v>
      </c>
      <c r="R606" s="17">
        <v>23.7</v>
      </c>
      <c r="S606" s="17">
        <v>133.07</v>
      </c>
      <c r="T606" s="17">
        <v>103.6</v>
      </c>
      <c r="U606" s="50">
        <v>57.14</v>
      </c>
      <c r="V606" s="50">
        <v>43.01</v>
      </c>
      <c r="W606" s="50">
        <v>67.819999999999993</v>
      </c>
      <c r="X606" s="50">
        <v>84.14</v>
      </c>
      <c r="Y606" s="50">
        <v>37.75</v>
      </c>
      <c r="Z606" s="50">
        <v>95.26</v>
      </c>
      <c r="AA606" s="50">
        <v>81.099999999999994</v>
      </c>
      <c r="AB606" s="50">
        <v>70.650000000000006</v>
      </c>
      <c r="AC606" s="50">
        <v>9.8800000000000008</v>
      </c>
      <c r="AD606" s="50">
        <v>51.69</v>
      </c>
      <c r="AE606" s="17">
        <v>33.4</v>
      </c>
      <c r="AF606" s="17">
        <v>32.58</v>
      </c>
      <c r="AG606" s="17">
        <v>41.76</v>
      </c>
      <c r="AH606" s="17">
        <v>45.02</v>
      </c>
      <c r="AI606" s="17">
        <v>1.004</v>
      </c>
      <c r="AJ606" s="17">
        <v>38.18</v>
      </c>
      <c r="AK606" s="17"/>
      <c r="AL606" s="17"/>
      <c r="AM606" s="17"/>
      <c r="AN606" s="17">
        <v>124</v>
      </c>
      <c r="AO606" s="17"/>
      <c r="AP606" s="17"/>
      <c r="AQ606" s="17"/>
      <c r="AR606" s="17"/>
      <c r="AS606" s="17"/>
      <c r="AT606" s="3"/>
      <c r="AU606" s="3"/>
    </row>
    <row r="607" spans="1:47" x14ac:dyDescent="0.2">
      <c r="A607" s="115">
        <v>605.00000000000045</v>
      </c>
      <c r="B607" s="9">
        <v>66</v>
      </c>
      <c r="C607" s="9">
        <v>21.605</v>
      </c>
      <c r="D607" s="151" t="s">
        <v>179</v>
      </c>
      <c r="E607" s="11" t="s">
        <v>180</v>
      </c>
      <c r="F607" s="3" t="s">
        <v>181</v>
      </c>
      <c r="G607"/>
      <c r="H607" s="3" t="s">
        <v>182</v>
      </c>
      <c r="I607" s="134">
        <v>44491</v>
      </c>
      <c r="J607" s="16" t="s">
        <v>142</v>
      </c>
      <c r="K607" s="16" t="s">
        <v>235</v>
      </c>
      <c r="L607" s="16"/>
      <c r="M607" s="16">
        <v>260</v>
      </c>
      <c r="N607" s="16">
        <v>26.67</v>
      </c>
      <c r="O607" s="16">
        <v>202.98</v>
      </c>
      <c r="P607" s="16">
        <v>217</v>
      </c>
      <c r="Q607" s="16">
        <v>55.45</v>
      </c>
      <c r="R607" s="16">
        <v>22.13</v>
      </c>
      <c r="S607" s="16">
        <v>129.06</v>
      </c>
      <c r="T607" s="16">
        <v>104.67</v>
      </c>
      <c r="U607" s="133">
        <v>57.47</v>
      </c>
      <c r="V607" s="133">
        <v>43.75</v>
      </c>
      <c r="W607" s="133">
        <v>65.599999999999994</v>
      </c>
      <c r="X607" s="133">
        <v>82.62</v>
      </c>
      <c r="Y607" s="133">
        <v>38.31</v>
      </c>
      <c r="Z607" s="133">
        <v>93.95</v>
      </c>
      <c r="AA607" s="133">
        <v>75.73</v>
      </c>
      <c r="AB607" s="133">
        <v>65.7</v>
      </c>
      <c r="AC607" s="133">
        <v>13.01</v>
      </c>
      <c r="AD607" s="133">
        <v>54.02</v>
      </c>
      <c r="AE607" s="16">
        <v>30.74</v>
      </c>
      <c r="AF607" s="16">
        <v>28.11</v>
      </c>
      <c r="AG607" s="16">
        <v>43.6</v>
      </c>
      <c r="AH607" s="16">
        <v>44.35</v>
      </c>
      <c r="AI607" s="16">
        <v>1.3169999999999999</v>
      </c>
      <c r="AJ607" s="16">
        <v>25.51</v>
      </c>
      <c r="AK607" s="16"/>
      <c r="AL607" s="16"/>
      <c r="AM607" s="16"/>
      <c r="AN607" s="16">
        <v>122</v>
      </c>
      <c r="AO607" s="16"/>
      <c r="AP607" s="16"/>
      <c r="AQ607" s="16"/>
      <c r="AR607" s="16"/>
      <c r="AS607" s="16"/>
      <c r="AT607" s="9"/>
      <c r="AU607" s="9"/>
    </row>
    <row r="608" spans="1:47" x14ac:dyDescent="0.2">
      <c r="A608" s="115">
        <v>606.00000000000159</v>
      </c>
      <c r="B608" s="3">
        <v>65</v>
      </c>
      <c r="C608" s="3">
        <v>21.606000000000002</v>
      </c>
      <c r="D608" s="139" t="s">
        <v>179</v>
      </c>
      <c r="E608" t="s">
        <v>180</v>
      </c>
      <c r="F608" s="3" t="s">
        <v>181</v>
      </c>
      <c r="G608"/>
      <c r="H608" s="3" t="s">
        <v>268</v>
      </c>
      <c r="I608" s="82">
        <v>44490</v>
      </c>
      <c r="J608" s="17" t="s">
        <v>142</v>
      </c>
      <c r="K608" s="17" t="s">
        <v>235</v>
      </c>
      <c r="L608" s="17"/>
      <c r="M608" s="17">
        <v>260</v>
      </c>
      <c r="N608" s="17">
        <v>267.39999999999998</v>
      </c>
      <c r="O608" s="17">
        <v>195.11</v>
      </c>
      <c r="P608" s="17">
        <v>203.87</v>
      </c>
      <c r="Q608" s="17">
        <v>44.29</v>
      </c>
      <c r="R608" s="17">
        <v>25.52</v>
      </c>
      <c r="S608" s="17">
        <v>131.80000000000001</v>
      </c>
      <c r="T608" s="17">
        <v>102.34</v>
      </c>
      <c r="U608" s="50">
        <v>59.08</v>
      </c>
      <c r="V608" s="50">
        <v>45.22</v>
      </c>
      <c r="W608" s="50">
        <v>66.34</v>
      </c>
      <c r="X608" s="50">
        <v>83.56</v>
      </c>
      <c r="Y608" s="50">
        <v>38.57</v>
      </c>
      <c r="Z608" s="50">
        <v>93.68</v>
      </c>
      <c r="AA608" s="50">
        <v>79.11</v>
      </c>
      <c r="AB608" s="50">
        <v>70.209999999999994</v>
      </c>
      <c r="AC608" s="50">
        <v>13.84</v>
      </c>
      <c r="AD608" s="50">
        <v>50.02</v>
      </c>
      <c r="AE608" s="17">
        <v>34.11</v>
      </c>
      <c r="AF608" s="17">
        <v>31.72</v>
      </c>
      <c r="AG608" s="17">
        <v>43.25</v>
      </c>
      <c r="AH608" s="17">
        <v>45.17</v>
      </c>
      <c r="AI608" s="17">
        <v>0.96499999999999997</v>
      </c>
      <c r="AJ608" s="17"/>
      <c r="AK608" s="17"/>
      <c r="AL608" s="17"/>
      <c r="AM608" s="17"/>
      <c r="AN608" s="17">
        <v>130</v>
      </c>
      <c r="AO608" s="17"/>
      <c r="AP608" s="17"/>
      <c r="AQ608" s="17"/>
      <c r="AR608" s="17"/>
      <c r="AS608" s="17"/>
      <c r="AT608" s="3"/>
      <c r="AU608" s="3"/>
    </row>
    <row r="609" spans="1:47" x14ac:dyDescent="0.2">
      <c r="A609" s="115">
        <v>606.99999999999932</v>
      </c>
      <c r="B609" s="3">
        <v>106</v>
      </c>
      <c r="C609" s="3">
        <v>21.606999999999999</v>
      </c>
      <c r="D609" s="126" t="s">
        <v>168</v>
      </c>
      <c r="E609" t="s">
        <v>169</v>
      </c>
      <c r="F609" s="3" t="s">
        <v>170</v>
      </c>
      <c r="G609" s="3" t="s">
        <v>30</v>
      </c>
      <c r="H609"/>
      <c r="I609" s="127">
        <v>44444</v>
      </c>
      <c r="J609" s="16" t="s">
        <v>142</v>
      </c>
      <c r="K609" s="16" t="s">
        <v>235</v>
      </c>
      <c r="L609" s="17"/>
      <c r="M609" s="17"/>
      <c r="N609" s="17">
        <v>303.72000000000003</v>
      </c>
      <c r="O609" s="17">
        <v>193.03</v>
      </c>
      <c r="P609" s="17">
        <v>206.21</v>
      </c>
      <c r="Q609" s="17">
        <v>40.32</v>
      </c>
      <c r="R609" s="17">
        <v>31.53</v>
      </c>
      <c r="S609" s="17">
        <v>129.88</v>
      </c>
      <c r="T609" s="17">
        <v>106.16</v>
      </c>
      <c r="U609" s="50">
        <v>72.7</v>
      </c>
      <c r="V609" s="50">
        <v>54.16</v>
      </c>
      <c r="W609" s="133">
        <v>80.680000000000007</v>
      </c>
      <c r="X609" s="133">
        <v>97.67</v>
      </c>
      <c r="Y609" s="50">
        <v>41.13</v>
      </c>
      <c r="Z609" s="50">
        <v>107.85</v>
      </c>
      <c r="AA609" s="50">
        <v>89.13</v>
      </c>
      <c r="AB609" s="50">
        <v>83.95</v>
      </c>
      <c r="AC609" s="50">
        <v>7.15</v>
      </c>
      <c r="AD609" s="50">
        <v>52.22</v>
      </c>
      <c r="AE609" s="17">
        <v>33.380000000000003</v>
      </c>
      <c r="AF609" s="17">
        <v>49.45</v>
      </c>
      <c r="AG609" s="17">
        <v>43.16</v>
      </c>
      <c r="AH609" s="17">
        <v>40.869999999999997</v>
      </c>
      <c r="AI609" s="17">
        <v>1.2170000000000001</v>
      </c>
      <c r="AJ609" s="17">
        <v>63.07</v>
      </c>
      <c r="AK609" s="17"/>
      <c r="AL609" s="17"/>
      <c r="AM609" s="17"/>
      <c r="AN609" s="17">
        <v>157</v>
      </c>
      <c r="AO609" s="17"/>
      <c r="AP609" s="17"/>
      <c r="AQ609" s="17"/>
      <c r="AR609" s="17"/>
      <c r="AS609" s="17"/>
      <c r="AT609" s="3"/>
      <c r="AU609" s="3"/>
    </row>
    <row r="610" spans="1:47" x14ac:dyDescent="0.2">
      <c r="A610" s="115">
        <v>608.00000000000057</v>
      </c>
      <c r="B610" s="3">
        <v>122</v>
      </c>
      <c r="C610" s="3">
        <v>21.608000000000001</v>
      </c>
      <c r="D610" s="126" t="s">
        <v>168</v>
      </c>
      <c r="E610" t="s">
        <v>232</v>
      </c>
      <c r="F610" s="3" t="s">
        <v>251</v>
      </c>
      <c r="G610" s="3" t="s">
        <v>31</v>
      </c>
      <c r="H610"/>
      <c r="I610" s="127">
        <v>44418</v>
      </c>
      <c r="J610" s="16" t="s">
        <v>142</v>
      </c>
      <c r="K610" s="16" t="s">
        <v>235</v>
      </c>
      <c r="L610" s="17">
        <v>204</v>
      </c>
      <c r="M610" s="17"/>
      <c r="N610" s="17">
        <v>206.3</v>
      </c>
      <c r="O610" s="17">
        <v>164.74</v>
      </c>
      <c r="P610" s="17">
        <v>171.38</v>
      </c>
      <c r="Q610" s="17">
        <v>41.37</v>
      </c>
      <c r="R610" s="17">
        <v>10.75</v>
      </c>
      <c r="S610" s="17">
        <v>114.43</v>
      </c>
      <c r="T610" s="17">
        <v>95.78</v>
      </c>
      <c r="U610" s="50">
        <v>64.7</v>
      </c>
      <c r="V610" s="50">
        <v>47.38</v>
      </c>
      <c r="W610" s="133">
        <v>67.53</v>
      </c>
      <c r="X610" s="133">
        <v>80.989999999999995</v>
      </c>
      <c r="Y610" s="50">
        <v>34.79</v>
      </c>
      <c r="Z610" s="50">
        <v>88.4</v>
      </c>
      <c r="AA610" s="50">
        <v>71.73</v>
      </c>
      <c r="AB610" s="50">
        <v>67.5</v>
      </c>
      <c r="AC610" s="50">
        <v>9.16</v>
      </c>
      <c r="AD610" s="50">
        <v>49.51</v>
      </c>
      <c r="AE610" s="17">
        <v>29.21</v>
      </c>
      <c r="AF610" s="17">
        <v>33.22</v>
      </c>
      <c r="AG610" s="17">
        <v>37.549999999999997</v>
      </c>
      <c r="AH610" s="17">
        <v>39.18</v>
      </c>
      <c r="AI610" s="17">
        <v>1.2669999999999999</v>
      </c>
      <c r="AJ610" s="17">
        <v>35.69</v>
      </c>
      <c r="AK610" s="17"/>
      <c r="AL610" s="17"/>
      <c r="AM610" s="17"/>
      <c r="AN610" s="17">
        <v>89</v>
      </c>
      <c r="AO610" s="17"/>
      <c r="AP610" s="17"/>
      <c r="AQ610" s="17"/>
      <c r="AR610" s="17"/>
      <c r="AS610" s="17"/>
      <c r="AT610" s="3"/>
      <c r="AU610" s="3"/>
    </row>
    <row r="611" spans="1:47" x14ac:dyDescent="0.2">
      <c r="A611" s="115">
        <v>609.00000000000182</v>
      </c>
      <c r="B611" s="3">
        <v>87</v>
      </c>
      <c r="C611" s="3">
        <v>21.609000000000002</v>
      </c>
      <c r="D611" s="126" t="s">
        <v>168</v>
      </c>
      <c r="E611" t="s">
        <v>232</v>
      </c>
      <c r="F611" s="3" t="s">
        <v>251</v>
      </c>
      <c r="G611" s="3" t="s">
        <v>32</v>
      </c>
      <c r="H611"/>
      <c r="I611" s="82">
        <v>44475</v>
      </c>
      <c r="J611" s="17" t="s">
        <v>142</v>
      </c>
      <c r="K611" s="17" t="s">
        <v>235</v>
      </c>
      <c r="L611" s="17"/>
      <c r="M611" s="17"/>
      <c r="N611" s="17">
        <v>272.44</v>
      </c>
      <c r="O611" s="17">
        <v>190.31</v>
      </c>
      <c r="P611" s="17">
        <v>193.06</v>
      </c>
      <c r="Q611" s="17">
        <v>40.520000000000003</v>
      </c>
      <c r="R611" s="17">
        <v>21.81</v>
      </c>
      <c r="S611" s="17">
        <v>132.34</v>
      </c>
      <c r="T611" s="17">
        <v>107.18</v>
      </c>
      <c r="U611" s="50">
        <v>72.09</v>
      </c>
      <c r="V611" s="50">
        <v>49.48</v>
      </c>
      <c r="W611" s="50">
        <v>76.150000000000006</v>
      </c>
      <c r="X611" s="50">
        <v>94.1</v>
      </c>
      <c r="Y611" s="50">
        <v>40.51</v>
      </c>
      <c r="Z611" s="50">
        <v>101.3</v>
      </c>
      <c r="AA611" s="50">
        <v>87.71</v>
      </c>
      <c r="AB611" s="50">
        <v>73.09</v>
      </c>
      <c r="AC611" s="50">
        <v>7.83</v>
      </c>
      <c r="AD611" s="50">
        <v>49.29</v>
      </c>
      <c r="AE611" s="17">
        <v>40.159999999999997</v>
      </c>
      <c r="AF611" s="17">
        <v>4.4000000000000004</v>
      </c>
      <c r="AG611" s="17">
        <v>38.97</v>
      </c>
      <c r="AH611" s="17">
        <v>55.62</v>
      </c>
      <c r="AI611" s="17">
        <v>1.1140000000000001</v>
      </c>
      <c r="AJ611" s="17">
        <v>40.56</v>
      </c>
      <c r="AK611" s="17"/>
      <c r="AL611" s="17"/>
      <c r="AM611" s="17"/>
      <c r="AN611" s="17">
        <v>131</v>
      </c>
      <c r="AO611" s="17"/>
      <c r="AP611" s="17"/>
      <c r="AQ611" s="17"/>
      <c r="AR611" s="17"/>
      <c r="AS611" s="17"/>
      <c r="AT611" s="3"/>
      <c r="AU611" s="3"/>
    </row>
    <row r="612" spans="1:47" x14ac:dyDescent="0.2">
      <c r="A612" s="115">
        <v>609.99999999999943</v>
      </c>
      <c r="B612" s="3">
        <v>104</v>
      </c>
      <c r="C612" s="12" t="s">
        <v>12</v>
      </c>
      <c r="D612" s="126" t="s">
        <v>168</v>
      </c>
      <c r="E612" t="s">
        <v>169</v>
      </c>
      <c r="F612" s="3" t="s">
        <v>170</v>
      </c>
      <c r="H612" s="3" t="s">
        <v>30</v>
      </c>
      <c r="I612" s="127">
        <v>44441</v>
      </c>
      <c r="J612" s="17" t="s">
        <v>142</v>
      </c>
      <c r="K612" s="17" t="s">
        <v>235</v>
      </c>
      <c r="L612" s="17"/>
      <c r="M612" s="17"/>
      <c r="N612" s="17">
        <v>285.98</v>
      </c>
      <c r="O612" s="17">
        <v>187.85</v>
      </c>
      <c r="P612" s="17">
        <v>203.59</v>
      </c>
      <c r="Q612" s="17">
        <v>39.450000000000003</v>
      </c>
      <c r="R612" s="17">
        <v>34.11</v>
      </c>
      <c r="S612" s="17">
        <v>126.23</v>
      </c>
      <c r="T612" s="17">
        <v>104.14</v>
      </c>
      <c r="U612" s="50">
        <v>72.41</v>
      </c>
      <c r="V612" s="50">
        <v>53.7</v>
      </c>
      <c r="W612" s="50">
        <v>80.61</v>
      </c>
      <c r="X612" s="50">
        <v>95.78</v>
      </c>
      <c r="Y612" s="50">
        <v>39.46</v>
      </c>
      <c r="Z612" s="50">
        <v>106.44</v>
      </c>
      <c r="AA612" s="50">
        <v>88.86</v>
      </c>
      <c r="AB612" s="50">
        <v>84.12</v>
      </c>
      <c r="AC612" s="50">
        <v>9.86</v>
      </c>
      <c r="AD612" s="50">
        <v>50.05</v>
      </c>
      <c r="AE612" s="17">
        <v>35.6</v>
      </c>
      <c r="AF612" s="17">
        <v>45.06</v>
      </c>
      <c r="AG612" s="17">
        <v>41.18</v>
      </c>
      <c r="AH612" s="17">
        <v>41.91</v>
      </c>
      <c r="AI612" s="17">
        <v>1.05</v>
      </c>
      <c r="AJ612" s="17">
        <v>63.04</v>
      </c>
      <c r="AK612" s="17"/>
      <c r="AL612" s="17"/>
      <c r="AM612" s="17"/>
      <c r="AN612" s="17">
        <v>125</v>
      </c>
      <c r="AO612" s="17"/>
      <c r="AP612" s="17"/>
      <c r="AQ612" s="17"/>
      <c r="AR612" s="17"/>
      <c r="AS612" s="17"/>
      <c r="AT612" s="3"/>
      <c r="AU612" s="3"/>
    </row>
    <row r="613" spans="1:47" x14ac:dyDescent="0.2">
      <c r="A613" s="115">
        <v>611.00000000000068</v>
      </c>
      <c r="B613" s="3">
        <v>83</v>
      </c>
      <c r="C613" s="3">
        <v>21.611000000000001</v>
      </c>
      <c r="D613" s="126" t="s">
        <v>168</v>
      </c>
      <c r="E613" t="s">
        <v>232</v>
      </c>
      <c r="F613" s="3" t="s">
        <v>251</v>
      </c>
      <c r="G613" s="3" t="s">
        <v>32</v>
      </c>
      <c r="H613"/>
      <c r="I613" s="82">
        <v>44475</v>
      </c>
      <c r="J613" s="17" t="s">
        <v>142</v>
      </c>
      <c r="K613" s="17" t="s">
        <v>235</v>
      </c>
      <c r="L613" s="17"/>
      <c r="M613" s="17"/>
      <c r="N613" s="17">
        <v>280.04000000000002</v>
      </c>
      <c r="O613" s="17">
        <v>180.68</v>
      </c>
      <c r="P613" s="17">
        <v>191.51</v>
      </c>
      <c r="Q613" s="17">
        <v>37.75</v>
      </c>
      <c r="R613" s="17">
        <v>20.21</v>
      </c>
      <c r="S613" s="17">
        <v>126.8</v>
      </c>
      <c r="T613" s="17">
        <v>103.28</v>
      </c>
      <c r="U613" s="50">
        <v>70.62</v>
      </c>
      <c r="V613" s="50">
        <v>49.16</v>
      </c>
      <c r="W613" s="50">
        <v>76.94</v>
      </c>
      <c r="X613" s="50">
        <v>92.86</v>
      </c>
      <c r="Y613" s="50">
        <v>38.619999999999997</v>
      </c>
      <c r="Z613" s="50">
        <v>99.03</v>
      </c>
      <c r="AA613" s="50">
        <v>83.88</v>
      </c>
      <c r="AB613" s="50">
        <v>71.790000000000006</v>
      </c>
      <c r="AC613" s="50">
        <v>8.2899999999999991</v>
      </c>
      <c r="AD613" s="50">
        <v>52.2</v>
      </c>
      <c r="AE613" s="17">
        <v>34.200000000000003</v>
      </c>
      <c r="AF613" s="17">
        <v>37.42</v>
      </c>
      <c r="AG613" s="17">
        <v>44.35</v>
      </c>
      <c r="AH613" s="17">
        <v>42.48</v>
      </c>
      <c r="AI613" s="17">
        <v>1.254</v>
      </c>
      <c r="AJ613" s="17">
        <v>47.43</v>
      </c>
      <c r="AK613" s="17"/>
      <c r="AL613" s="17"/>
      <c r="AM613" s="17"/>
      <c r="AN613" s="17">
        <v>129</v>
      </c>
      <c r="AO613" s="17"/>
      <c r="AP613" s="17"/>
      <c r="AQ613" s="17"/>
      <c r="AR613" s="17"/>
      <c r="AS613" s="17"/>
      <c r="AT613" s="3"/>
      <c r="AU613" s="3"/>
    </row>
    <row r="614" spans="1:47" x14ac:dyDescent="0.2">
      <c r="A614" s="115">
        <v>611.99999999999829</v>
      </c>
      <c r="B614" s="3">
        <v>86</v>
      </c>
      <c r="C614" s="3">
        <v>21.611999999999998</v>
      </c>
      <c r="D614" s="126" t="s">
        <v>168</v>
      </c>
      <c r="E614" t="s">
        <v>232</v>
      </c>
      <c r="F614" s="3" t="s">
        <v>251</v>
      </c>
      <c r="G614"/>
      <c r="H614" s="3" t="s">
        <v>498</v>
      </c>
      <c r="I614" s="82">
        <v>44475</v>
      </c>
      <c r="J614" s="17" t="s">
        <v>142</v>
      </c>
      <c r="K614" s="17" t="s">
        <v>235</v>
      </c>
      <c r="L614" s="17"/>
      <c r="M614" s="17"/>
      <c r="N614" s="17">
        <v>284.06</v>
      </c>
      <c r="O614" s="17">
        <v>185.93</v>
      </c>
      <c r="P614" s="17">
        <v>194.12</v>
      </c>
      <c r="Q614" s="17">
        <v>42.09</v>
      </c>
      <c r="R614" s="17">
        <v>25.84</v>
      </c>
      <c r="S614" s="17">
        <v>130.19999999999999</v>
      </c>
      <c r="T614" s="17">
        <v>105.21</v>
      </c>
      <c r="U614" s="50">
        <v>63.01</v>
      </c>
      <c r="V614" s="50">
        <v>49.28</v>
      </c>
      <c r="W614" s="50">
        <v>76.02</v>
      </c>
      <c r="X614" s="50">
        <v>92.6</v>
      </c>
      <c r="Y614" s="50">
        <v>40.33</v>
      </c>
      <c r="Z614" s="50">
        <v>97.8</v>
      </c>
      <c r="AA614" s="50">
        <v>80.89</v>
      </c>
      <c r="AB614" s="50">
        <v>73.03</v>
      </c>
      <c r="AC614" s="50">
        <v>10.82</v>
      </c>
      <c r="AD614" s="50">
        <v>53.12</v>
      </c>
      <c r="AE614" s="17">
        <v>41.47</v>
      </c>
      <c r="AF614" s="17">
        <v>38.32</v>
      </c>
      <c r="AG614" s="17">
        <v>35.47</v>
      </c>
      <c r="AH614" s="17">
        <v>43.48</v>
      </c>
      <c r="AI614" s="17">
        <v>1.1439999999999999</v>
      </c>
      <c r="AJ614" s="17">
        <v>46.22</v>
      </c>
      <c r="AK614" s="17"/>
      <c r="AL614" s="17"/>
      <c r="AM614" s="17"/>
      <c r="AN614" s="17">
        <v>132</v>
      </c>
      <c r="AO614" s="17"/>
      <c r="AP614" s="17"/>
      <c r="AQ614" s="17"/>
      <c r="AR614" s="17"/>
      <c r="AS614" s="17"/>
      <c r="AT614" s="3"/>
      <c r="AU614" s="3"/>
    </row>
    <row r="615" spans="1:47" x14ac:dyDescent="0.2">
      <c r="A615" s="115">
        <v>612.99999999999955</v>
      </c>
      <c r="B615" s="3">
        <v>180</v>
      </c>
      <c r="C615" s="3">
        <v>21.613</v>
      </c>
      <c r="D615" t="s">
        <v>168</v>
      </c>
      <c r="E615" t="s">
        <v>169</v>
      </c>
      <c r="F615" s="3" t="s">
        <v>170</v>
      </c>
      <c r="H615" s="3" t="s">
        <v>30</v>
      </c>
      <c r="I615" s="127">
        <v>44453</v>
      </c>
      <c r="J615" s="17" t="s">
        <v>142</v>
      </c>
      <c r="K615" s="17" t="s">
        <v>235</v>
      </c>
      <c r="L615" s="17"/>
      <c r="M615" s="17"/>
      <c r="N615" s="17">
        <v>328.2</v>
      </c>
      <c r="O615" s="17">
        <v>202.17</v>
      </c>
      <c r="P615" s="17">
        <v>22.9</v>
      </c>
      <c r="Q615" s="17">
        <v>37.090000000000003</v>
      </c>
      <c r="R615" s="17">
        <v>30.99</v>
      </c>
      <c r="S615" s="17">
        <v>135.06</v>
      </c>
      <c r="T615" s="17">
        <v>103.54</v>
      </c>
      <c r="U615" s="50">
        <v>70.7</v>
      </c>
      <c r="V615" s="50">
        <v>53.45</v>
      </c>
      <c r="W615" s="50">
        <v>79.03</v>
      </c>
      <c r="X615" s="50">
        <v>96.8</v>
      </c>
      <c r="Y615" s="50">
        <v>43.57</v>
      </c>
      <c r="Z615" s="50">
        <v>105.51</v>
      </c>
      <c r="AA615" s="50">
        <v>89.63</v>
      </c>
      <c r="AB615" s="50">
        <v>82.38</v>
      </c>
      <c r="AC615" s="50">
        <v>5.17</v>
      </c>
      <c r="AD615" s="50">
        <v>54.69</v>
      </c>
      <c r="AE615" s="17">
        <v>40.94</v>
      </c>
      <c r="AF615" s="17">
        <v>38.11</v>
      </c>
      <c r="AG615" s="17">
        <v>50.38</v>
      </c>
      <c r="AH615" s="17">
        <v>44.6</v>
      </c>
      <c r="AI615" s="17">
        <v>1.2</v>
      </c>
      <c r="AJ615" s="17">
        <v>65.62</v>
      </c>
      <c r="AK615" s="17"/>
      <c r="AL615" s="17"/>
      <c r="AM615" s="17"/>
      <c r="AN615" s="17">
        <v>0</v>
      </c>
      <c r="AO615" s="17"/>
      <c r="AP615" s="17"/>
      <c r="AQ615" s="17">
        <v>48</v>
      </c>
      <c r="AR615" s="17"/>
      <c r="AS615" s="17"/>
      <c r="AT615" s="3"/>
      <c r="AU615" s="3"/>
    </row>
    <row r="616" spans="1:47" x14ac:dyDescent="0.2">
      <c r="A616" s="115">
        <v>614.0000000000008</v>
      </c>
      <c r="B616" s="3">
        <v>85</v>
      </c>
      <c r="C616" s="3">
        <v>21.614000000000001</v>
      </c>
      <c r="D616" s="126" t="s">
        <v>168</v>
      </c>
      <c r="E616" t="s">
        <v>232</v>
      </c>
      <c r="F616" s="3" t="s">
        <v>251</v>
      </c>
      <c r="G616"/>
      <c r="H616" s="3" t="s">
        <v>498</v>
      </c>
      <c r="I616" s="82">
        <v>44475</v>
      </c>
      <c r="J616" s="17" t="s">
        <v>142</v>
      </c>
      <c r="K616" s="17" t="s">
        <v>235</v>
      </c>
      <c r="L616" s="17"/>
      <c r="M616" s="17"/>
      <c r="N616" s="17">
        <v>275.26</v>
      </c>
      <c r="O616" s="17">
        <v>182.19</v>
      </c>
      <c r="P616" s="17">
        <v>195.63</v>
      </c>
      <c r="Q616" s="17">
        <v>38.020000000000003</v>
      </c>
      <c r="R616" s="17">
        <v>18.670000000000002</v>
      </c>
      <c r="S616" s="17">
        <v>131.47999999999999</v>
      </c>
      <c r="T616" s="17">
        <v>107.29</v>
      </c>
      <c r="U616" s="50">
        <v>72.91</v>
      </c>
      <c r="V616" s="50">
        <v>49.64</v>
      </c>
      <c r="W616" s="50">
        <v>77.22</v>
      </c>
      <c r="X616" s="50">
        <v>92.36</v>
      </c>
      <c r="Y616" s="50">
        <v>37.54</v>
      </c>
      <c r="Z616" s="50">
        <v>97.03</v>
      </c>
      <c r="AA616" s="50">
        <v>83.04</v>
      </c>
      <c r="AB616" s="50">
        <v>68.239999999999995</v>
      </c>
      <c r="AC616" s="50">
        <v>6.75</v>
      </c>
      <c r="AD616" s="50">
        <v>50.83</v>
      </c>
      <c r="AE616" s="17">
        <v>34.83</v>
      </c>
      <c r="AF616" s="17">
        <v>40.520000000000003</v>
      </c>
      <c r="AG616" s="17">
        <v>40.64</v>
      </c>
      <c r="AH616" s="17">
        <v>45.59</v>
      </c>
      <c r="AI616" s="17">
        <v>1.1539999999999999</v>
      </c>
      <c r="AJ616" s="17">
        <v>47.35</v>
      </c>
      <c r="AK616" s="17"/>
      <c r="AL616" s="17"/>
      <c r="AM616" s="17">
        <v>30</v>
      </c>
      <c r="AN616" s="17"/>
      <c r="AO616" s="17"/>
      <c r="AP616" s="17"/>
      <c r="AQ616" s="17"/>
      <c r="AR616" s="17"/>
      <c r="AS616" s="17"/>
      <c r="AT616" s="3"/>
      <c r="AU616" s="3"/>
    </row>
    <row r="617" spans="1:47" x14ac:dyDescent="0.2">
      <c r="A617" s="115">
        <v>614.99999999999841</v>
      </c>
      <c r="B617" s="3">
        <v>117</v>
      </c>
      <c r="C617" s="3">
        <v>21.614999999999998</v>
      </c>
      <c r="D617" s="129" t="s">
        <v>140</v>
      </c>
      <c r="E617" t="s">
        <v>141</v>
      </c>
      <c r="F617" s="9" t="s">
        <v>60</v>
      </c>
      <c r="H617" s="9" t="s">
        <v>60</v>
      </c>
      <c r="I617" s="127">
        <v>44436</v>
      </c>
      <c r="J617" s="17" t="s">
        <v>142</v>
      </c>
      <c r="K617" s="16" t="s">
        <v>235</v>
      </c>
      <c r="L617" s="17"/>
      <c r="M617">
        <v>268.2</v>
      </c>
      <c r="N617" s="17"/>
      <c r="O617" s="17">
        <v>165.08</v>
      </c>
      <c r="P617" s="17">
        <v>176.47</v>
      </c>
      <c r="Q617" s="17">
        <v>30.87</v>
      </c>
      <c r="R617" s="17">
        <v>22.58</v>
      </c>
      <c r="S617" s="17">
        <v>116.78</v>
      </c>
      <c r="T617" s="17">
        <v>100.26</v>
      </c>
      <c r="U617" s="50">
        <v>61.16</v>
      </c>
      <c r="V617" s="50">
        <v>49.66</v>
      </c>
      <c r="W617" s="50">
        <v>72.040000000000006</v>
      </c>
      <c r="X617" s="50">
        <v>86.43</v>
      </c>
      <c r="Y617" s="50">
        <v>42.77</v>
      </c>
      <c r="Z617" s="50">
        <v>96.47</v>
      </c>
      <c r="AA617" s="50">
        <v>80.099999999999994</v>
      </c>
      <c r="AB617" s="50">
        <v>74.3</v>
      </c>
      <c r="AC617" s="50">
        <v>11.04</v>
      </c>
      <c r="AD617" s="50">
        <v>52.97</v>
      </c>
      <c r="AE617" s="17">
        <v>29.34</v>
      </c>
      <c r="AF617" s="17">
        <v>39.03</v>
      </c>
      <c r="AG617" s="17">
        <v>31.28</v>
      </c>
      <c r="AH617" s="17">
        <v>41.31</v>
      </c>
      <c r="AI617" s="17">
        <v>1.653</v>
      </c>
      <c r="AJ617" s="17">
        <v>42.72</v>
      </c>
      <c r="AK617" s="17"/>
      <c r="AL617" s="17"/>
      <c r="AM617" s="17"/>
      <c r="AN617" s="17">
        <v>120</v>
      </c>
      <c r="AO617" s="17"/>
      <c r="AP617" s="17"/>
      <c r="AQ617" s="17"/>
      <c r="AR617" s="17"/>
      <c r="AS617" s="17"/>
      <c r="AT617" s="3"/>
      <c r="AU617" s="3"/>
    </row>
    <row r="618" spans="1:47" x14ac:dyDescent="0.2">
      <c r="A618" s="115">
        <v>615.99999999999966</v>
      </c>
      <c r="B618" s="3">
        <v>176</v>
      </c>
      <c r="C618" s="3">
        <v>21.616</v>
      </c>
      <c r="D618" t="s">
        <v>168</v>
      </c>
      <c r="E618" t="s">
        <v>169</v>
      </c>
      <c r="F618" s="3" t="s">
        <v>170</v>
      </c>
      <c r="H618" s="3" t="s">
        <v>30</v>
      </c>
      <c r="I618" s="127">
        <v>44453</v>
      </c>
      <c r="J618" s="17" t="s">
        <v>142</v>
      </c>
      <c r="K618" s="16" t="s">
        <v>235</v>
      </c>
      <c r="L618" s="17"/>
      <c r="M618" s="17"/>
      <c r="N618" s="17"/>
      <c r="O618" s="17">
        <v>196.71</v>
      </c>
      <c r="P618" s="17">
        <v>206.75</v>
      </c>
      <c r="Q618" s="17">
        <v>39.33</v>
      </c>
      <c r="R618" s="17">
        <v>30.13</v>
      </c>
      <c r="S618" s="17">
        <v>132.87</v>
      </c>
      <c r="T618" s="17">
        <v>108.52</v>
      </c>
      <c r="U618" s="50">
        <v>72.989999999999995</v>
      </c>
      <c r="V618" s="50">
        <v>54</v>
      </c>
      <c r="W618" s="50">
        <v>79.87</v>
      </c>
      <c r="X618" s="50">
        <v>96.72</v>
      </c>
      <c r="Y618" s="50">
        <v>43.04</v>
      </c>
      <c r="Z618" s="50">
        <v>106.88</v>
      </c>
      <c r="AA618" s="50">
        <v>89.7</v>
      </c>
      <c r="AB618" s="50">
        <v>84.46</v>
      </c>
      <c r="AC618" s="50">
        <v>11.1</v>
      </c>
      <c r="AD618" s="50">
        <v>54.83</v>
      </c>
      <c r="AE618" s="17">
        <v>30.89</v>
      </c>
      <c r="AF618" s="17">
        <v>41.62</v>
      </c>
      <c r="AG618" s="17">
        <v>43.97</v>
      </c>
      <c r="AH618" s="17">
        <v>41.17</v>
      </c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3"/>
      <c r="AU618" s="3"/>
    </row>
    <row r="619" spans="1:47" x14ac:dyDescent="0.2">
      <c r="A619" s="115">
        <v>617.00000000000091</v>
      </c>
      <c r="B619" s="3">
        <v>213</v>
      </c>
      <c r="C619" s="3">
        <v>21.617000000000001</v>
      </c>
      <c r="D619" s="64" t="s">
        <v>223</v>
      </c>
      <c r="E619" s="11" t="s">
        <v>223</v>
      </c>
      <c r="F619" s="3" t="s">
        <v>73</v>
      </c>
      <c r="G619" s="3" t="s">
        <v>73</v>
      </c>
      <c r="I619" s="127">
        <v>44348</v>
      </c>
      <c r="J619" s="16" t="s">
        <v>142</v>
      </c>
      <c r="K619" s="16" t="s">
        <v>235</v>
      </c>
      <c r="L619" s="17"/>
      <c r="M619" s="17"/>
      <c r="N619" s="17">
        <v>289.20999999999998</v>
      </c>
      <c r="O619" s="17">
        <v>165.84</v>
      </c>
      <c r="P619" s="17">
        <v>169.82</v>
      </c>
      <c r="Q619" s="17">
        <v>34.68</v>
      </c>
      <c r="R619" s="17">
        <v>13.93</v>
      </c>
      <c r="S619" s="17">
        <v>113.4</v>
      </c>
      <c r="T619" s="17">
        <v>95.52</v>
      </c>
      <c r="U619" s="50">
        <v>73.92</v>
      </c>
      <c r="V619" s="50">
        <v>53.63</v>
      </c>
      <c r="W619" s="133">
        <v>80.84</v>
      </c>
      <c r="X619" s="133">
        <v>93.09</v>
      </c>
      <c r="Y619" s="50">
        <v>41.31</v>
      </c>
      <c r="Z619" s="50">
        <v>105.45</v>
      </c>
      <c r="AA619" s="50">
        <v>83.59</v>
      </c>
      <c r="AB619" s="50">
        <v>79.040000000000006</v>
      </c>
      <c r="AC619" s="50">
        <v>27.69</v>
      </c>
      <c r="AD619" s="50">
        <v>56.73</v>
      </c>
      <c r="AE619" s="17">
        <v>30.8</v>
      </c>
      <c r="AF619" s="17">
        <v>35.5</v>
      </c>
      <c r="AG619" s="17">
        <v>35.86</v>
      </c>
      <c r="AH619" s="17">
        <v>39.72</v>
      </c>
      <c r="AI619" s="17">
        <v>1.5980000000000001</v>
      </c>
      <c r="AJ619" s="17">
        <v>47.33</v>
      </c>
      <c r="AK619" s="17"/>
      <c r="AL619" s="17"/>
      <c r="AM619" s="17"/>
      <c r="AN619" s="17">
        <v>136</v>
      </c>
      <c r="AO619" s="17"/>
      <c r="AP619" s="17"/>
      <c r="AQ619" s="17"/>
      <c r="AR619" s="17"/>
      <c r="AS619" s="17"/>
      <c r="AT619" s="3"/>
      <c r="AU619" s="3"/>
    </row>
    <row r="620" spans="1:47" x14ac:dyDescent="0.2">
      <c r="A620" s="115">
        <v>617.99999999999852</v>
      </c>
      <c r="B620" s="3">
        <v>214</v>
      </c>
      <c r="C620" s="3">
        <v>21.617999999999999</v>
      </c>
      <c r="D620" s="64" t="s">
        <v>223</v>
      </c>
      <c r="E620" s="11" t="s">
        <v>223</v>
      </c>
      <c r="F620" s="3" t="s">
        <v>73</v>
      </c>
      <c r="G620" s="3" t="s">
        <v>73</v>
      </c>
      <c r="H620" s="14"/>
      <c r="I620" s="127">
        <v>44352</v>
      </c>
      <c r="J620" s="16" t="s">
        <v>142</v>
      </c>
      <c r="K620" s="16" t="s">
        <v>235</v>
      </c>
      <c r="L620" s="17"/>
      <c r="M620" s="17" t="s">
        <v>687</v>
      </c>
      <c r="N620" s="17">
        <v>302.56</v>
      </c>
      <c r="O620" s="17">
        <v>169.42</v>
      </c>
      <c r="P620" s="17">
        <v>167.93</v>
      </c>
      <c r="Q620" s="17">
        <v>32.99</v>
      </c>
      <c r="R620" s="17">
        <v>14.94</v>
      </c>
      <c r="S620" s="17">
        <v>115.77</v>
      </c>
      <c r="T620" s="17">
        <v>99.56</v>
      </c>
      <c r="U620" s="50">
        <v>73.3</v>
      </c>
      <c r="V620" s="50">
        <v>52.7</v>
      </c>
      <c r="W620" s="133">
        <v>79.989999999999995</v>
      </c>
      <c r="X620" s="133">
        <v>92.5</v>
      </c>
      <c r="Y620" s="50">
        <v>40.26</v>
      </c>
      <c r="Z620" s="50">
        <v>104.35</v>
      </c>
      <c r="AA620" s="50">
        <v>83.76</v>
      </c>
      <c r="AB620" s="50">
        <v>78.760000000000005</v>
      </c>
      <c r="AC620" s="50">
        <v>25.16</v>
      </c>
      <c r="AD620" s="50">
        <v>58.97</v>
      </c>
      <c r="AE620" s="17">
        <v>29.34</v>
      </c>
      <c r="AF620" s="17">
        <v>32.89</v>
      </c>
      <c r="AG620" s="17">
        <v>28.19</v>
      </c>
      <c r="AH620" s="17">
        <v>33.26</v>
      </c>
      <c r="AI620" s="17">
        <v>1.575</v>
      </c>
      <c r="AJ620" s="17"/>
      <c r="AK620" s="17"/>
      <c r="AL620" s="17"/>
      <c r="AM620" s="17"/>
      <c r="AN620" s="17">
        <v>140</v>
      </c>
      <c r="AO620" s="17"/>
      <c r="AP620" s="17"/>
      <c r="AQ620" s="17"/>
      <c r="AR620" s="17"/>
      <c r="AS620" s="17"/>
      <c r="AT620" s="3"/>
      <c r="AU620" s="3"/>
    </row>
    <row r="621" spans="1:47" x14ac:dyDescent="0.2">
      <c r="A621" s="115">
        <v>618.99999999999977</v>
      </c>
      <c r="B621" s="3">
        <v>211</v>
      </c>
      <c r="C621" s="3">
        <v>21.619</v>
      </c>
      <c r="D621" s="64" t="s">
        <v>223</v>
      </c>
      <c r="E621" s="11" t="s">
        <v>223</v>
      </c>
      <c r="F621" s="3" t="s">
        <v>73</v>
      </c>
      <c r="G621" s="3" t="s">
        <v>73</v>
      </c>
      <c r="H621"/>
      <c r="I621" s="127">
        <v>44348</v>
      </c>
      <c r="J621" s="16" t="s">
        <v>142</v>
      </c>
      <c r="K621" s="16" t="s">
        <v>235</v>
      </c>
      <c r="L621" s="17"/>
      <c r="M621" s="17"/>
      <c r="N621" s="17">
        <v>293.25</v>
      </c>
      <c r="O621" s="17">
        <v>168.66</v>
      </c>
      <c r="P621" s="17">
        <v>164.57</v>
      </c>
      <c r="Q621" s="17">
        <v>33.159999999999997</v>
      </c>
      <c r="R621" s="17">
        <v>16.899999999999999</v>
      </c>
      <c r="S621" s="17">
        <v>115.37</v>
      </c>
      <c r="T621" s="17">
        <v>96.73</v>
      </c>
      <c r="U621" s="50">
        <v>73.53</v>
      </c>
      <c r="V621" s="50">
        <v>51.48</v>
      </c>
      <c r="W621" s="133">
        <v>79.489999999999995</v>
      </c>
      <c r="X621" s="133">
        <v>91.6</v>
      </c>
      <c r="Y621" s="50">
        <v>40.99</v>
      </c>
      <c r="Z621" s="50">
        <v>106.06</v>
      </c>
      <c r="AA621" s="50">
        <v>85.29</v>
      </c>
      <c r="AB621" s="50">
        <v>77.42</v>
      </c>
      <c r="AC621" s="50">
        <v>20.7</v>
      </c>
      <c r="AD621" s="50">
        <v>57.31</v>
      </c>
      <c r="AE621" s="17">
        <v>34.08</v>
      </c>
      <c r="AF621" s="17">
        <v>36.76</v>
      </c>
      <c r="AG621" s="17">
        <v>27.26</v>
      </c>
      <c r="AH621" s="17">
        <v>34.11</v>
      </c>
      <c r="AI621" s="17">
        <v>1.615</v>
      </c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3"/>
      <c r="AU621" s="3"/>
    </row>
    <row r="622" spans="1:47" x14ac:dyDescent="0.2">
      <c r="A622" s="115">
        <v>620.00000000000102</v>
      </c>
      <c r="B622" s="3">
        <v>116</v>
      </c>
      <c r="C622" s="12" t="s">
        <v>50</v>
      </c>
      <c r="D622" s="129" t="s">
        <v>140</v>
      </c>
      <c r="E622" t="s">
        <v>141</v>
      </c>
      <c r="F622" s="9" t="s">
        <v>60</v>
      </c>
      <c r="G622"/>
      <c r="H622" s="9" t="s">
        <v>60</v>
      </c>
      <c r="I622" s="127">
        <v>44436</v>
      </c>
      <c r="J622" s="17" t="s">
        <v>142</v>
      </c>
      <c r="K622" s="16" t="s">
        <v>235</v>
      </c>
      <c r="L622" s="17"/>
      <c r="M622">
        <v>258.5</v>
      </c>
      <c r="N622" s="17">
        <v>272.02999999999997</v>
      </c>
      <c r="O622" s="17">
        <v>161.99</v>
      </c>
      <c r="P622" s="17">
        <v>173.41</v>
      </c>
      <c r="Q622" s="17">
        <v>28.05</v>
      </c>
      <c r="R622" s="17">
        <v>19.309999999999999</v>
      </c>
      <c r="S622" s="17">
        <v>119.82</v>
      </c>
      <c r="T622" s="17">
        <v>105.61</v>
      </c>
      <c r="U622" s="50">
        <v>62.07</v>
      </c>
      <c r="V622" s="50">
        <v>51.93</v>
      </c>
      <c r="W622" s="50">
        <v>73.459999999999994</v>
      </c>
      <c r="X622" s="50">
        <v>88</v>
      </c>
      <c r="Y622" s="50">
        <v>36.78</v>
      </c>
      <c r="Z622" s="50">
        <v>96.47</v>
      </c>
      <c r="AA622" s="50">
        <v>80.62</v>
      </c>
      <c r="AB622" s="50">
        <v>73.77</v>
      </c>
      <c r="AC622" s="50">
        <v>14.44</v>
      </c>
      <c r="AD622" s="50">
        <v>54.14</v>
      </c>
      <c r="AE622" s="17">
        <v>25.97</v>
      </c>
      <c r="AF622" s="17">
        <v>38.270000000000003</v>
      </c>
      <c r="AG622" s="17">
        <v>26.54</v>
      </c>
      <c r="AH622" s="17">
        <v>39.68</v>
      </c>
      <c r="AI622" s="17">
        <v>1.8049999999999999</v>
      </c>
      <c r="AJ622" s="17">
        <v>48.62</v>
      </c>
      <c r="AK622" s="17"/>
      <c r="AL622" s="17"/>
      <c r="AM622" s="17"/>
      <c r="AN622" s="17">
        <v>132</v>
      </c>
      <c r="AO622" s="17"/>
      <c r="AP622" s="17"/>
      <c r="AQ622" s="17"/>
      <c r="AR622" s="17"/>
      <c r="AS622" s="17"/>
    </row>
    <row r="623" spans="1:47" x14ac:dyDescent="0.2">
      <c r="A623" s="115">
        <v>620.99999999999864</v>
      </c>
      <c r="B623" s="3" t="s">
        <v>302</v>
      </c>
      <c r="C623" s="3">
        <v>21.620999999999999</v>
      </c>
      <c r="D623" s="131" t="s">
        <v>151</v>
      </c>
      <c r="E623" t="s">
        <v>152</v>
      </c>
      <c r="F623" t="s">
        <v>227</v>
      </c>
      <c r="G623" t="s">
        <v>89</v>
      </c>
      <c r="I623" s="127">
        <v>44466</v>
      </c>
      <c r="J623" s="3" t="s">
        <v>142</v>
      </c>
      <c r="K623" s="3" t="s">
        <v>235</v>
      </c>
      <c r="N623" s="3">
        <v>311.52</v>
      </c>
      <c r="O623" s="3">
        <v>173</v>
      </c>
      <c r="P623" s="3">
        <v>182.56</v>
      </c>
      <c r="Q623" s="3">
        <v>35.700000000000003</v>
      </c>
      <c r="R623" s="3">
        <v>14.02</v>
      </c>
      <c r="S623" s="3">
        <v>125.15</v>
      </c>
      <c r="T623" s="3">
        <v>15.58</v>
      </c>
      <c r="U623" s="6">
        <v>61.38</v>
      </c>
      <c r="V623" s="6">
        <v>46.61</v>
      </c>
      <c r="W623" s="6">
        <v>68.09</v>
      </c>
      <c r="X623" s="6">
        <v>89.2</v>
      </c>
      <c r="Y623" s="6">
        <v>34.81</v>
      </c>
      <c r="Z623" s="6">
        <v>102.4</v>
      </c>
      <c r="AA623" s="6">
        <v>86.21</v>
      </c>
      <c r="AB623" s="6">
        <v>70.5</v>
      </c>
      <c r="AC623" s="6">
        <v>16.309999999999999</v>
      </c>
      <c r="AD623" s="6">
        <v>57.88</v>
      </c>
      <c r="AE623" s="3">
        <v>24.78</v>
      </c>
      <c r="AF623" s="3">
        <v>36.53</v>
      </c>
      <c r="AG623" s="3">
        <v>30.41</v>
      </c>
      <c r="AH623" s="3">
        <v>37.020000000000003</v>
      </c>
      <c r="AI623" s="3">
        <v>1.49</v>
      </c>
      <c r="AJ623" s="3">
        <v>58.16</v>
      </c>
      <c r="AN623" s="3">
        <v>150</v>
      </c>
      <c r="AT623" s="3"/>
      <c r="AU623" s="3"/>
    </row>
    <row r="624" spans="1:47" x14ac:dyDescent="0.2">
      <c r="A624" s="115">
        <v>621.99999999999989</v>
      </c>
      <c r="B624" s="3" t="s">
        <v>636</v>
      </c>
      <c r="C624" s="3">
        <v>21.622</v>
      </c>
      <c r="D624" s="131" t="s">
        <v>151</v>
      </c>
      <c r="E624" t="s">
        <v>152</v>
      </c>
      <c r="F624" t="s">
        <v>227</v>
      </c>
      <c r="G624"/>
      <c r="H624" s="3" t="s">
        <v>89</v>
      </c>
      <c r="I624" s="127">
        <v>44475</v>
      </c>
      <c r="J624" s="3" t="s">
        <v>142</v>
      </c>
      <c r="K624" s="3" t="s">
        <v>235</v>
      </c>
      <c r="N624" s="3">
        <v>301.7</v>
      </c>
      <c r="O624" s="3">
        <v>170.85</v>
      </c>
      <c r="P624" s="3">
        <v>178.78</v>
      </c>
      <c r="Q624" s="3">
        <v>34.53</v>
      </c>
      <c r="R624" s="3">
        <v>14.17</v>
      </c>
      <c r="S624" s="3">
        <v>124.47</v>
      </c>
      <c r="T624" s="3">
        <v>106.15</v>
      </c>
      <c r="U624" s="6">
        <v>6.33</v>
      </c>
      <c r="V624" s="6">
        <v>46.11</v>
      </c>
      <c r="W624" s="6">
        <v>65.77</v>
      </c>
      <c r="X624" s="6">
        <v>89.35</v>
      </c>
      <c r="Y624" s="6">
        <v>37</v>
      </c>
      <c r="Z624" s="6">
        <v>10.47</v>
      </c>
      <c r="AA624" s="6">
        <v>87.93</v>
      </c>
      <c r="AB624" s="6">
        <v>73.17</v>
      </c>
      <c r="AC624" s="6">
        <v>13.33</v>
      </c>
      <c r="AD624" s="6">
        <v>58.16</v>
      </c>
      <c r="AE624" s="3">
        <v>28.49</v>
      </c>
      <c r="AF624" s="3">
        <v>36.67</v>
      </c>
      <c r="AG624" s="3">
        <v>31.19</v>
      </c>
      <c r="AH624" s="3">
        <v>36.159999999999997</v>
      </c>
      <c r="AI624" s="3">
        <v>1.3620000000000001</v>
      </c>
      <c r="AJ624" s="3">
        <v>57.35</v>
      </c>
      <c r="AM624" s="3">
        <v>110</v>
      </c>
      <c r="AN624" s="3">
        <v>38</v>
      </c>
      <c r="AT624" s="3"/>
      <c r="AU624" s="3"/>
    </row>
    <row r="625" spans="1:47" x14ac:dyDescent="0.2">
      <c r="A625" s="115">
        <v>623.00000000000114</v>
      </c>
      <c r="B625" s="3" t="s">
        <v>284</v>
      </c>
      <c r="C625" s="3">
        <v>21.623000000000001</v>
      </c>
      <c r="D625" s="131" t="s">
        <v>151</v>
      </c>
      <c r="E625" t="s">
        <v>162</v>
      </c>
      <c r="F625" s="3" t="s">
        <v>88</v>
      </c>
      <c r="G625" s="3" t="s">
        <v>88</v>
      </c>
      <c r="H625"/>
      <c r="I625" s="127">
        <v>44466</v>
      </c>
      <c r="J625" s="3" t="s">
        <v>142</v>
      </c>
      <c r="K625" s="3" t="s">
        <v>235</v>
      </c>
      <c r="N625" s="3">
        <v>305.5</v>
      </c>
      <c r="O625" s="3">
        <v>173.18</v>
      </c>
      <c r="P625" s="3">
        <v>177.51</v>
      </c>
      <c r="Q625" s="3">
        <v>35.26</v>
      </c>
      <c r="R625" s="3">
        <v>15.64</v>
      </c>
      <c r="S625" s="3">
        <v>124.12</v>
      </c>
      <c r="T625" s="3">
        <v>104.38</v>
      </c>
      <c r="U625" s="6">
        <v>60.61</v>
      </c>
      <c r="V625" s="6"/>
      <c r="W625" s="6">
        <v>67.069999999999993</v>
      </c>
      <c r="X625" s="6">
        <v>89.46</v>
      </c>
      <c r="Y625" s="6">
        <v>35.75</v>
      </c>
      <c r="Z625" s="6">
        <v>101.86</v>
      </c>
      <c r="AA625" s="6">
        <v>86.27</v>
      </c>
      <c r="AB625" s="6">
        <v>74.13</v>
      </c>
      <c r="AC625" s="6">
        <v>18.59</v>
      </c>
      <c r="AD625" s="6">
        <v>58.7</v>
      </c>
      <c r="AE625" s="3">
        <v>32.049999999999997</v>
      </c>
      <c r="AF625" s="3">
        <v>36.57</v>
      </c>
      <c r="AG625" s="3">
        <v>34.659999999999997</v>
      </c>
      <c r="AH625" s="3">
        <v>38.83</v>
      </c>
      <c r="AI625" s="3">
        <v>1.3720000000000001</v>
      </c>
      <c r="AJ625" s="3">
        <v>54.78</v>
      </c>
      <c r="AN625" s="3">
        <v>141</v>
      </c>
      <c r="AT625" s="3"/>
      <c r="AU625" s="3"/>
    </row>
    <row r="626" spans="1:47" x14ac:dyDescent="0.2">
      <c r="A626" s="115">
        <v>623.99999999999875</v>
      </c>
      <c r="B626" s="3">
        <v>189</v>
      </c>
      <c r="C626" s="3">
        <v>21.623999999999999</v>
      </c>
      <c r="D626" s="126" t="s">
        <v>168</v>
      </c>
      <c r="E626" t="s">
        <v>169</v>
      </c>
      <c r="F626" s="3" t="s">
        <v>170</v>
      </c>
      <c r="G626"/>
      <c r="H626" s="9" t="s">
        <v>177</v>
      </c>
      <c r="I626" s="127">
        <v>44488</v>
      </c>
      <c r="J626" s="16" t="s">
        <v>142</v>
      </c>
      <c r="K626" s="16" t="s">
        <v>235</v>
      </c>
      <c r="L626" s="17">
        <v>307</v>
      </c>
      <c r="M626" s="17"/>
      <c r="N626" s="17">
        <v>317.08</v>
      </c>
      <c r="O626" s="17">
        <v>183.36</v>
      </c>
      <c r="P626" s="17">
        <v>195.35</v>
      </c>
      <c r="Q626" s="17">
        <v>36.44</v>
      </c>
      <c r="R626" s="17">
        <v>27.13</v>
      </c>
      <c r="S626" s="17">
        <v>131.97</v>
      </c>
      <c r="T626" s="17">
        <v>107.86</v>
      </c>
      <c r="U626" s="50">
        <v>68.64</v>
      </c>
      <c r="V626" s="50">
        <v>54.04</v>
      </c>
      <c r="W626" s="133">
        <v>74.95</v>
      </c>
      <c r="X626" s="133">
        <v>93.82</v>
      </c>
      <c r="Y626" s="50">
        <v>43.75</v>
      </c>
      <c r="Z626" s="50">
        <v>107.98</v>
      </c>
      <c r="AA626" s="50">
        <v>91.09</v>
      </c>
      <c r="AB626" s="50">
        <v>82.89</v>
      </c>
      <c r="AC626" s="50">
        <v>7.45</v>
      </c>
      <c r="AD626" s="50">
        <v>51.5</v>
      </c>
      <c r="AE626" s="17">
        <v>30.35</v>
      </c>
      <c r="AF626" s="17">
        <v>38.96</v>
      </c>
      <c r="AG626" s="17">
        <v>38.97</v>
      </c>
      <c r="AH626" s="17">
        <v>37.68</v>
      </c>
      <c r="AI626" s="17">
        <v>1.206</v>
      </c>
      <c r="AJ626" s="17">
        <v>60.22</v>
      </c>
      <c r="AK626" s="17"/>
      <c r="AL626" s="17"/>
      <c r="AM626" s="17"/>
      <c r="AN626" s="17">
        <v>147</v>
      </c>
      <c r="AO626" s="17"/>
      <c r="AP626" s="17"/>
      <c r="AQ626" s="17"/>
      <c r="AR626" s="17"/>
      <c r="AS626" s="17"/>
      <c r="AT626" s="3"/>
      <c r="AU626" s="3"/>
    </row>
    <row r="627" spans="1:47" x14ac:dyDescent="0.2">
      <c r="A627" s="115">
        <v>625</v>
      </c>
      <c r="B627" s="3">
        <v>196</v>
      </c>
      <c r="C627" s="3">
        <v>21.625</v>
      </c>
      <c r="D627" s="126" t="s">
        <v>168</v>
      </c>
      <c r="E627" s="11" t="s">
        <v>169</v>
      </c>
      <c r="F627" s="3" t="s">
        <v>170</v>
      </c>
      <c r="G627" s="9" t="s">
        <v>30</v>
      </c>
      <c r="I627" s="127">
        <v>44502</v>
      </c>
      <c r="J627" s="16" t="s">
        <v>142</v>
      </c>
      <c r="K627" s="16" t="s">
        <v>235</v>
      </c>
      <c r="L627" s="17"/>
      <c r="M627" s="17"/>
      <c r="N627" s="17">
        <v>313.2</v>
      </c>
      <c r="O627" s="17">
        <v>190.52</v>
      </c>
      <c r="P627" s="17">
        <v>187.77</v>
      </c>
      <c r="Q627" s="17">
        <v>42.94</v>
      </c>
      <c r="R627" s="17">
        <v>27.9</v>
      </c>
      <c r="S627" s="17">
        <v>121.29</v>
      </c>
      <c r="T627" s="17">
        <v>95.97</v>
      </c>
      <c r="U627" s="50">
        <v>76.33</v>
      </c>
      <c r="V627" s="50">
        <v>53.31</v>
      </c>
      <c r="W627" s="133">
        <v>82.15</v>
      </c>
      <c r="X627" s="133">
        <v>100.64</v>
      </c>
      <c r="Y627" s="50">
        <v>43.58</v>
      </c>
      <c r="Z627" s="50">
        <v>109.31</v>
      </c>
      <c r="AA627" s="50">
        <v>90.81</v>
      </c>
      <c r="AB627" s="50">
        <v>88.15</v>
      </c>
      <c r="AC627" s="50">
        <v>7.07</v>
      </c>
      <c r="AD627" s="50">
        <v>54.23</v>
      </c>
      <c r="AE627" s="17">
        <v>32.26</v>
      </c>
      <c r="AF627" s="17">
        <v>41.71</v>
      </c>
      <c r="AG627" s="17">
        <v>37.35</v>
      </c>
      <c r="AH627" s="17">
        <v>39.909999999999997</v>
      </c>
      <c r="AI627" s="17">
        <v>1.2949999999999999</v>
      </c>
      <c r="AJ627" s="17">
        <v>47.27</v>
      </c>
      <c r="AK627" s="17"/>
      <c r="AL627" s="17"/>
      <c r="AM627" s="17"/>
      <c r="AN627" s="17">
        <v>180</v>
      </c>
      <c r="AO627" s="17"/>
      <c r="AP627" s="17"/>
      <c r="AQ627" s="17"/>
      <c r="AR627" s="17"/>
      <c r="AS627" s="17"/>
      <c r="AT627" s="3"/>
      <c r="AU627" s="3"/>
    </row>
    <row r="628" spans="1:47" x14ac:dyDescent="0.2">
      <c r="A628" s="115">
        <v>626.00000000000125</v>
      </c>
      <c r="B628" s="3">
        <v>186</v>
      </c>
      <c r="C628" s="3">
        <v>21.626000000000001</v>
      </c>
      <c r="D628" s="126" t="s">
        <v>168</v>
      </c>
      <c r="E628" t="s">
        <v>169</v>
      </c>
      <c r="F628" s="3" t="s">
        <v>170</v>
      </c>
      <c r="G628" s="9" t="s">
        <v>30</v>
      </c>
      <c r="I628" s="127">
        <v>44481</v>
      </c>
      <c r="J628" s="16" t="s">
        <v>142</v>
      </c>
      <c r="K628" s="16" t="s">
        <v>235</v>
      </c>
      <c r="L628" s="17">
        <v>327</v>
      </c>
      <c r="M628" s="17"/>
      <c r="N628" s="17">
        <v>336</v>
      </c>
      <c r="O628" s="17">
        <v>199.79</v>
      </c>
      <c r="P628" s="17">
        <v>199.75</v>
      </c>
      <c r="Q628" s="17">
        <v>39.83</v>
      </c>
      <c r="R628" s="17">
        <v>29.83</v>
      </c>
      <c r="S628" s="17">
        <v>133.84</v>
      </c>
      <c r="T628" s="17">
        <v>103.32</v>
      </c>
      <c r="U628" s="50">
        <v>76.63</v>
      </c>
      <c r="V628" s="50">
        <v>52.76</v>
      </c>
      <c r="W628" s="133">
        <v>82.61</v>
      </c>
      <c r="X628" s="133">
        <v>99.62</v>
      </c>
      <c r="Y628" s="50">
        <v>42.85</v>
      </c>
      <c r="Z628" s="50">
        <v>108.61</v>
      </c>
      <c r="AA628" s="50">
        <v>89.94</v>
      </c>
      <c r="AB628" s="50">
        <v>85.51</v>
      </c>
      <c r="AC628" s="50">
        <v>5.51</v>
      </c>
      <c r="AD628" s="50">
        <v>55.35</v>
      </c>
      <c r="AE628" s="17">
        <v>35.479999999999997</v>
      </c>
      <c r="AF628" s="17">
        <v>4.05</v>
      </c>
      <c r="AG628" s="17">
        <v>44.99</v>
      </c>
      <c r="AH628" s="17">
        <v>41.28</v>
      </c>
      <c r="AI628" s="17">
        <v>1.194</v>
      </c>
      <c r="AJ628" s="17">
        <v>65.14</v>
      </c>
      <c r="AK628" s="17"/>
      <c r="AL628" s="17"/>
      <c r="AM628" s="17">
        <v>35</v>
      </c>
      <c r="AN628" s="17"/>
      <c r="AO628" s="17"/>
      <c r="AP628" s="17"/>
      <c r="AQ628" s="17">
        <v>82</v>
      </c>
      <c r="AR628" s="17"/>
      <c r="AS628" s="17"/>
      <c r="AT628" s="3"/>
      <c r="AU628" s="3"/>
    </row>
    <row r="629" spans="1:47" x14ac:dyDescent="0.2">
      <c r="A629" s="115">
        <v>626.99999999999886</v>
      </c>
      <c r="B629" s="3">
        <v>1</v>
      </c>
      <c r="C629" s="3">
        <v>21.626999999999999</v>
      </c>
      <c r="D629" s="65" t="s">
        <v>148</v>
      </c>
      <c r="E629" t="s">
        <v>229</v>
      </c>
      <c r="F629" s="3" t="s">
        <v>688</v>
      </c>
      <c r="G629" s="3" t="s">
        <v>688</v>
      </c>
      <c r="H629"/>
      <c r="I629" s="82">
        <v>44509</v>
      </c>
      <c r="J629" s="17" t="s">
        <v>142</v>
      </c>
      <c r="K629" s="17" t="s">
        <v>235</v>
      </c>
      <c r="L629" s="17">
        <v>218</v>
      </c>
      <c r="M629" s="17"/>
      <c r="N629" s="17">
        <v>227.22</v>
      </c>
      <c r="O629" s="17">
        <v>164.12</v>
      </c>
      <c r="P629" s="17">
        <v>169.99</v>
      </c>
      <c r="Q629" s="17">
        <v>34.159999999999997</v>
      </c>
      <c r="R629" s="17">
        <v>15.53</v>
      </c>
      <c r="S629" s="17">
        <v>116.39</v>
      </c>
      <c r="T629" s="17">
        <v>94.46</v>
      </c>
      <c r="U629" s="50">
        <v>67.069999999999993</v>
      </c>
      <c r="V629" s="50">
        <v>50.74</v>
      </c>
      <c r="W629" s="50">
        <v>72.06</v>
      </c>
      <c r="X629" s="50">
        <v>83.16</v>
      </c>
      <c r="Y629" s="50">
        <v>44.74</v>
      </c>
      <c r="Z629" s="50">
        <v>92.44</v>
      </c>
      <c r="AA629" s="50">
        <v>77.489999999999995</v>
      </c>
      <c r="AB629" s="50">
        <v>73.98</v>
      </c>
      <c r="AC629" s="50">
        <v>17.170000000000002</v>
      </c>
      <c r="AD629" s="50">
        <v>52.21</v>
      </c>
      <c r="AE629" s="17">
        <v>30.2</v>
      </c>
      <c r="AF629" s="17">
        <v>36.229999999999997</v>
      </c>
      <c r="AG629" s="17">
        <v>34.42</v>
      </c>
      <c r="AH629" s="17">
        <v>36.409999999999997</v>
      </c>
      <c r="AI629" s="17">
        <v>1.236</v>
      </c>
      <c r="AJ629" s="17">
        <v>28.62</v>
      </c>
      <c r="AK629" s="17"/>
      <c r="AL629" s="17"/>
      <c r="AM629" s="17"/>
      <c r="AN629" s="17">
        <v>90</v>
      </c>
      <c r="AO629" s="17"/>
      <c r="AP629" s="17"/>
      <c r="AQ629" s="17"/>
      <c r="AR629" s="17"/>
      <c r="AS629" s="17"/>
      <c r="AT629" s="3"/>
      <c r="AU629" s="3"/>
    </row>
    <row r="630" spans="1:47" x14ac:dyDescent="0.2">
      <c r="A630" s="115">
        <v>628.00000000000011</v>
      </c>
      <c r="B630" s="3" t="s">
        <v>689</v>
      </c>
      <c r="C630" s="3">
        <v>21.628</v>
      </c>
      <c r="D630" s="125" t="s">
        <v>156</v>
      </c>
      <c r="E630" t="s">
        <v>491</v>
      </c>
      <c r="F630" s="3" t="s">
        <v>77</v>
      </c>
      <c r="G630" s="3" t="s">
        <v>77</v>
      </c>
      <c r="H630"/>
      <c r="I630" s="82">
        <v>44484</v>
      </c>
      <c r="J630" s="16" t="s">
        <v>142</v>
      </c>
      <c r="K630" s="17" t="s">
        <v>203</v>
      </c>
      <c r="L630" s="17"/>
      <c r="M630" s="17"/>
      <c r="N630" s="17"/>
      <c r="O630" s="17">
        <v>172.26</v>
      </c>
      <c r="P630" s="17">
        <v>174.02</v>
      </c>
      <c r="Q630" s="17">
        <v>34.840000000000003</v>
      </c>
      <c r="R630" s="17">
        <v>22.96</v>
      </c>
      <c r="S630" s="17">
        <v>114.26</v>
      </c>
      <c r="T630" s="17">
        <v>89.1</v>
      </c>
      <c r="U630" s="50">
        <v>60.84</v>
      </c>
      <c r="V630" s="50">
        <v>42.81</v>
      </c>
      <c r="W630" s="50">
        <v>68.72</v>
      </c>
      <c r="X630" s="50">
        <v>81.069999999999993</v>
      </c>
      <c r="Y630" s="50">
        <v>34.590000000000003</v>
      </c>
      <c r="Z630" s="50">
        <v>87.54</v>
      </c>
      <c r="AA630" s="50">
        <v>73.06</v>
      </c>
      <c r="AB630" s="50">
        <v>68.63</v>
      </c>
      <c r="AC630" s="50">
        <v>16.02</v>
      </c>
      <c r="AD630" s="50">
        <v>43.7</v>
      </c>
      <c r="AE630" s="17">
        <v>32.700000000000003</v>
      </c>
      <c r="AF630" s="17">
        <v>35.479999999999997</v>
      </c>
      <c r="AG630" s="17">
        <v>40.21</v>
      </c>
      <c r="AH630" s="17">
        <v>39.93</v>
      </c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3"/>
      <c r="AU630" s="3"/>
    </row>
    <row r="631" spans="1:47" x14ac:dyDescent="0.2">
      <c r="A631" s="115">
        <v>629.00000000000136</v>
      </c>
      <c r="B631" s="3">
        <v>2</v>
      </c>
      <c r="C631" s="3">
        <v>21.629000000000001</v>
      </c>
      <c r="D631" s="65" t="s">
        <v>148</v>
      </c>
      <c r="E631" t="s">
        <v>229</v>
      </c>
      <c r="F631" s="3" t="s">
        <v>688</v>
      </c>
      <c r="G631" s="3" t="s">
        <v>688</v>
      </c>
      <c r="I631" s="82">
        <v>44509</v>
      </c>
      <c r="J631" s="17" t="s">
        <v>142</v>
      </c>
      <c r="K631" s="17" t="s">
        <v>203</v>
      </c>
      <c r="L631" s="17">
        <v>160</v>
      </c>
      <c r="M631" s="17"/>
      <c r="N631" s="17">
        <v>163.4</v>
      </c>
      <c r="O631" s="17">
        <v>158.06</v>
      </c>
      <c r="P631" s="17">
        <v>164.12</v>
      </c>
      <c r="Q631" s="17">
        <v>37.29</v>
      </c>
      <c r="R631" s="17">
        <v>16.54</v>
      </c>
      <c r="S631" s="17">
        <v>110.08</v>
      </c>
      <c r="T631" s="17">
        <v>84.11</v>
      </c>
      <c r="U631" s="50">
        <v>63.41</v>
      </c>
      <c r="V631" s="50">
        <v>49.53</v>
      </c>
      <c r="W631" s="50">
        <v>68.5</v>
      </c>
      <c r="X631" s="50">
        <v>79.180000000000007</v>
      </c>
      <c r="Y631" s="50">
        <v>36.619999999999997</v>
      </c>
      <c r="Z631" s="50">
        <v>86.08</v>
      </c>
      <c r="AA631" s="50">
        <v>67.31</v>
      </c>
      <c r="AB631" s="50">
        <v>73.180000000000007</v>
      </c>
      <c r="AC631" s="50">
        <v>20.95</v>
      </c>
      <c r="AD631" s="50">
        <v>43.16</v>
      </c>
      <c r="AE631" s="17">
        <v>28.37</v>
      </c>
      <c r="AF631" s="17">
        <v>34.869999999999997</v>
      </c>
      <c r="AG631" s="17">
        <v>35.97</v>
      </c>
      <c r="AH631" s="17">
        <v>35.76</v>
      </c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3"/>
      <c r="AU631" s="3"/>
    </row>
    <row r="632" spans="1:47" x14ac:dyDescent="0.2">
      <c r="A632" s="115">
        <v>629.99999999999898</v>
      </c>
      <c r="B632" s="3">
        <v>3</v>
      </c>
      <c r="C632" s="12" t="s">
        <v>690</v>
      </c>
      <c r="D632" s="65" t="s">
        <v>148</v>
      </c>
      <c r="E632" t="s">
        <v>229</v>
      </c>
      <c r="F632" s="3" t="s">
        <v>688</v>
      </c>
      <c r="G632" s="3" t="s">
        <v>688</v>
      </c>
      <c r="I632" s="82">
        <v>44509</v>
      </c>
      <c r="J632" s="17" t="s">
        <v>142</v>
      </c>
      <c r="K632" s="17" t="s">
        <v>203</v>
      </c>
      <c r="L632" s="17">
        <v>188</v>
      </c>
      <c r="M632" s="17"/>
      <c r="N632" s="17">
        <v>189.8</v>
      </c>
      <c r="O632" s="17">
        <v>161.02000000000001</v>
      </c>
      <c r="P632" s="17">
        <v>170.41</v>
      </c>
      <c r="Q632" s="17">
        <v>38.31</v>
      </c>
      <c r="R632" s="17">
        <v>14.53</v>
      </c>
      <c r="S632" s="17">
        <v>109.58</v>
      </c>
      <c r="T632" s="17">
        <v>87.05</v>
      </c>
      <c r="U632" s="50">
        <v>62.59</v>
      </c>
      <c r="V632" s="50">
        <v>48.87</v>
      </c>
      <c r="W632" s="50">
        <v>69.69</v>
      </c>
      <c r="X632" s="50">
        <v>79.819999999999993</v>
      </c>
      <c r="Y632" s="50">
        <v>32.49</v>
      </c>
      <c r="Z632" s="50">
        <v>88.98</v>
      </c>
      <c r="AA632" s="50">
        <v>72.02</v>
      </c>
      <c r="AB632" s="50">
        <v>71.790000000000006</v>
      </c>
      <c r="AC632" s="50">
        <v>14.48</v>
      </c>
      <c r="AD632" s="50">
        <v>47.96</v>
      </c>
      <c r="AE632" s="17">
        <v>37.07</v>
      </c>
      <c r="AF632" s="17">
        <v>29.35</v>
      </c>
      <c r="AG632" s="17">
        <v>32.93</v>
      </c>
      <c r="AH632" s="17">
        <v>38.32</v>
      </c>
      <c r="AI632" s="17">
        <v>1.45</v>
      </c>
      <c r="AJ632" s="17"/>
      <c r="AK632" s="17"/>
      <c r="AL632" s="17"/>
      <c r="AM632" s="17"/>
      <c r="AN632" s="17"/>
      <c r="AO632" s="17">
        <f>16.2-3.1</f>
        <v>13.1</v>
      </c>
      <c r="AP632" s="17">
        <f>83.2-10.6</f>
        <v>72.600000000000009</v>
      </c>
      <c r="AQ632" s="17">
        <f>67.4-10.6</f>
        <v>56.800000000000004</v>
      </c>
      <c r="AR632" s="17">
        <v>44.3</v>
      </c>
      <c r="AS632" s="17">
        <v>19.3</v>
      </c>
      <c r="AT632" s="3"/>
      <c r="AU632" s="3"/>
    </row>
    <row r="633" spans="1:47" x14ac:dyDescent="0.2">
      <c r="A633" s="115">
        <v>631.00000000000023</v>
      </c>
      <c r="B633" s="3">
        <v>4</v>
      </c>
      <c r="C633" s="3">
        <v>21.631</v>
      </c>
      <c r="D633" s="65" t="s">
        <v>148</v>
      </c>
      <c r="E633" t="s">
        <v>229</v>
      </c>
      <c r="F633" s="3" t="s">
        <v>688</v>
      </c>
      <c r="G633" s="3" t="s">
        <v>688</v>
      </c>
      <c r="I633" s="82">
        <v>44512</v>
      </c>
      <c r="J633" s="17" t="s">
        <v>142</v>
      </c>
      <c r="K633" s="17" t="s">
        <v>203</v>
      </c>
      <c r="L633" s="17">
        <v>192</v>
      </c>
      <c r="M633" s="17"/>
      <c r="N633" s="17">
        <v>196.5</v>
      </c>
      <c r="O633" s="17">
        <v>160.41999999999999</v>
      </c>
      <c r="P633" s="17">
        <v>166.91</v>
      </c>
      <c r="Q633" s="17">
        <v>39.159999999999997</v>
      </c>
      <c r="R633" s="17">
        <v>17.079999999999998</v>
      </c>
      <c r="S633" s="17">
        <v>108.89</v>
      </c>
      <c r="T633" s="17">
        <v>87.81</v>
      </c>
      <c r="U633" s="50">
        <v>66.989999999999995</v>
      </c>
      <c r="V633" s="50">
        <v>50.07</v>
      </c>
      <c r="W633" s="50">
        <v>71.48</v>
      </c>
      <c r="X633" s="50">
        <v>81.52</v>
      </c>
      <c r="Y633" s="50">
        <v>39.119999999999997</v>
      </c>
      <c r="Z633" s="50">
        <v>92.13</v>
      </c>
      <c r="AA633" s="50">
        <v>73.11</v>
      </c>
      <c r="AB633" s="50">
        <v>75.19</v>
      </c>
      <c r="AC633" s="50">
        <v>13</v>
      </c>
      <c r="AD633" s="50">
        <v>47.58</v>
      </c>
      <c r="AE633" s="17">
        <v>30.69</v>
      </c>
      <c r="AF633" s="17">
        <v>33.43</v>
      </c>
      <c r="AG633" s="17">
        <v>36.770000000000003</v>
      </c>
      <c r="AH633" s="17">
        <v>35.19</v>
      </c>
      <c r="AI633" s="17">
        <v>1.518</v>
      </c>
      <c r="AJ633" s="17"/>
      <c r="AK633" s="17"/>
      <c r="AL633" s="17">
        <v>3</v>
      </c>
      <c r="AM633" s="17"/>
      <c r="AN633" s="17"/>
      <c r="AO633" s="17">
        <f>18.8-3.2</f>
        <v>15.600000000000001</v>
      </c>
      <c r="AP633" s="17">
        <f>90-10.7</f>
        <v>79.3</v>
      </c>
      <c r="AQ633" s="17">
        <f>56.9-10.9</f>
        <v>46</v>
      </c>
      <c r="AR633" s="17">
        <v>47.9</v>
      </c>
      <c r="AS633" s="17">
        <v>21</v>
      </c>
      <c r="AT633" s="3"/>
      <c r="AU633" s="3"/>
    </row>
    <row r="634" spans="1:47" x14ac:dyDescent="0.2">
      <c r="A634" s="115">
        <v>632.00000000000148</v>
      </c>
      <c r="B634" s="3">
        <v>5</v>
      </c>
      <c r="C634" s="3">
        <v>21.632000000000001</v>
      </c>
      <c r="D634" s="65" t="s">
        <v>148</v>
      </c>
      <c r="E634" t="s">
        <v>229</v>
      </c>
      <c r="F634" s="3" t="s">
        <v>688</v>
      </c>
      <c r="G634" s="3" t="s">
        <v>688</v>
      </c>
      <c r="I634" s="82">
        <v>44512</v>
      </c>
      <c r="J634" s="17" t="s">
        <v>142</v>
      </c>
      <c r="K634" s="17" t="s">
        <v>203</v>
      </c>
      <c r="L634" s="17">
        <v>198</v>
      </c>
      <c r="M634" s="17"/>
      <c r="N634" s="17">
        <v>202.7</v>
      </c>
      <c r="O634" s="17">
        <v>164.04</v>
      </c>
      <c r="P634" s="17">
        <v>172.6</v>
      </c>
      <c r="Q634" s="17">
        <v>35.229999999999997</v>
      </c>
      <c r="R634" s="17">
        <v>17.8</v>
      </c>
      <c r="S634" s="17">
        <v>114.18</v>
      </c>
      <c r="T634" s="17">
        <v>92.33</v>
      </c>
      <c r="U634" s="50">
        <v>59.79</v>
      </c>
      <c r="V634" s="50">
        <v>49.05</v>
      </c>
      <c r="W634" s="50">
        <v>67.599999999999994</v>
      </c>
      <c r="X634" s="50">
        <v>80.459999999999994</v>
      </c>
      <c r="Y634" s="50">
        <v>34.22</v>
      </c>
      <c r="Z634" s="50">
        <v>91.09</v>
      </c>
      <c r="AA634" s="50">
        <v>73.37</v>
      </c>
      <c r="AB634" s="50">
        <v>71.739999999999995</v>
      </c>
      <c r="AC634" s="50">
        <v>14.06</v>
      </c>
      <c r="AD634" s="50">
        <v>48.13</v>
      </c>
      <c r="AE634" s="17">
        <v>33.520000000000003</v>
      </c>
      <c r="AF634" s="17">
        <v>32.81</v>
      </c>
      <c r="AG634" s="17">
        <v>33</v>
      </c>
      <c r="AH634" s="17">
        <v>34.89</v>
      </c>
      <c r="AI634" s="17">
        <v>1.5589999999999999</v>
      </c>
      <c r="AJ634" s="17"/>
      <c r="AK634" s="17"/>
      <c r="AL634" s="17">
        <v>3</v>
      </c>
      <c r="AM634" s="17"/>
      <c r="AN634" s="17"/>
      <c r="AO634" s="17">
        <f>20.3-3.1</f>
        <v>17.2</v>
      </c>
      <c r="AP634" s="17">
        <f>95.6-10.3</f>
        <v>85.3</v>
      </c>
      <c r="AQ634" s="17">
        <v>43.7</v>
      </c>
      <c r="AR634" s="17">
        <v>48.7</v>
      </c>
      <c r="AS634" s="17">
        <v>21</v>
      </c>
      <c r="AT634" s="3"/>
      <c r="AU634" s="3"/>
    </row>
    <row r="635" spans="1:47" x14ac:dyDescent="0.2">
      <c r="A635" s="115">
        <v>632.99999999999909</v>
      </c>
      <c r="B635" s="3">
        <v>192</v>
      </c>
      <c r="C635" s="3">
        <v>21.632999999999999</v>
      </c>
      <c r="D635" s="129" t="s">
        <v>140</v>
      </c>
      <c r="E635" t="s">
        <v>141</v>
      </c>
      <c r="F635" s="9" t="s">
        <v>60</v>
      </c>
      <c r="H635" s="9" t="s">
        <v>60</v>
      </c>
      <c r="I635" s="82">
        <v>44540</v>
      </c>
      <c r="J635" s="17" t="s">
        <v>142</v>
      </c>
      <c r="K635" s="17" t="s">
        <v>203</v>
      </c>
      <c r="L635" s="17"/>
      <c r="M635"/>
      <c r="N635" s="17">
        <v>216.7</v>
      </c>
      <c r="O635" s="17">
        <v>150.35</v>
      </c>
      <c r="P635" s="17">
        <v>166.26</v>
      </c>
      <c r="Q635" s="17">
        <v>28.38</v>
      </c>
      <c r="R635" s="17">
        <v>19.98</v>
      </c>
      <c r="S635" s="17">
        <v>111.62</v>
      </c>
      <c r="T635" s="17">
        <v>93.22</v>
      </c>
      <c r="U635" s="50">
        <v>67.38</v>
      </c>
      <c r="V635" s="50">
        <v>52.18</v>
      </c>
      <c r="W635" s="50">
        <v>76.739999999999995</v>
      </c>
      <c r="X635" s="50">
        <v>84.64</v>
      </c>
      <c r="Y635" s="50">
        <v>40.18</v>
      </c>
      <c r="Z635" s="50">
        <v>97.94</v>
      </c>
      <c r="AA635" s="50">
        <v>77.680000000000007</v>
      </c>
      <c r="AB635" s="50">
        <v>75.66</v>
      </c>
      <c r="AC635" s="50">
        <v>14.3</v>
      </c>
      <c r="AD635" s="50">
        <v>45.92</v>
      </c>
      <c r="AE635" s="17">
        <v>25.43</v>
      </c>
      <c r="AF635" s="17">
        <v>30.97</v>
      </c>
      <c r="AG635" s="17">
        <v>27.64</v>
      </c>
      <c r="AH635" s="17">
        <v>34.21</v>
      </c>
      <c r="AI635" s="17">
        <v>2.2370000000000001</v>
      </c>
      <c r="AJ635" s="17"/>
      <c r="AK635" s="17"/>
      <c r="AL635" s="17">
        <v>21</v>
      </c>
      <c r="AM635" s="17"/>
      <c r="AN635" s="17"/>
      <c r="AO635" s="17">
        <f>15.9-3.2</f>
        <v>12.7</v>
      </c>
      <c r="AP635" s="17">
        <f>95-11</f>
        <v>84</v>
      </c>
      <c r="AQ635" s="17">
        <f>53.3-10.8</f>
        <v>42.5</v>
      </c>
      <c r="AR635" s="17">
        <v>51.4</v>
      </c>
      <c r="AS635" s="17">
        <v>22.2</v>
      </c>
      <c r="AT635" s="3"/>
      <c r="AU635" s="3"/>
    </row>
    <row r="636" spans="1:47" x14ac:dyDescent="0.2">
      <c r="A636" s="115">
        <v>634.00000000000034</v>
      </c>
      <c r="B636" s="3">
        <v>193</v>
      </c>
      <c r="C636" s="3">
        <v>21.634</v>
      </c>
      <c r="D636" s="129" t="s">
        <v>140</v>
      </c>
      <c r="E636" t="s">
        <v>141</v>
      </c>
      <c r="F636" s="9" t="s">
        <v>60</v>
      </c>
      <c r="H636" s="9" t="s">
        <v>60</v>
      </c>
      <c r="I636" s="82">
        <v>44540</v>
      </c>
      <c r="J636" s="17" t="s">
        <v>142</v>
      </c>
      <c r="K636" s="17" t="s">
        <v>203</v>
      </c>
      <c r="L636" s="17"/>
      <c r="M636"/>
      <c r="N636" s="17">
        <v>217.6</v>
      </c>
      <c r="O636" s="17">
        <v>154.21</v>
      </c>
      <c r="P636" s="17">
        <v>165.93</v>
      </c>
      <c r="Q636" s="17">
        <v>26.48</v>
      </c>
      <c r="R636" s="17">
        <v>16.38</v>
      </c>
      <c r="S636" s="17">
        <v>116.75</v>
      </c>
      <c r="T636" s="17">
        <v>92.66</v>
      </c>
      <c r="U636" s="50">
        <v>69.260000000000005</v>
      </c>
      <c r="V636" s="50">
        <v>45.66</v>
      </c>
      <c r="W636" s="50">
        <v>73.760000000000005</v>
      </c>
      <c r="X636" s="50">
        <v>85.2</v>
      </c>
      <c r="Y636" s="50">
        <v>37.590000000000003</v>
      </c>
      <c r="Z636" s="50">
        <v>95.28</v>
      </c>
      <c r="AA636" s="50">
        <v>74.739999999999995</v>
      </c>
      <c r="AB636" s="50">
        <v>74.03</v>
      </c>
      <c r="AC636" s="50">
        <v>13.3</v>
      </c>
      <c r="AD636" s="50">
        <v>47.37</v>
      </c>
      <c r="AE636" s="17">
        <v>27.51</v>
      </c>
      <c r="AF636" s="17">
        <v>33.79</v>
      </c>
      <c r="AG636" s="17">
        <v>27.75</v>
      </c>
      <c r="AH636" s="17">
        <v>35.549999999999997</v>
      </c>
      <c r="AI636" s="17">
        <v>2.0680000000000001</v>
      </c>
      <c r="AJ636" s="17"/>
      <c r="AK636" s="17"/>
      <c r="AL636" s="17">
        <v>23</v>
      </c>
      <c r="AM636" s="17"/>
      <c r="AN636" s="17"/>
      <c r="AO636" s="17">
        <f>18.3-3.2</f>
        <v>15.100000000000001</v>
      </c>
      <c r="AP636" s="17">
        <f>85-11</f>
        <v>74</v>
      </c>
      <c r="AQ636" s="17">
        <f>59.7-11.1</f>
        <v>48.6</v>
      </c>
      <c r="AR636" s="17">
        <v>51.6</v>
      </c>
      <c r="AS636" s="17">
        <v>22</v>
      </c>
      <c r="AT636" s="3"/>
      <c r="AU636" s="3"/>
    </row>
    <row r="637" spans="1:47" x14ac:dyDescent="0.2">
      <c r="A637" s="115">
        <v>635.00000000000159</v>
      </c>
      <c r="B637" s="3" t="s">
        <v>335</v>
      </c>
      <c r="C637" s="3">
        <v>21.635000000000002</v>
      </c>
      <c r="D637" s="131" t="s">
        <v>151</v>
      </c>
      <c r="E637" t="s">
        <v>152</v>
      </c>
      <c r="F637" t="s">
        <v>227</v>
      </c>
      <c r="H637" s="3" t="s">
        <v>89</v>
      </c>
      <c r="I637" s="82">
        <v>44505</v>
      </c>
      <c r="J637" s="3" t="s">
        <v>142</v>
      </c>
      <c r="K637" s="3" t="s">
        <v>235</v>
      </c>
      <c r="N637" s="3">
        <v>315.75</v>
      </c>
      <c r="O637" s="3">
        <v>175.24</v>
      </c>
      <c r="P637" s="3">
        <v>179.64</v>
      </c>
      <c r="Q637" s="3">
        <v>37.11</v>
      </c>
      <c r="R637" s="3">
        <v>12.97</v>
      </c>
      <c r="S637" s="3">
        <v>128.81</v>
      </c>
      <c r="T637" s="3">
        <v>101.2</v>
      </c>
      <c r="U637" s="6">
        <v>63.62</v>
      </c>
      <c r="V637" s="6">
        <v>47.4</v>
      </c>
      <c r="W637" s="6">
        <v>64.83</v>
      </c>
      <c r="X637" s="6">
        <v>94.26</v>
      </c>
      <c r="Y637" s="6">
        <v>40.36</v>
      </c>
      <c r="Z637" s="6">
        <v>104.98</v>
      </c>
      <c r="AA637" s="6">
        <v>87.52</v>
      </c>
      <c r="AB637" s="6">
        <v>73.540000000000006</v>
      </c>
      <c r="AC637" s="6">
        <v>14.54</v>
      </c>
      <c r="AD637" s="6">
        <v>56.58</v>
      </c>
      <c r="AE637" s="3">
        <v>29.48</v>
      </c>
      <c r="AF637" s="3">
        <v>38.729999999999997</v>
      </c>
      <c r="AG637" s="3">
        <v>28.93</v>
      </c>
      <c r="AH637" s="3">
        <v>40.090000000000003</v>
      </c>
      <c r="AI637" s="3">
        <v>1.52</v>
      </c>
      <c r="AJ637" s="3">
        <v>54.91</v>
      </c>
      <c r="AN637" s="3">
        <v>115</v>
      </c>
      <c r="AT637" s="3"/>
      <c r="AU637" s="3"/>
    </row>
    <row r="638" spans="1:47" x14ac:dyDescent="0.2">
      <c r="A638" s="115">
        <v>635.9999999999992</v>
      </c>
      <c r="B638" s="3" t="s">
        <v>354</v>
      </c>
      <c r="C638" s="3">
        <v>21.635999999999999</v>
      </c>
      <c r="D638" s="131" t="s">
        <v>151</v>
      </c>
      <c r="E638" t="s">
        <v>152</v>
      </c>
      <c r="F638" t="s">
        <v>227</v>
      </c>
      <c r="H638" s="3" t="s">
        <v>89</v>
      </c>
      <c r="I638" s="82">
        <v>44512</v>
      </c>
      <c r="J638" s="3" t="s">
        <v>142</v>
      </c>
      <c r="K638" s="3" t="s">
        <v>235</v>
      </c>
      <c r="N638" s="3">
        <v>319.51</v>
      </c>
      <c r="O638" s="3">
        <v>180.24</v>
      </c>
      <c r="P638" s="3">
        <v>186.87</v>
      </c>
      <c r="Q638" s="3">
        <v>36.49</v>
      </c>
      <c r="R638" s="3">
        <v>18.88</v>
      </c>
      <c r="S638" s="3">
        <v>129.07</v>
      </c>
      <c r="T638" s="3">
        <v>106.78</v>
      </c>
      <c r="U638" s="6">
        <v>61.6</v>
      </c>
      <c r="V638" s="6">
        <v>49.18</v>
      </c>
      <c r="W638" s="6">
        <v>67.400000000000006</v>
      </c>
      <c r="X638" s="6">
        <v>92.62</v>
      </c>
      <c r="Y638" s="6">
        <v>38.82</v>
      </c>
      <c r="Z638" s="6">
        <v>103.25</v>
      </c>
      <c r="AA638" s="6">
        <v>87.91</v>
      </c>
      <c r="AB638" s="6">
        <v>73.69</v>
      </c>
      <c r="AC638" s="6">
        <v>15.36</v>
      </c>
      <c r="AD638" s="6">
        <v>58.85</v>
      </c>
      <c r="AE638" s="3">
        <v>29.59</v>
      </c>
      <c r="AF638" s="3">
        <v>41.32</v>
      </c>
      <c r="AG638" s="3">
        <v>36.78</v>
      </c>
      <c r="AH638" s="3">
        <v>42.26</v>
      </c>
      <c r="AI638" s="3">
        <v>1.5409999999999999</v>
      </c>
      <c r="AJ638" s="3">
        <v>55.8</v>
      </c>
      <c r="AN638" s="3">
        <v>127</v>
      </c>
      <c r="AT638" s="3"/>
      <c r="AU638" s="3"/>
    </row>
    <row r="639" spans="1:47" x14ac:dyDescent="0.2">
      <c r="A639" s="115">
        <v>637.00000000000045</v>
      </c>
      <c r="B639" s="3" t="s">
        <v>333</v>
      </c>
      <c r="C639" s="3">
        <v>21.637</v>
      </c>
      <c r="D639" s="131" t="s">
        <v>151</v>
      </c>
      <c r="E639" t="s">
        <v>152</v>
      </c>
      <c r="F639" t="s">
        <v>227</v>
      </c>
      <c r="H639" s="3" t="s">
        <v>89</v>
      </c>
      <c r="I639" s="82">
        <v>44490</v>
      </c>
      <c r="J639" s="3" t="s">
        <v>142</v>
      </c>
      <c r="K639" s="3" t="s">
        <v>235</v>
      </c>
      <c r="N639" s="3">
        <v>310.52999999999997</v>
      </c>
      <c r="O639" s="3">
        <v>175.14</v>
      </c>
      <c r="P639" s="3">
        <v>179.5</v>
      </c>
      <c r="Q639" s="3">
        <v>36.380000000000003</v>
      </c>
      <c r="R639" s="3">
        <v>12.94</v>
      </c>
      <c r="S639" s="3">
        <v>128.15</v>
      </c>
      <c r="T639" s="3">
        <v>103.54</v>
      </c>
      <c r="U639" s="6">
        <v>62.88</v>
      </c>
      <c r="V639" s="6">
        <v>48.01</v>
      </c>
      <c r="W639" s="6">
        <v>65.459999999999994</v>
      </c>
      <c r="X639" s="6">
        <v>88.31</v>
      </c>
      <c r="Y639" s="6">
        <v>37.909999999999997</v>
      </c>
      <c r="Z639" s="6">
        <v>102.98</v>
      </c>
      <c r="AA639" s="6">
        <v>85.18</v>
      </c>
      <c r="AB639" s="6">
        <v>72.78</v>
      </c>
      <c r="AC639" s="6">
        <v>15.06</v>
      </c>
      <c r="AD639" s="6">
        <v>57.74</v>
      </c>
      <c r="AE639" s="3">
        <v>30.45</v>
      </c>
      <c r="AF639" s="3">
        <v>38.72</v>
      </c>
      <c r="AG639" s="3">
        <v>31.06</v>
      </c>
      <c r="AH639" s="3">
        <v>40.06</v>
      </c>
      <c r="AI639" s="3">
        <v>1.5009999999999999</v>
      </c>
      <c r="AJ639" s="3">
        <v>53.51</v>
      </c>
      <c r="AN639" s="3">
        <v>137</v>
      </c>
      <c r="AT639" s="3"/>
      <c r="AU639" s="3"/>
    </row>
    <row r="640" spans="1:47" x14ac:dyDescent="0.2">
      <c r="A640" s="115">
        <v>638.00000000000171</v>
      </c>
      <c r="B640" s="3" t="s">
        <v>350</v>
      </c>
      <c r="C640" s="3">
        <v>21.638000000000002</v>
      </c>
      <c r="D640" s="131" t="s">
        <v>151</v>
      </c>
      <c r="E640" t="s">
        <v>152</v>
      </c>
      <c r="F640" t="s">
        <v>227</v>
      </c>
      <c r="G640" s="3" t="s">
        <v>89</v>
      </c>
      <c r="H640" s="3" t="s">
        <v>89</v>
      </c>
      <c r="I640" s="82">
        <v>44490</v>
      </c>
      <c r="J640" s="3" t="s">
        <v>142</v>
      </c>
      <c r="K640" s="3" t="s">
        <v>235</v>
      </c>
      <c r="N640" s="3">
        <v>318.38</v>
      </c>
      <c r="O640" s="3">
        <v>176.1</v>
      </c>
      <c r="P640" s="3">
        <v>184.68</v>
      </c>
      <c r="Q640" s="3">
        <v>37.9</v>
      </c>
      <c r="R640" s="3">
        <v>15.53</v>
      </c>
      <c r="S640" s="3">
        <v>127.05</v>
      </c>
      <c r="T640" s="3">
        <v>105.5</v>
      </c>
      <c r="U640" s="6">
        <v>62.12</v>
      </c>
      <c r="V640" s="6">
        <v>45.5</v>
      </c>
      <c r="W640" s="6">
        <v>68.09</v>
      </c>
      <c r="X640" s="6">
        <v>93.33</v>
      </c>
      <c r="Y640" s="6">
        <v>41.44</v>
      </c>
      <c r="Z640" s="6">
        <v>104.38</v>
      </c>
      <c r="AA640" s="6">
        <v>89.25</v>
      </c>
      <c r="AB640" s="6">
        <v>72.260000000000005</v>
      </c>
      <c r="AC640" s="6">
        <v>12.16</v>
      </c>
      <c r="AD640" s="6">
        <v>59.15</v>
      </c>
      <c r="AE640" s="6">
        <v>26.36</v>
      </c>
      <c r="AF640" s="3">
        <v>41.95</v>
      </c>
      <c r="AG640" s="3">
        <v>33.46</v>
      </c>
      <c r="AH640" s="3">
        <v>40.869999999999997</v>
      </c>
      <c r="AI640" s="3">
        <v>1.3660000000000001</v>
      </c>
      <c r="AJ640" s="3">
        <v>57.27</v>
      </c>
      <c r="AN640" s="3">
        <v>151</v>
      </c>
      <c r="AT640" s="3"/>
      <c r="AU640" s="3"/>
    </row>
    <row r="641" spans="1:47" x14ac:dyDescent="0.2">
      <c r="A641" s="115">
        <v>638.99999999999932</v>
      </c>
      <c r="B641" s="3" t="s">
        <v>332</v>
      </c>
      <c r="C641" s="3">
        <v>21.638999999999999</v>
      </c>
      <c r="D641" s="131" t="s">
        <v>151</v>
      </c>
      <c r="E641" t="s">
        <v>152</v>
      </c>
      <c r="F641" t="s">
        <v>227</v>
      </c>
      <c r="G641"/>
      <c r="H641" s="3" t="s">
        <v>89</v>
      </c>
      <c r="I641" s="82">
        <v>44490</v>
      </c>
      <c r="J641" s="3" t="s">
        <v>142</v>
      </c>
      <c r="K641" s="3" t="s">
        <v>235</v>
      </c>
      <c r="N641" s="3">
        <v>316.98</v>
      </c>
      <c r="O641" s="3">
        <v>174.43</v>
      </c>
      <c r="P641" s="3">
        <v>178.46</v>
      </c>
      <c r="Q641" s="3">
        <v>33.06</v>
      </c>
      <c r="R641" s="3">
        <v>14.75</v>
      </c>
      <c r="S641" s="3">
        <v>126.57</v>
      </c>
      <c r="T641" s="3">
        <v>104.67</v>
      </c>
      <c r="U641" s="6">
        <v>61.84</v>
      </c>
      <c r="V641" s="6">
        <v>48.07</v>
      </c>
      <c r="W641" s="6">
        <v>66.08</v>
      </c>
      <c r="X641" s="6">
        <v>91.41</v>
      </c>
      <c r="Y641" s="6">
        <v>38.61</v>
      </c>
      <c r="Z641" s="6">
        <v>104.53</v>
      </c>
      <c r="AA641" s="6">
        <v>86.71</v>
      </c>
      <c r="AB641" s="6">
        <v>73.31</v>
      </c>
      <c r="AC641" s="6">
        <v>14.39</v>
      </c>
      <c r="AD641" s="6">
        <v>57.5</v>
      </c>
      <c r="AE641" s="3">
        <v>28.96</v>
      </c>
      <c r="AF641" s="3">
        <v>40.72</v>
      </c>
      <c r="AG641" s="3">
        <v>28.89</v>
      </c>
      <c r="AH641" s="3">
        <v>38.92</v>
      </c>
      <c r="AI641" s="3">
        <v>1.49</v>
      </c>
      <c r="AJ641" s="3">
        <v>58.12</v>
      </c>
      <c r="AN641" s="3">
        <v>132</v>
      </c>
      <c r="AT641" s="3"/>
      <c r="AU641" s="3"/>
    </row>
    <row r="642" spans="1:47" x14ac:dyDescent="0.2">
      <c r="A642" s="115">
        <v>640.00000000000057</v>
      </c>
      <c r="B642" s="3" t="s">
        <v>375</v>
      </c>
      <c r="C642" s="2" t="s">
        <v>80</v>
      </c>
      <c r="D642" s="131" t="s">
        <v>151</v>
      </c>
      <c r="E642" t="s">
        <v>152</v>
      </c>
      <c r="F642" t="s">
        <v>227</v>
      </c>
      <c r="G642" s="3" t="s">
        <v>89</v>
      </c>
      <c r="H642" s="3" t="s">
        <v>89</v>
      </c>
      <c r="I642" s="82">
        <v>44493</v>
      </c>
      <c r="J642" s="3" t="s">
        <v>142</v>
      </c>
      <c r="K642" s="3" t="s">
        <v>235</v>
      </c>
      <c r="N642" s="3">
        <v>315.94</v>
      </c>
      <c r="O642" s="3">
        <v>178.83</v>
      </c>
      <c r="P642" s="3">
        <v>182.6</v>
      </c>
      <c r="Q642" s="3">
        <v>37.799999999999997</v>
      </c>
      <c r="R642" s="3">
        <v>15.52</v>
      </c>
      <c r="S642" s="3">
        <v>125.14</v>
      </c>
      <c r="T642" s="3">
        <v>101.23</v>
      </c>
      <c r="U642" s="6">
        <v>61.3</v>
      </c>
      <c r="V642" s="6">
        <v>45.21</v>
      </c>
      <c r="W642" s="6">
        <v>63.71</v>
      </c>
      <c r="X642" s="6">
        <v>88.51</v>
      </c>
      <c r="Y642" s="6">
        <v>39.33</v>
      </c>
      <c r="Z642" s="6">
        <v>103.47</v>
      </c>
      <c r="AA642" s="6">
        <v>88.19</v>
      </c>
      <c r="AB642" s="6">
        <v>72.09</v>
      </c>
      <c r="AC642" s="6">
        <v>14.37</v>
      </c>
      <c r="AD642" s="6">
        <v>58.48</v>
      </c>
      <c r="AE642" s="3">
        <v>29.95</v>
      </c>
      <c r="AF642" s="3">
        <v>42.81</v>
      </c>
      <c r="AG642" s="3">
        <v>28.9</v>
      </c>
      <c r="AH642" s="3">
        <v>42.5</v>
      </c>
      <c r="AI642" s="3">
        <v>1.462</v>
      </c>
      <c r="AJ642" s="3">
        <v>50.49</v>
      </c>
      <c r="AN642" s="3">
        <v>136</v>
      </c>
      <c r="AT642" s="3"/>
      <c r="AU642" s="3"/>
    </row>
    <row r="643" spans="1:47" x14ac:dyDescent="0.2">
      <c r="A643" s="115">
        <v>640.99999999999818</v>
      </c>
      <c r="B643" s="3" t="s">
        <v>336</v>
      </c>
      <c r="C643" s="3">
        <v>21.640999999999998</v>
      </c>
      <c r="D643" s="131" t="s">
        <v>151</v>
      </c>
      <c r="E643" t="s">
        <v>162</v>
      </c>
      <c r="F643" s="3" t="s">
        <v>88</v>
      </c>
      <c r="G643" s="3" t="s">
        <v>88</v>
      </c>
      <c r="H643"/>
      <c r="I643" s="82">
        <v>44483</v>
      </c>
      <c r="J643" s="3" t="s">
        <v>142</v>
      </c>
      <c r="K643" s="3" t="s">
        <v>235</v>
      </c>
      <c r="N643" s="3">
        <v>300.5</v>
      </c>
      <c r="O643" s="3">
        <v>184.24</v>
      </c>
      <c r="P643" s="3">
        <v>189.79</v>
      </c>
      <c r="Q643" s="3">
        <v>41.57</v>
      </c>
      <c r="R643" s="3">
        <v>13.99</v>
      </c>
      <c r="S643" s="3">
        <v>129.30000000000001</v>
      </c>
      <c r="T643" s="3">
        <v>103.08</v>
      </c>
      <c r="U643" s="6">
        <v>69.31</v>
      </c>
      <c r="V643" s="6">
        <v>51.5</v>
      </c>
      <c r="W643" s="6">
        <v>73.17</v>
      </c>
      <c r="X643" s="6">
        <v>95.85</v>
      </c>
      <c r="Y643" s="6">
        <v>45.18</v>
      </c>
      <c r="Z643" s="6">
        <v>103.72</v>
      </c>
      <c r="AA643" s="6">
        <v>84.88</v>
      </c>
      <c r="AB643" s="6">
        <v>81.02</v>
      </c>
      <c r="AC643" s="6">
        <v>12.46</v>
      </c>
      <c r="AD643" s="6">
        <v>51.63</v>
      </c>
      <c r="AE643" s="3">
        <v>28.06</v>
      </c>
      <c r="AF643" s="3">
        <v>45.67</v>
      </c>
      <c r="AG643" s="3">
        <v>34.79</v>
      </c>
      <c r="AH643" s="3">
        <v>50.79</v>
      </c>
      <c r="AI643" s="4">
        <v>1.44</v>
      </c>
      <c r="AJ643" s="3">
        <v>47.87</v>
      </c>
      <c r="AN643" s="3">
        <v>102</v>
      </c>
      <c r="AT643" s="3"/>
      <c r="AU643" s="3"/>
    </row>
    <row r="644" spans="1:47" x14ac:dyDescent="0.2">
      <c r="A644" s="115">
        <v>641.99999999999943</v>
      </c>
      <c r="B644" s="3" t="s">
        <v>334</v>
      </c>
      <c r="C644" s="3">
        <v>21.641999999999999</v>
      </c>
      <c r="D644" s="131" t="s">
        <v>151</v>
      </c>
      <c r="E644" t="s">
        <v>162</v>
      </c>
      <c r="F644" s="3" t="s">
        <v>88</v>
      </c>
      <c r="G644" s="3" t="s">
        <v>88</v>
      </c>
      <c r="H644"/>
      <c r="I644" s="82">
        <v>44483</v>
      </c>
      <c r="J644" s="3" t="s">
        <v>142</v>
      </c>
      <c r="K644" s="3" t="s">
        <v>235</v>
      </c>
      <c r="N644" s="3">
        <v>290.08999999999997</v>
      </c>
      <c r="O644" s="3">
        <v>179.57</v>
      </c>
      <c r="P644" s="3">
        <v>192.71</v>
      </c>
      <c r="Q644" s="3">
        <v>38.409999999999997</v>
      </c>
      <c r="R644" s="3">
        <v>17.8</v>
      </c>
      <c r="S644" s="3">
        <v>128.53</v>
      </c>
      <c r="T644" s="3">
        <v>98.97</v>
      </c>
      <c r="U644" s="6">
        <v>67.349999999999994</v>
      </c>
      <c r="V644" s="6">
        <v>49.29</v>
      </c>
      <c r="W644" s="6">
        <v>71.349999999999994</v>
      </c>
      <c r="X644" s="6">
        <v>92.81</v>
      </c>
      <c r="Y644" s="6">
        <v>43.05</v>
      </c>
      <c r="Z644" s="6">
        <v>103.62</v>
      </c>
      <c r="AA644" s="6">
        <v>85.38</v>
      </c>
      <c r="AB644" s="6">
        <v>82.27</v>
      </c>
      <c r="AC644" s="6">
        <v>12.04</v>
      </c>
      <c r="AD644" s="6">
        <v>54</v>
      </c>
      <c r="AE644" s="3">
        <v>31.55</v>
      </c>
      <c r="AF644" s="3">
        <v>45.18</v>
      </c>
      <c r="AG644" s="3">
        <v>41.44</v>
      </c>
      <c r="AH644" s="3">
        <v>48.56</v>
      </c>
      <c r="AI644" s="3">
        <v>1.4630000000000001</v>
      </c>
      <c r="AJ644" s="6">
        <v>51</v>
      </c>
      <c r="AK644" s="6"/>
      <c r="AN644" s="3">
        <v>121</v>
      </c>
      <c r="AT644" s="3"/>
      <c r="AU644" s="3"/>
    </row>
    <row r="645" spans="1:47" x14ac:dyDescent="0.2">
      <c r="A645" s="115">
        <v>643.00000000000068</v>
      </c>
      <c r="B645" s="3" t="s">
        <v>329</v>
      </c>
      <c r="C645" s="3">
        <v>21.643000000000001</v>
      </c>
      <c r="D645" s="131" t="s">
        <v>151</v>
      </c>
      <c r="E645" t="s">
        <v>152</v>
      </c>
      <c r="F645" t="s">
        <v>227</v>
      </c>
      <c r="G645" s="3" t="s">
        <v>89</v>
      </c>
      <c r="I645" s="82">
        <v>44476</v>
      </c>
      <c r="J645" s="3" t="s">
        <v>142</v>
      </c>
      <c r="K645" s="3" t="s">
        <v>235</v>
      </c>
      <c r="N645" s="3">
        <v>325.64</v>
      </c>
      <c r="O645" s="3">
        <v>177.13</v>
      </c>
      <c r="P645" s="3">
        <v>182.07</v>
      </c>
      <c r="Q645" s="3">
        <v>33.020000000000003</v>
      </c>
      <c r="R645" s="3">
        <v>18.2</v>
      </c>
      <c r="S645" s="3">
        <v>128.96</v>
      </c>
      <c r="T645" s="3">
        <v>104.25</v>
      </c>
      <c r="U645" s="6">
        <v>61.47</v>
      </c>
      <c r="V645" s="6">
        <v>49.25</v>
      </c>
      <c r="W645" s="6">
        <v>67.290000000000006</v>
      </c>
      <c r="X645" s="6">
        <v>92.62</v>
      </c>
      <c r="Y645" s="6">
        <v>39.65</v>
      </c>
      <c r="Z645" s="6">
        <v>104.51</v>
      </c>
      <c r="AA645" s="6">
        <v>87.82</v>
      </c>
      <c r="AB645" s="6">
        <v>75.290000000000006</v>
      </c>
      <c r="AC645" s="6">
        <v>18.600000000000001</v>
      </c>
      <c r="AD645" s="6">
        <v>57.72</v>
      </c>
      <c r="AE645" s="3">
        <v>28.17</v>
      </c>
      <c r="AF645" s="3">
        <v>38.15</v>
      </c>
      <c r="AG645" s="3">
        <v>31.72</v>
      </c>
      <c r="AH645" s="3">
        <v>36.94</v>
      </c>
      <c r="AI645" s="4">
        <v>1.38</v>
      </c>
      <c r="AJ645" s="3">
        <v>57.55</v>
      </c>
      <c r="AN645" s="3">
        <v>157</v>
      </c>
      <c r="AT645" s="3"/>
      <c r="AU645" s="3"/>
    </row>
    <row r="646" spans="1:47" x14ac:dyDescent="0.2">
      <c r="A646" s="115">
        <v>643.99999999999841</v>
      </c>
      <c r="B646" s="3" t="s">
        <v>328</v>
      </c>
      <c r="C646" s="3">
        <v>21.643999999999998</v>
      </c>
      <c r="D646" s="131" t="s">
        <v>151</v>
      </c>
      <c r="E646" t="s">
        <v>152</v>
      </c>
      <c r="F646" t="s">
        <v>227</v>
      </c>
      <c r="G646"/>
      <c r="H646" s="3" t="s">
        <v>89</v>
      </c>
      <c r="I646" s="82">
        <v>44476</v>
      </c>
      <c r="J646" s="3" t="s">
        <v>142</v>
      </c>
      <c r="K646" s="3" t="s">
        <v>235</v>
      </c>
      <c r="N646" s="3">
        <v>309.27</v>
      </c>
      <c r="O646" s="3">
        <v>173.36</v>
      </c>
      <c r="P646" s="3">
        <v>179.87</v>
      </c>
      <c r="Q646" s="3">
        <v>35.29</v>
      </c>
      <c r="R646" s="3">
        <v>14.71</v>
      </c>
      <c r="S646" s="3">
        <v>126.02</v>
      </c>
      <c r="T646" s="3">
        <v>103.63</v>
      </c>
      <c r="U646" s="6">
        <v>60.47</v>
      </c>
      <c r="V646" s="6">
        <v>47.03</v>
      </c>
      <c r="W646" s="6">
        <v>67.66</v>
      </c>
      <c r="X646" s="6">
        <v>90.24</v>
      </c>
      <c r="Y646" s="6">
        <v>36.68</v>
      </c>
      <c r="Z646" s="6">
        <v>103.53</v>
      </c>
      <c r="AA646" s="6">
        <v>86.86</v>
      </c>
      <c r="AB646" s="6">
        <v>73.16</v>
      </c>
      <c r="AC646" s="6">
        <v>16.43</v>
      </c>
      <c r="AD646" s="6">
        <v>56.96</v>
      </c>
      <c r="AE646" s="3">
        <v>27.71</v>
      </c>
      <c r="AF646" s="3">
        <v>36</v>
      </c>
      <c r="AG646" s="3">
        <v>31.71</v>
      </c>
      <c r="AH646" s="3">
        <v>41.05</v>
      </c>
      <c r="AI646" s="3">
        <v>1.3819999999999999</v>
      </c>
      <c r="AJ646" s="3">
        <v>57.65</v>
      </c>
      <c r="AN646" s="3">
        <v>143</v>
      </c>
      <c r="AT646" s="3"/>
      <c r="AU646" s="3"/>
    </row>
    <row r="647" spans="1:47" x14ac:dyDescent="0.2">
      <c r="A647" s="115">
        <v>644.99999999999955</v>
      </c>
      <c r="B647" s="3">
        <v>193</v>
      </c>
      <c r="C647" s="3">
        <v>21.645</v>
      </c>
      <c r="D647" s="126" t="s">
        <v>168</v>
      </c>
      <c r="E647" t="s">
        <v>169</v>
      </c>
      <c r="F647" t="s">
        <v>170</v>
      </c>
      <c r="G647" s="9" t="s">
        <v>30</v>
      </c>
      <c r="H647"/>
      <c r="I647" s="82">
        <v>44493</v>
      </c>
      <c r="J647" s="16" t="s">
        <v>142</v>
      </c>
      <c r="K647" s="16" t="s">
        <v>235</v>
      </c>
      <c r="L647" s="17">
        <v>298</v>
      </c>
      <c r="M647" s="17"/>
      <c r="N647" s="17">
        <v>309.68</v>
      </c>
      <c r="O647" s="17">
        <v>188.35</v>
      </c>
      <c r="P647" s="17">
        <v>195.53</v>
      </c>
      <c r="Q647" s="17">
        <v>41.15</v>
      </c>
      <c r="R647" s="17">
        <v>31.49</v>
      </c>
      <c r="S647" s="17">
        <v>125.5</v>
      </c>
      <c r="T647" s="17">
        <v>12.28</v>
      </c>
      <c r="U647" s="50">
        <v>74.75</v>
      </c>
      <c r="V647" s="50">
        <v>53.7</v>
      </c>
      <c r="W647" s="133">
        <v>79.319999999999993</v>
      </c>
      <c r="X647" s="133">
        <v>92.85</v>
      </c>
      <c r="Y647" s="50">
        <v>44.47</v>
      </c>
      <c r="Z647" s="50">
        <v>107.49</v>
      </c>
      <c r="AA647" s="50">
        <v>90.15</v>
      </c>
      <c r="AB647" s="50">
        <v>82.75</v>
      </c>
      <c r="AC647" s="50">
        <v>9.0500000000000007</v>
      </c>
      <c r="AD647" s="50">
        <v>53.12</v>
      </c>
      <c r="AE647" s="17">
        <v>33.81</v>
      </c>
      <c r="AF647" s="17">
        <v>39.15</v>
      </c>
      <c r="AG647" s="17">
        <v>42.69</v>
      </c>
      <c r="AH647" s="17">
        <v>37.659999999999997</v>
      </c>
      <c r="AI647" s="17">
        <v>1.3759999999999999</v>
      </c>
      <c r="AJ647" s="17">
        <v>55.22</v>
      </c>
      <c r="AK647" s="17"/>
      <c r="AL647" s="17"/>
      <c r="AM647" s="17"/>
      <c r="AN647" s="17">
        <v>112</v>
      </c>
      <c r="AO647" s="17"/>
      <c r="AP647" s="17"/>
      <c r="AQ647" s="17"/>
      <c r="AR647" s="17"/>
      <c r="AS647" s="17"/>
      <c r="AT647" s="3"/>
      <c r="AU647" s="3"/>
    </row>
    <row r="648" spans="1:47" x14ac:dyDescent="0.2">
      <c r="A648" s="115">
        <v>646.0000000000008</v>
      </c>
      <c r="B648" s="3">
        <v>198</v>
      </c>
      <c r="C648" s="3">
        <v>21.646000000000001</v>
      </c>
      <c r="D648" s="126" t="s">
        <v>168</v>
      </c>
      <c r="E648" t="s">
        <v>169</v>
      </c>
      <c r="F648" t="s">
        <v>170</v>
      </c>
      <c r="G648"/>
      <c r="H648" s="9" t="s">
        <v>177</v>
      </c>
      <c r="I648" s="127">
        <v>44502</v>
      </c>
      <c r="J648" s="16" t="s">
        <v>142</v>
      </c>
      <c r="K648" s="16" t="s">
        <v>235</v>
      </c>
      <c r="L648" s="17"/>
      <c r="M648" s="17"/>
      <c r="N648" s="17">
        <v>322.55</v>
      </c>
      <c r="O648" s="17">
        <v>183.91</v>
      </c>
      <c r="P648" s="17">
        <v>200.29</v>
      </c>
      <c r="Q648" s="17">
        <v>38.200000000000003</v>
      </c>
      <c r="R648" s="17">
        <v>24.81</v>
      </c>
      <c r="S648" s="17">
        <v>129.66</v>
      </c>
      <c r="T648" s="17">
        <v>103.92</v>
      </c>
      <c r="U648" s="50">
        <v>65.66</v>
      </c>
      <c r="V648" s="50">
        <v>52.14</v>
      </c>
      <c r="W648" s="133">
        <v>75.489999999999995</v>
      </c>
      <c r="X648" s="133">
        <v>92.93</v>
      </c>
      <c r="Y648" s="50">
        <v>39.74</v>
      </c>
      <c r="Z648" s="50">
        <v>107.44</v>
      </c>
      <c r="AA648" s="50">
        <v>90.19</v>
      </c>
      <c r="AB648" s="50">
        <v>83.6</v>
      </c>
      <c r="AC648" s="50">
        <v>7.34</v>
      </c>
      <c r="AD648" s="50">
        <v>54.46</v>
      </c>
      <c r="AE648" s="17">
        <v>28.97</v>
      </c>
      <c r="AF648" s="17">
        <v>44.36</v>
      </c>
      <c r="AG648" s="17">
        <v>40.79</v>
      </c>
      <c r="AH648" s="17">
        <v>41.9</v>
      </c>
      <c r="AI648" s="17">
        <v>1.4059999999999999</v>
      </c>
      <c r="AJ648" s="17">
        <v>59.42</v>
      </c>
      <c r="AK648" s="17"/>
      <c r="AL648" s="17"/>
      <c r="AM648" s="17"/>
      <c r="AN648" s="17">
        <v>116</v>
      </c>
      <c r="AO648" s="17"/>
      <c r="AP648" s="17"/>
      <c r="AQ648" s="17"/>
      <c r="AR648" s="17"/>
      <c r="AS648" s="17"/>
      <c r="AT648" s="3"/>
      <c r="AU648" s="3"/>
    </row>
    <row r="649" spans="1:47" x14ac:dyDescent="0.2">
      <c r="A649" s="115">
        <v>646.99999999999841</v>
      </c>
      <c r="B649" s="3">
        <v>220</v>
      </c>
      <c r="C649" s="3">
        <v>21.646999999999998</v>
      </c>
      <c r="D649" s="126" t="s">
        <v>168</v>
      </c>
      <c r="E649" t="s">
        <v>232</v>
      </c>
      <c r="F649" s="17" t="s">
        <v>251</v>
      </c>
      <c r="H649" s="3" t="s">
        <v>32</v>
      </c>
      <c r="I649" s="127">
        <v>44488</v>
      </c>
      <c r="J649" s="16" t="s">
        <v>142</v>
      </c>
      <c r="K649" s="16" t="s">
        <v>235</v>
      </c>
      <c r="L649" s="17">
        <v>272</v>
      </c>
      <c r="M649" s="17"/>
      <c r="N649" s="17">
        <v>285.24</v>
      </c>
      <c r="O649" s="17">
        <v>187.65</v>
      </c>
      <c r="P649" s="17">
        <v>203.98</v>
      </c>
      <c r="Q649" s="17">
        <v>42.63</v>
      </c>
      <c r="R649" s="17">
        <v>23.11</v>
      </c>
      <c r="S649" s="17">
        <v>133.94</v>
      </c>
      <c r="T649" s="17">
        <v>107.41</v>
      </c>
      <c r="U649" s="50">
        <v>71.900000000000006</v>
      </c>
      <c r="V649" s="50">
        <v>51.02</v>
      </c>
      <c r="W649" s="133">
        <v>77.08</v>
      </c>
      <c r="X649" s="133">
        <v>93.16</v>
      </c>
      <c r="Y649" s="50">
        <v>40.619999999999997</v>
      </c>
      <c r="Z649" s="50">
        <v>99.1</v>
      </c>
      <c r="AA649" s="50">
        <v>83.94</v>
      </c>
      <c r="AB649" s="50">
        <v>72.42</v>
      </c>
      <c r="AC649" s="50">
        <v>7.96</v>
      </c>
      <c r="AD649" s="50">
        <v>54.36</v>
      </c>
      <c r="AE649" s="17">
        <v>31.75</v>
      </c>
      <c r="AF649" s="17">
        <v>42.43</v>
      </c>
      <c r="AG649" s="17">
        <v>38.770000000000003</v>
      </c>
      <c r="AH649" s="17">
        <v>45.78</v>
      </c>
      <c r="AI649" s="17">
        <v>1.274</v>
      </c>
      <c r="AJ649" s="17">
        <v>47.11</v>
      </c>
      <c r="AK649" s="17"/>
      <c r="AL649" s="17"/>
      <c r="AM649" s="17"/>
      <c r="AN649" s="17">
        <v>132</v>
      </c>
      <c r="AO649" s="17"/>
      <c r="AP649" s="17"/>
      <c r="AQ649" s="17"/>
      <c r="AR649" s="17"/>
      <c r="AS649" s="17"/>
      <c r="AT649" s="3"/>
      <c r="AU649" s="3"/>
    </row>
    <row r="650" spans="1:47" x14ac:dyDescent="0.2">
      <c r="A650" s="115">
        <v>647.99999999999966</v>
      </c>
      <c r="B650" s="3">
        <v>221</v>
      </c>
      <c r="C650" s="3">
        <v>21.648</v>
      </c>
      <c r="D650" s="126" t="s">
        <v>168</v>
      </c>
      <c r="E650" t="s">
        <v>232</v>
      </c>
      <c r="F650" s="17" t="s">
        <v>251</v>
      </c>
      <c r="H650" s="3" t="s">
        <v>32</v>
      </c>
      <c r="I650" s="127">
        <v>44488</v>
      </c>
      <c r="J650" s="16" t="s">
        <v>142</v>
      </c>
      <c r="K650" s="16" t="s">
        <v>235</v>
      </c>
      <c r="L650" s="17">
        <v>273</v>
      </c>
      <c r="M650" s="17"/>
      <c r="N650" s="17">
        <v>284.64999999999998</v>
      </c>
      <c r="O650" s="17">
        <v>187.42</v>
      </c>
      <c r="P650" s="17">
        <v>197.69</v>
      </c>
      <c r="Q650" s="17">
        <v>37.56</v>
      </c>
      <c r="R650" s="17">
        <v>21.74</v>
      </c>
      <c r="S650" s="17">
        <v>131.16</v>
      </c>
      <c r="T650" s="17">
        <v>101.38</v>
      </c>
      <c r="U650" s="50">
        <v>70.63</v>
      </c>
      <c r="V650" s="50">
        <v>49.59</v>
      </c>
      <c r="W650" s="133">
        <v>76.040000000000006</v>
      </c>
      <c r="X650" s="133">
        <v>95.86</v>
      </c>
      <c r="Y650" s="50">
        <v>41.11</v>
      </c>
      <c r="Z650" s="50">
        <v>101.98</v>
      </c>
      <c r="AA650" s="50">
        <v>83.95</v>
      </c>
      <c r="AB650" s="50">
        <v>75.73</v>
      </c>
      <c r="AC650" s="50">
        <v>8.14</v>
      </c>
      <c r="AD650" s="50">
        <v>53.2</v>
      </c>
      <c r="AE650" s="17">
        <v>33.119999999999997</v>
      </c>
      <c r="AF650" s="17">
        <v>42.38</v>
      </c>
      <c r="AG650" s="17">
        <v>40.369999999999997</v>
      </c>
      <c r="AH650" s="17">
        <v>38.72</v>
      </c>
      <c r="AI650" s="17">
        <v>1.161</v>
      </c>
      <c r="AJ650" s="17">
        <v>44.2</v>
      </c>
      <c r="AK650" s="17"/>
      <c r="AL650" s="17"/>
      <c r="AM650" s="17"/>
      <c r="AN650" s="17">
        <v>134</v>
      </c>
      <c r="AO650" s="17"/>
      <c r="AP650" s="17"/>
      <c r="AQ650" s="17"/>
      <c r="AR650" s="17"/>
      <c r="AS650" s="17"/>
      <c r="AT650" s="3"/>
      <c r="AU650" s="3"/>
    </row>
    <row r="651" spans="1:47" x14ac:dyDescent="0.2">
      <c r="A651" s="115">
        <v>649.00000000000091</v>
      </c>
      <c r="B651" s="3">
        <v>224</v>
      </c>
      <c r="C651" s="3">
        <v>21.649000000000001</v>
      </c>
      <c r="D651" s="126" t="s">
        <v>168</v>
      </c>
      <c r="E651" t="s">
        <v>232</v>
      </c>
      <c r="F651" s="17" t="s">
        <v>251</v>
      </c>
      <c r="G651" s="3" t="s">
        <v>32</v>
      </c>
      <c r="H651"/>
      <c r="I651" s="127">
        <v>44489</v>
      </c>
      <c r="J651" s="16" t="s">
        <v>142</v>
      </c>
      <c r="K651" s="16" t="s">
        <v>235</v>
      </c>
      <c r="L651" s="17">
        <v>266</v>
      </c>
      <c r="M651" s="17"/>
      <c r="N651" s="17">
        <v>279.11</v>
      </c>
      <c r="O651" s="17">
        <v>188.69</v>
      </c>
      <c r="P651" s="17">
        <v>205.79</v>
      </c>
      <c r="Q651" s="17">
        <v>43.6</v>
      </c>
      <c r="R651" s="17">
        <v>21.72</v>
      </c>
      <c r="S651" s="17">
        <v>133.47</v>
      </c>
      <c r="T651" s="17">
        <v>105.56</v>
      </c>
      <c r="U651" s="50">
        <v>72.5</v>
      </c>
      <c r="V651" s="50">
        <v>50.17</v>
      </c>
      <c r="W651" s="133">
        <v>76.95</v>
      </c>
      <c r="X651" s="133">
        <v>95.84</v>
      </c>
      <c r="Y651" s="50">
        <v>41.86</v>
      </c>
      <c r="Z651" s="50">
        <v>101.22</v>
      </c>
      <c r="AA651" s="50">
        <v>83.76</v>
      </c>
      <c r="AB651" s="50">
        <v>74.91</v>
      </c>
      <c r="AC651" s="50">
        <v>10.6</v>
      </c>
      <c r="AD651" s="50">
        <v>52.73</v>
      </c>
      <c r="AE651" s="17">
        <v>32.28</v>
      </c>
      <c r="AF651" s="17">
        <v>42.4</v>
      </c>
      <c r="AG651" s="17">
        <v>37.57</v>
      </c>
      <c r="AH651" s="17">
        <v>48.05</v>
      </c>
      <c r="AI651" s="17">
        <v>1.2310000000000001</v>
      </c>
      <c r="AJ651" s="17">
        <v>47.98</v>
      </c>
      <c r="AK651" s="17"/>
      <c r="AL651" s="17"/>
      <c r="AM651" s="17"/>
      <c r="AN651" s="17">
        <v>140</v>
      </c>
      <c r="AO651" s="17"/>
      <c r="AP651" s="17"/>
      <c r="AQ651" s="17"/>
      <c r="AR651" s="17"/>
      <c r="AS651" s="17"/>
      <c r="AT651" s="3"/>
      <c r="AU651" s="3"/>
    </row>
    <row r="652" spans="1:47" x14ac:dyDescent="0.2">
      <c r="A652" s="115">
        <v>649.99999999999864</v>
      </c>
      <c r="B652" s="3">
        <v>219</v>
      </c>
      <c r="C652" s="2" t="s">
        <v>27</v>
      </c>
      <c r="D652" s="126" t="s">
        <v>168</v>
      </c>
      <c r="E652" t="s">
        <v>232</v>
      </c>
      <c r="F652" s="17" t="s">
        <v>251</v>
      </c>
      <c r="H652" s="3" t="s">
        <v>32</v>
      </c>
      <c r="I652" s="127">
        <v>44488</v>
      </c>
      <c r="J652" s="16" t="s">
        <v>142</v>
      </c>
      <c r="K652" s="16" t="s">
        <v>235</v>
      </c>
      <c r="L652" s="17">
        <v>275</v>
      </c>
      <c r="M652" s="17"/>
      <c r="N652" s="17">
        <v>316.27999999999997</v>
      </c>
      <c r="O652" s="17">
        <v>199.67</v>
      </c>
      <c r="P652" s="17">
        <v>206.75</v>
      </c>
      <c r="Q652" s="17">
        <v>46.9</v>
      </c>
      <c r="R652" s="17">
        <v>23.88</v>
      </c>
      <c r="S652" s="17">
        <v>137.16</v>
      </c>
      <c r="T652" s="17">
        <v>108.09</v>
      </c>
      <c r="U652" s="50">
        <v>72.760000000000005</v>
      </c>
      <c r="V652" s="50">
        <v>49.73</v>
      </c>
      <c r="W652" s="133">
        <v>76.569999999999993</v>
      </c>
      <c r="X652" s="133">
        <v>91.96</v>
      </c>
      <c r="Y652" s="50">
        <v>38.61</v>
      </c>
      <c r="Z652" s="50">
        <v>97.52</v>
      </c>
      <c r="AA652" s="50">
        <v>82.52</v>
      </c>
      <c r="AB652" s="50">
        <v>70.63</v>
      </c>
      <c r="AC652" s="50">
        <v>8.58</v>
      </c>
      <c r="AD652" s="50">
        <v>53.46</v>
      </c>
      <c r="AE652" s="17">
        <v>36.78</v>
      </c>
      <c r="AF652" s="17">
        <v>40.76</v>
      </c>
      <c r="AG652" s="17">
        <v>37.869999999999997</v>
      </c>
      <c r="AH652" s="17">
        <v>47.37</v>
      </c>
      <c r="AI652" s="17">
        <v>1.2649999999999999</v>
      </c>
      <c r="AJ652" s="17">
        <v>56.05</v>
      </c>
      <c r="AK652" s="17"/>
      <c r="AL652" s="17"/>
      <c r="AM652" s="17"/>
      <c r="AN652" s="17">
        <v>133</v>
      </c>
      <c r="AO652" s="17"/>
      <c r="AP652" s="17"/>
      <c r="AQ652" s="17"/>
      <c r="AR652" s="17"/>
      <c r="AS652" s="17"/>
      <c r="AT652" s="3"/>
      <c r="AU652" s="3"/>
    </row>
    <row r="653" spans="1:47" x14ac:dyDescent="0.2">
      <c r="A653" s="115">
        <v>652.00000000000102</v>
      </c>
      <c r="B653" s="3">
        <v>54</v>
      </c>
      <c r="C653" s="3">
        <v>21.652000000000001</v>
      </c>
      <c r="D653" s="129" t="s">
        <v>140</v>
      </c>
      <c r="E653" t="s">
        <v>141</v>
      </c>
      <c r="F653" s="3" t="s">
        <v>497</v>
      </c>
      <c r="G653" s="18"/>
      <c r="H653" s="18"/>
      <c r="I653" s="82">
        <v>44289</v>
      </c>
      <c r="J653" s="17" t="s">
        <v>142</v>
      </c>
      <c r="K653" s="17" t="s">
        <v>203</v>
      </c>
      <c r="L653" s="17"/>
      <c r="M653" s="17">
        <v>231.8</v>
      </c>
      <c r="N653" s="17">
        <v>187.33</v>
      </c>
      <c r="O653" s="17">
        <v>183.44</v>
      </c>
      <c r="P653" s="17">
        <v>213</v>
      </c>
      <c r="Q653" s="17">
        <v>48.59</v>
      </c>
      <c r="R653" s="17">
        <v>30.87</v>
      </c>
      <c r="S653" s="17">
        <v>127.19</v>
      </c>
      <c r="T653" s="17">
        <v>101.56</v>
      </c>
      <c r="U653" s="50">
        <v>68.48</v>
      </c>
      <c r="V653" s="50">
        <v>54.97</v>
      </c>
      <c r="W653" s="50">
        <v>75.819999999999993</v>
      </c>
      <c r="X653" s="50">
        <v>89.2</v>
      </c>
      <c r="Y653" s="50">
        <v>39.96</v>
      </c>
      <c r="Z653" s="50">
        <v>103.26</v>
      </c>
      <c r="AA653" s="50">
        <v>78.739999999999995</v>
      </c>
      <c r="AB653" s="50">
        <v>77.14</v>
      </c>
      <c r="AC653" s="50">
        <v>15.98</v>
      </c>
      <c r="AD653" s="50">
        <v>45.16</v>
      </c>
      <c r="AE653" s="17">
        <v>38.96</v>
      </c>
      <c r="AF653" s="17">
        <v>44.21</v>
      </c>
      <c r="AG653" s="17">
        <v>46.09</v>
      </c>
      <c r="AH653" s="17">
        <v>48.16</v>
      </c>
      <c r="AI653" s="17">
        <v>1.609</v>
      </c>
      <c r="AJ653" s="17"/>
      <c r="AK653" s="17"/>
      <c r="AL653" s="17"/>
      <c r="AM653" s="17"/>
      <c r="AN653" s="17">
        <v>97</v>
      </c>
      <c r="AO653" s="17">
        <v>11.74</v>
      </c>
      <c r="AP653" s="17">
        <v>24.35</v>
      </c>
      <c r="AQ653" s="17"/>
      <c r="AR653" s="17">
        <v>48.38</v>
      </c>
      <c r="AS653" s="17">
        <v>19.82</v>
      </c>
      <c r="AT653" s="3"/>
      <c r="AU653" s="3"/>
    </row>
    <row r="654" spans="1:47" x14ac:dyDescent="0.2">
      <c r="A654" s="115">
        <v>652.99999999999864</v>
      </c>
      <c r="B654" s="3">
        <v>52</v>
      </c>
      <c r="C654" s="3">
        <v>21.652999999999999</v>
      </c>
      <c r="D654" s="129" t="s">
        <v>140</v>
      </c>
      <c r="E654" t="s">
        <v>141</v>
      </c>
      <c r="F654" s="3" t="s">
        <v>62</v>
      </c>
      <c r="G654" s="18"/>
      <c r="H654" s="3" t="s">
        <v>62</v>
      </c>
      <c r="I654" s="82">
        <v>44289</v>
      </c>
      <c r="J654" s="17" t="s">
        <v>142</v>
      </c>
      <c r="K654" s="17" t="s">
        <v>203</v>
      </c>
      <c r="L654" s="17"/>
      <c r="M654" s="17">
        <v>230.7</v>
      </c>
      <c r="N654" s="17">
        <v>218.68</v>
      </c>
      <c r="O654" s="17">
        <v>200.63</v>
      </c>
      <c r="P654" s="17">
        <v>206.67</v>
      </c>
      <c r="Q654" s="17">
        <v>48.55</v>
      </c>
      <c r="R654" s="17">
        <v>27.33</v>
      </c>
      <c r="S654" s="17">
        <v>127.56</v>
      </c>
      <c r="T654" s="17">
        <v>101.98</v>
      </c>
      <c r="U654" s="50">
        <v>67.650000000000006</v>
      </c>
      <c r="V654" s="50">
        <v>55.7</v>
      </c>
      <c r="W654" s="50">
        <v>75.069999999999993</v>
      </c>
      <c r="X654" s="50">
        <v>90.95</v>
      </c>
      <c r="Y654" s="50">
        <v>40.549999999999997</v>
      </c>
      <c r="Z654" s="50">
        <v>101.16</v>
      </c>
      <c r="AA654" s="50">
        <v>77.45</v>
      </c>
      <c r="AB654" s="50">
        <v>77.989999999999995</v>
      </c>
      <c r="AC654" s="50">
        <v>15.02</v>
      </c>
      <c r="AD654" s="50">
        <v>46.25</v>
      </c>
      <c r="AE654" s="17">
        <v>35.619999999999997</v>
      </c>
      <c r="AF654" s="17">
        <v>39.869999999999997</v>
      </c>
      <c r="AG654" s="17">
        <v>44.52</v>
      </c>
      <c r="AH654" s="17">
        <v>48.31</v>
      </c>
      <c r="AI654" s="17">
        <v>1.655</v>
      </c>
      <c r="AJ654" s="17"/>
      <c r="AK654" s="17"/>
      <c r="AL654" s="17"/>
      <c r="AM654" s="17"/>
      <c r="AN654" s="17">
        <v>124.68</v>
      </c>
      <c r="AO654" s="17">
        <v>10.51</v>
      </c>
      <c r="AP654" s="17">
        <v>26.13</v>
      </c>
      <c r="AQ654" s="17"/>
      <c r="AR654" s="17">
        <v>48.14</v>
      </c>
      <c r="AS654" s="17">
        <v>20.81</v>
      </c>
      <c r="AT654" s="3"/>
      <c r="AU654" s="3"/>
    </row>
    <row r="655" spans="1:47" x14ac:dyDescent="0.2">
      <c r="A655" s="115">
        <v>653.99999999999989</v>
      </c>
      <c r="B655" s="3">
        <v>47</v>
      </c>
      <c r="C655" s="3">
        <v>21.654</v>
      </c>
      <c r="D655" s="129" t="s">
        <v>140</v>
      </c>
      <c r="E655" t="s">
        <v>141</v>
      </c>
      <c r="F655" s="3" t="s">
        <v>60</v>
      </c>
      <c r="G655" s="18"/>
      <c r="H655" s="3" t="s">
        <v>60</v>
      </c>
      <c r="I655" s="82">
        <v>44280</v>
      </c>
      <c r="J655" s="17" t="s">
        <v>142</v>
      </c>
      <c r="K655" s="17" t="s">
        <v>203</v>
      </c>
      <c r="L655" s="17"/>
      <c r="M655" s="17">
        <v>217.5</v>
      </c>
      <c r="N655" s="17">
        <v>210.7</v>
      </c>
      <c r="O655" s="17">
        <v>156</v>
      </c>
      <c r="P655" s="17">
        <v>167.64</v>
      </c>
      <c r="Q655" s="17">
        <v>30.89</v>
      </c>
      <c r="R655" s="17">
        <v>17.77</v>
      </c>
      <c r="S655" s="17">
        <v>114.14</v>
      </c>
      <c r="T655" s="17">
        <v>95.86</v>
      </c>
      <c r="U655" s="50">
        <v>62.96</v>
      </c>
      <c r="V655" s="50">
        <v>45.29</v>
      </c>
      <c r="W655" s="50">
        <v>71.209999999999994</v>
      </c>
      <c r="X655" s="50">
        <v>85.73</v>
      </c>
      <c r="Y655" s="50">
        <v>39.67</v>
      </c>
      <c r="Z655" s="50">
        <v>91.04</v>
      </c>
      <c r="AA655" s="50">
        <v>74</v>
      </c>
      <c r="AB655" s="50">
        <v>73.13</v>
      </c>
      <c r="AC655" s="50">
        <v>5.73</v>
      </c>
      <c r="AD655" s="50">
        <v>48.7</v>
      </c>
      <c r="AE655" s="17">
        <v>25.11</v>
      </c>
      <c r="AF655" s="17">
        <v>28.71</v>
      </c>
      <c r="AG655" s="17">
        <v>41.05</v>
      </c>
      <c r="AH655" s="17">
        <v>47.49</v>
      </c>
      <c r="AI655" s="17">
        <v>1.98</v>
      </c>
      <c r="AJ655" s="17"/>
      <c r="AK655" s="17"/>
      <c r="AL655" s="17"/>
      <c r="AM655" s="17"/>
      <c r="AN655" s="17">
        <v>131</v>
      </c>
      <c r="AO655" s="17">
        <v>11.01</v>
      </c>
      <c r="AP655" s="17">
        <v>13.42</v>
      </c>
      <c r="AQ655" s="17"/>
      <c r="AR655" s="17">
        <v>49.82</v>
      </c>
      <c r="AS655" s="17">
        <v>19.53</v>
      </c>
      <c r="AT655" s="3"/>
      <c r="AU655" s="3"/>
    </row>
    <row r="656" spans="1:47" x14ac:dyDescent="0.2">
      <c r="A656" s="115">
        <v>655.00000000000114</v>
      </c>
      <c r="B656" s="3">
        <v>122</v>
      </c>
      <c r="C656" s="3">
        <v>21.655000000000001</v>
      </c>
      <c r="D656" s="129" t="s">
        <v>140</v>
      </c>
      <c r="E656" t="s">
        <v>141</v>
      </c>
      <c r="F656" s="3" t="s">
        <v>60</v>
      </c>
      <c r="G656" s="18"/>
      <c r="H656" s="3" t="s">
        <v>60</v>
      </c>
      <c r="I656" s="82">
        <v>44446</v>
      </c>
      <c r="J656" s="17" t="s">
        <v>142</v>
      </c>
      <c r="K656" s="17" t="s">
        <v>203</v>
      </c>
      <c r="L656" s="17"/>
      <c r="M656" s="17">
        <v>208.1</v>
      </c>
      <c r="N656" s="17">
        <v>214.09</v>
      </c>
      <c r="O656" s="17">
        <v>153.22999999999999</v>
      </c>
      <c r="P656" s="17">
        <v>168.65</v>
      </c>
      <c r="Q656" s="17">
        <v>28.91</v>
      </c>
      <c r="R656" s="17">
        <v>21.1</v>
      </c>
      <c r="S656" s="17">
        <v>111.9</v>
      </c>
      <c r="T656" s="17">
        <v>92.21</v>
      </c>
      <c r="U656" s="50">
        <v>60.94</v>
      </c>
      <c r="V656" s="50">
        <v>49.35</v>
      </c>
      <c r="W656" s="50">
        <v>68.58</v>
      </c>
      <c r="X656" s="50">
        <v>87.08</v>
      </c>
      <c r="Y656" s="50">
        <v>38.29</v>
      </c>
      <c r="Z656" s="50">
        <v>93.96</v>
      </c>
      <c r="AA656" s="50">
        <v>75.16</v>
      </c>
      <c r="AB656" s="50">
        <v>72.959999999999994</v>
      </c>
      <c r="AC656" s="50">
        <v>12.5</v>
      </c>
      <c r="AD656" s="50">
        <v>48.34</v>
      </c>
      <c r="AE656" s="17">
        <v>24.98</v>
      </c>
      <c r="AF656" s="17">
        <v>35.26</v>
      </c>
      <c r="AG656" s="17">
        <v>29.45</v>
      </c>
      <c r="AH656" s="17">
        <v>35.39</v>
      </c>
      <c r="AI656" s="17">
        <v>2.0830000000000002</v>
      </c>
      <c r="AJ656" s="17"/>
      <c r="AK656" s="17"/>
      <c r="AL656" s="17"/>
      <c r="AM656" s="17"/>
      <c r="AN656" s="17"/>
      <c r="AO656" s="17">
        <v>15.78</v>
      </c>
      <c r="AP656" s="17">
        <v>59.78</v>
      </c>
      <c r="AQ656" s="17">
        <v>86.66</v>
      </c>
      <c r="AR656" s="17">
        <v>48.17</v>
      </c>
      <c r="AS656" s="17">
        <v>20.18</v>
      </c>
      <c r="AT656" s="3"/>
      <c r="AU656" s="3"/>
    </row>
    <row r="657" spans="1:47" x14ac:dyDescent="0.2">
      <c r="A657" s="115">
        <v>655.99999999999886</v>
      </c>
      <c r="B657" s="3">
        <v>192</v>
      </c>
      <c r="C657" s="3">
        <v>21.655999999999999</v>
      </c>
      <c r="D657" s="126" t="s">
        <v>168</v>
      </c>
      <c r="E657" t="s">
        <v>169</v>
      </c>
      <c r="F657" s="28" t="s">
        <v>170</v>
      </c>
      <c r="G657" s="28"/>
      <c r="H657" s="9" t="s">
        <v>177</v>
      </c>
      <c r="I657" s="82">
        <v>44493</v>
      </c>
      <c r="J657" s="16" t="s">
        <v>142</v>
      </c>
      <c r="K657" s="16" t="s">
        <v>235</v>
      </c>
      <c r="L657" s="17">
        <v>295</v>
      </c>
      <c r="M657" s="17"/>
      <c r="N657" s="17">
        <v>328.1</v>
      </c>
      <c r="O657" s="17">
        <v>186.81</v>
      </c>
      <c r="P657" s="17">
        <v>200.06</v>
      </c>
      <c r="Q657" s="17">
        <v>41.75</v>
      </c>
      <c r="R657" s="17">
        <v>28.76</v>
      </c>
      <c r="S657" s="17">
        <v>125.81</v>
      </c>
      <c r="T657" s="17">
        <v>100.48</v>
      </c>
      <c r="U657" s="50">
        <v>72.760000000000005</v>
      </c>
      <c r="V657" s="50">
        <v>53.94</v>
      </c>
      <c r="W657" s="133">
        <v>78.260000000000005</v>
      </c>
      <c r="X657" s="133">
        <v>95</v>
      </c>
      <c r="Y657" s="50">
        <v>42.97</v>
      </c>
      <c r="Z657" s="50">
        <v>105.6</v>
      </c>
      <c r="AA657" s="50">
        <v>87.67</v>
      </c>
      <c r="AB657" s="50">
        <v>84.09</v>
      </c>
      <c r="AC657" s="50">
        <v>6.11</v>
      </c>
      <c r="AD657" s="50">
        <v>53.72</v>
      </c>
      <c r="AE657" s="17">
        <v>33.72</v>
      </c>
      <c r="AF657" s="17">
        <v>42.08</v>
      </c>
      <c r="AG657" s="17">
        <v>43.71</v>
      </c>
      <c r="AH657" s="17">
        <v>41.03</v>
      </c>
      <c r="AI657" s="17">
        <v>1.2470000000000001</v>
      </c>
      <c r="AJ657" s="17">
        <v>43.86</v>
      </c>
      <c r="AK657" s="17"/>
      <c r="AL657" s="17"/>
      <c r="AM657" s="17"/>
      <c r="AN657" s="17">
        <v>153</v>
      </c>
      <c r="AO657" s="17"/>
      <c r="AP657" s="17"/>
      <c r="AQ657" s="17"/>
      <c r="AR657" s="17"/>
      <c r="AS657" s="17"/>
      <c r="AT657" s="3"/>
      <c r="AU657" s="3"/>
    </row>
    <row r="658" spans="1:47" x14ac:dyDescent="0.2">
      <c r="A658" s="115">
        <v>657</v>
      </c>
      <c r="B658" s="3">
        <v>222</v>
      </c>
      <c r="C658" s="3">
        <v>21.657</v>
      </c>
      <c r="D658" s="126" t="s">
        <v>168</v>
      </c>
      <c r="E658" t="s">
        <v>232</v>
      </c>
      <c r="F658" s="28" t="s">
        <v>251</v>
      </c>
      <c r="G658" s="28"/>
      <c r="H658" s="3" t="s">
        <v>498</v>
      </c>
      <c r="I658" s="127">
        <v>44489</v>
      </c>
      <c r="J658" s="16" t="s">
        <v>142</v>
      </c>
      <c r="K658" s="16" t="s">
        <v>235</v>
      </c>
      <c r="L658" s="17">
        <v>270</v>
      </c>
      <c r="M658" s="17"/>
      <c r="N658" s="17">
        <v>284.94</v>
      </c>
      <c r="O658" s="17">
        <v>201.65</v>
      </c>
      <c r="P658" s="17">
        <v>206.75</v>
      </c>
      <c r="Q658" s="17">
        <v>46.59</v>
      </c>
      <c r="R658" s="17">
        <v>25.5</v>
      </c>
      <c r="S658" s="17">
        <v>134.03</v>
      </c>
      <c r="T658" s="17">
        <v>105.7</v>
      </c>
      <c r="U658" s="50">
        <v>68.66</v>
      </c>
      <c r="V658" s="50">
        <v>49.06</v>
      </c>
      <c r="W658" s="133">
        <v>76.03</v>
      </c>
      <c r="X658" s="133">
        <v>96.58</v>
      </c>
      <c r="Y658" s="50">
        <v>41.02</v>
      </c>
      <c r="Z658" s="50">
        <v>102.63</v>
      </c>
      <c r="AA658" s="50">
        <v>86.56</v>
      </c>
      <c r="AB658" s="50">
        <v>75.290000000000006</v>
      </c>
      <c r="AC658" s="50">
        <v>7.27</v>
      </c>
      <c r="AD658" s="50">
        <v>52.03</v>
      </c>
      <c r="AE658" s="17">
        <v>35.56</v>
      </c>
      <c r="AF658" s="17">
        <v>41.48</v>
      </c>
      <c r="AG658" s="17">
        <v>38.909999999999997</v>
      </c>
      <c r="AH658" s="17">
        <v>47.02</v>
      </c>
      <c r="AI658" s="17">
        <v>1.06</v>
      </c>
      <c r="AJ658" s="17">
        <v>54.34</v>
      </c>
      <c r="AK658" s="17"/>
      <c r="AL658" s="17"/>
      <c r="AM658" s="17"/>
      <c r="AN658" s="17">
        <v>137</v>
      </c>
      <c r="AO658" s="17"/>
      <c r="AP658" s="17"/>
      <c r="AQ658" s="17"/>
      <c r="AR658" s="17"/>
      <c r="AS658" s="17"/>
      <c r="AT658" s="3"/>
      <c r="AU658" s="3"/>
    </row>
    <row r="659" spans="1:47" x14ac:dyDescent="0.2">
      <c r="A659" s="115">
        <v>658.00000000000125</v>
      </c>
      <c r="B659" s="3">
        <v>102</v>
      </c>
      <c r="C659" s="3">
        <v>21.658000000000001</v>
      </c>
      <c r="D659" s="126" t="s">
        <v>168</v>
      </c>
      <c r="E659" t="s">
        <v>169</v>
      </c>
      <c r="F659" s="28" t="s">
        <v>170</v>
      </c>
      <c r="G659" s="3" t="s">
        <v>30</v>
      </c>
      <c r="H659" s="28"/>
      <c r="I659" s="82">
        <v>44441</v>
      </c>
      <c r="J659" s="16" t="s">
        <v>142</v>
      </c>
      <c r="K659" s="16" t="s">
        <v>235</v>
      </c>
      <c r="L659" s="17">
        <v>300</v>
      </c>
      <c r="M659" s="17"/>
      <c r="N659" s="17">
        <v>284.04000000000002</v>
      </c>
      <c r="O659" s="17">
        <v>188.6</v>
      </c>
      <c r="P659" s="17">
        <v>198.34</v>
      </c>
      <c r="Q659" s="17">
        <v>38.979999999999997</v>
      </c>
      <c r="R659" s="17">
        <v>29.04</v>
      </c>
      <c r="S659" s="17">
        <v>129.61000000000001</v>
      </c>
      <c r="T659" s="17">
        <v>103.08</v>
      </c>
      <c r="U659" s="50">
        <v>63.3</v>
      </c>
      <c r="V659" s="50">
        <v>53.67</v>
      </c>
      <c r="W659" s="50">
        <v>73.819999999999993</v>
      </c>
      <c r="X659" s="50">
        <v>96.8</v>
      </c>
      <c r="Y659" s="50">
        <v>42.84</v>
      </c>
      <c r="Z659" s="50">
        <v>105.63</v>
      </c>
      <c r="AA659" s="50">
        <v>89.13</v>
      </c>
      <c r="AB659" s="50">
        <v>82.62</v>
      </c>
      <c r="AC659" s="50">
        <v>2</v>
      </c>
      <c r="AD659" s="50">
        <v>52.54</v>
      </c>
      <c r="AE659" s="50">
        <v>27.02</v>
      </c>
      <c r="AF659" s="17">
        <v>40.130000000000003</v>
      </c>
      <c r="AG659" s="17">
        <v>30.94</v>
      </c>
      <c r="AH659" s="17">
        <v>36.950000000000003</v>
      </c>
      <c r="AI659" s="17">
        <v>0.95399999999999996</v>
      </c>
      <c r="AJ659" s="17">
        <v>67.260000000000005</v>
      </c>
      <c r="AK659" s="17"/>
      <c r="AL659" s="17"/>
      <c r="AM659" s="17"/>
      <c r="AN659" s="17">
        <v>128</v>
      </c>
      <c r="AO659" s="17"/>
      <c r="AP659" s="17"/>
      <c r="AQ659" s="17"/>
      <c r="AR659" s="17"/>
      <c r="AS659" s="17"/>
      <c r="AT659" s="3"/>
      <c r="AU659" s="3"/>
    </row>
    <row r="660" spans="1:47" x14ac:dyDescent="0.2">
      <c r="A660" s="115">
        <v>658.99999999999886</v>
      </c>
      <c r="B660" s="12">
        <v>101</v>
      </c>
      <c r="C660" s="3">
        <v>21.658999999999999</v>
      </c>
      <c r="D660" s="126" t="s">
        <v>168</v>
      </c>
      <c r="E660" t="s">
        <v>169</v>
      </c>
      <c r="F660" s="28" t="s">
        <v>170</v>
      </c>
      <c r="G660" s="3" t="s">
        <v>30</v>
      </c>
      <c r="H660" s="28"/>
      <c r="I660" s="82">
        <v>44433</v>
      </c>
      <c r="J660" s="16" t="s">
        <v>142</v>
      </c>
      <c r="K660" s="17" t="s">
        <v>235</v>
      </c>
      <c r="L660" s="17">
        <v>310</v>
      </c>
      <c r="M660" s="17"/>
      <c r="N660" s="17">
        <v>312.31</v>
      </c>
      <c r="O660" s="17">
        <v>197.06</v>
      </c>
      <c r="P660" s="17">
        <v>209.86</v>
      </c>
      <c r="Q660" s="17">
        <v>36.97</v>
      </c>
      <c r="R660" s="17">
        <v>33.729999999999997</v>
      </c>
      <c r="S660" s="17">
        <v>132.24</v>
      </c>
      <c r="T660" s="17">
        <v>105.31</v>
      </c>
      <c r="U660" s="50">
        <v>74.14</v>
      </c>
      <c r="V660" s="50">
        <v>53.38</v>
      </c>
      <c r="W660" s="50">
        <v>76.17</v>
      </c>
      <c r="X660" s="50">
        <v>98.13</v>
      </c>
      <c r="Y660" s="50">
        <v>42.9</v>
      </c>
      <c r="Z660" s="50">
        <v>105.19</v>
      </c>
      <c r="AA660" s="50">
        <v>88.54</v>
      </c>
      <c r="AB660" s="50">
        <v>83.57</v>
      </c>
      <c r="AC660" s="50">
        <v>1.41</v>
      </c>
      <c r="AD660" s="50">
        <v>54.81</v>
      </c>
      <c r="AE660" s="17">
        <v>22.17</v>
      </c>
      <c r="AF660" s="17">
        <v>41.53</v>
      </c>
      <c r="AG660" s="17">
        <v>25.34</v>
      </c>
      <c r="AH660" s="17">
        <v>39.96</v>
      </c>
      <c r="AI660" s="17">
        <v>0.99099999999999999</v>
      </c>
      <c r="AJ660" s="17">
        <v>62.2</v>
      </c>
      <c r="AK660" s="17"/>
      <c r="AL660" s="17"/>
      <c r="AM660" s="17"/>
      <c r="AN660" s="17">
        <v>163</v>
      </c>
      <c r="AO660" s="17"/>
      <c r="AP660" s="17"/>
      <c r="AQ660" s="17"/>
      <c r="AR660" s="17"/>
      <c r="AS660" s="17"/>
      <c r="AT660" s="3"/>
      <c r="AU660" s="3"/>
    </row>
    <row r="661" spans="1:47" x14ac:dyDescent="0.2">
      <c r="A661" s="115">
        <v>660.00000000000011</v>
      </c>
      <c r="B661" s="3" t="s">
        <v>691</v>
      </c>
      <c r="C661" s="2" t="s">
        <v>76</v>
      </c>
      <c r="D661" s="125" t="s">
        <v>156</v>
      </c>
      <c r="E661" t="s">
        <v>491</v>
      </c>
      <c r="F661" s="3" t="s">
        <v>77</v>
      </c>
      <c r="G661" s="3" t="s">
        <v>77</v>
      </c>
      <c r="H661" s="28"/>
      <c r="I661" s="82">
        <v>44458</v>
      </c>
      <c r="J661" s="16" t="s">
        <v>142</v>
      </c>
      <c r="K661" s="17" t="s">
        <v>235</v>
      </c>
      <c r="L661" s="17"/>
      <c r="M661" s="17"/>
      <c r="N661" s="17">
        <v>230.99</v>
      </c>
      <c r="O661" s="17">
        <v>180.66</v>
      </c>
      <c r="P661" s="17">
        <v>181.75</v>
      </c>
      <c r="Q661" s="17">
        <v>36.950000000000003</v>
      </c>
      <c r="R661" s="17">
        <v>21.76</v>
      </c>
      <c r="S661" s="17">
        <v>124.83</v>
      </c>
      <c r="T661" s="17">
        <v>98.17</v>
      </c>
      <c r="U661" s="50">
        <v>64.709999999999994</v>
      </c>
      <c r="V661" s="50">
        <v>44.52</v>
      </c>
      <c r="W661" s="50">
        <v>68.13</v>
      </c>
      <c r="X661" s="50">
        <v>84.85</v>
      </c>
      <c r="Y661" s="50">
        <v>38.81</v>
      </c>
      <c r="Z661" s="50">
        <v>90.57</v>
      </c>
      <c r="AA661" s="50">
        <v>79.92</v>
      </c>
      <c r="AB661" s="50">
        <v>70.459999999999994</v>
      </c>
      <c r="AC661" s="50">
        <v>7.98</v>
      </c>
      <c r="AD661" s="50">
        <v>48.98</v>
      </c>
      <c r="AE661" s="17">
        <v>32.14</v>
      </c>
      <c r="AF661" s="17">
        <v>38.200000000000003</v>
      </c>
      <c r="AG661" s="17">
        <v>35.1</v>
      </c>
      <c r="AH661" s="17">
        <v>38.869999999999997</v>
      </c>
      <c r="AI661" s="17">
        <v>1.1319999999999999</v>
      </c>
      <c r="AJ661" s="17">
        <v>40.299999999999997</v>
      </c>
      <c r="AK661" s="17"/>
      <c r="AL661" s="17"/>
      <c r="AM661" s="17"/>
      <c r="AN661" s="17">
        <v>105</v>
      </c>
      <c r="AO661" s="17"/>
      <c r="AP661" s="17"/>
      <c r="AQ661" s="17"/>
      <c r="AR661" s="17"/>
      <c r="AS661" s="17"/>
      <c r="AT661" s="3"/>
      <c r="AU661" s="3"/>
    </row>
    <row r="662" spans="1:47" x14ac:dyDescent="0.2">
      <c r="A662" s="115">
        <v>661.00000000000136</v>
      </c>
      <c r="B662" s="3" t="s">
        <v>692</v>
      </c>
      <c r="C662" s="3">
        <v>21.661000000000001</v>
      </c>
      <c r="D662" s="125" t="s">
        <v>156</v>
      </c>
      <c r="E662" t="s">
        <v>491</v>
      </c>
      <c r="F662" s="3" t="s">
        <v>77</v>
      </c>
      <c r="G662" s="3" t="s">
        <v>77</v>
      </c>
      <c r="H662" s="28"/>
      <c r="I662" s="82">
        <v>44442</v>
      </c>
      <c r="J662" s="16" t="s">
        <v>142</v>
      </c>
      <c r="K662" s="17" t="s">
        <v>235</v>
      </c>
      <c r="L662" s="17"/>
      <c r="M662" s="17"/>
      <c r="N662" s="17">
        <v>216.01</v>
      </c>
      <c r="O662" s="17">
        <v>176.57</v>
      </c>
      <c r="P662" s="17">
        <v>182.27</v>
      </c>
      <c r="Q662" s="17">
        <v>30.65</v>
      </c>
      <c r="R662" s="17">
        <v>24.08</v>
      </c>
      <c r="S662" s="17">
        <v>119.29</v>
      </c>
      <c r="T662" s="17">
        <v>93.9</v>
      </c>
      <c r="U662" s="50">
        <v>63.04</v>
      </c>
      <c r="V662" s="50">
        <v>42.81</v>
      </c>
      <c r="W662" s="50">
        <v>66.5</v>
      </c>
      <c r="X662" s="50">
        <v>83.31</v>
      </c>
      <c r="Y662" s="50">
        <v>37.46</v>
      </c>
      <c r="Z662" s="50">
        <v>90.68</v>
      </c>
      <c r="AA662" s="50">
        <v>79.540000000000006</v>
      </c>
      <c r="AB662" s="50">
        <v>71.34</v>
      </c>
      <c r="AC662" s="50">
        <v>4.59</v>
      </c>
      <c r="AD662" s="50">
        <v>49.55</v>
      </c>
      <c r="AE662" s="17">
        <v>34.380000000000003</v>
      </c>
      <c r="AF662" s="17">
        <v>36.18</v>
      </c>
      <c r="AG662" s="17">
        <v>36.26</v>
      </c>
      <c r="AH662" s="17">
        <v>36.97</v>
      </c>
      <c r="AI662" s="17">
        <v>1.113</v>
      </c>
      <c r="AJ662" s="17">
        <v>48.6</v>
      </c>
      <c r="AK662" s="17"/>
      <c r="AL662" s="17"/>
      <c r="AM662" s="17"/>
      <c r="AN662" s="17">
        <v>97</v>
      </c>
      <c r="AO662" s="17"/>
      <c r="AP662" s="17"/>
      <c r="AQ662" s="17"/>
      <c r="AR662" s="17"/>
      <c r="AS662" s="17"/>
      <c r="AT662" s="3"/>
      <c r="AU662" s="3"/>
    </row>
    <row r="663" spans="1:47" x14ac:dyDescent="0.2">
      <c r="A663" s="115">
        <v>661.99999999999909</v>
      </c>
      <c r="B663" s="3" t="s">
        <v>693</v>
      </c>
      <c r="C663" s="3">
        <v>21.661999999999999</v>
      </c>
      <c r="D663" s="131" t="s">
        <v>151</v>
      </c>
      <c r="E663" t="s">
        <v>162</v>
      </c>
      <c r="F663" s="3" t="s">
        <v>88</v>
      </c>
      <c r="G663" s="3" t="s">
        <v>88</v>
      </c>
      <c r="H663" s="16"/>
      <c r="I663" s="82">
        <v>44524</v>
      </c>
      <c r="J663" s="3" t="s">
        <v>142</v>
      </c>
      <c r="K663" s="3" t="s">
        <v>203</v>
      </c>
      <c r="N663" s="3">
        <v>248.61</v>
      </c>
      <c r="O663" s="3">
        <v>167.37</v>
      </c>
      <c r="P663" s="3">
        <v>181.42</v>
      </c>
      <c r="Q663" s="3">
        <v>37.630000000000003</v>
      </c>
      <c r="R663" s="3">
        <v>15.62</v>
      </c>
      <c r="S663" s="3">
        <v>116.24</v>
      </c>
      <c r="T663" s="3">
        <v>95.38</v>
      </c>
      <c r="U663" s="6">
        <v>65.86</v>
      </c>
      <c r="V663" s="6">
        <v>51.28</v>
      </c>
      <c r="W663" s="6">
        <v>76.86</v>
      </c>
      <c r="X663" s="6">
        <v>94.41</v>
      </c>
      <c r="Y663" s="6">
        <v>43.35</v>
      </c>
      <c r="Z663" s="6">
        <v>102.57</v>
      </c>
      <c r="AA663" s="6">
        <v>79.98</v>
      </c>
      <c r="AB663" s="6">
        <v>80.150000000000006</v>
      </c>
      <c r="AC663" s="6">
        <v>13.57</v>
      </c>
      <c r="AD663" s="6">
        <v>50.16</v>
      </c>
      <c r="AE663" s="3">
        <v>27.68</v>
      </c>
      <c r="AF663" s="3">
        <v>40.67</v>
      </c>
      <c r="AG663" s="3">
        <v>30.25</v>
      </c>
      <c r="AH663" s="3">
        <v>43.11</v>
      </c>
      <c r="AI663" s="3">
        <v>1.8440000000000001</v>
      </c>
      <c r="AL663" s="3">
        <v>6</v>
      </c>
      <c r="AO663" s="3">
        <f>16.29-3.08</f>
        <v>13.209999999999999</v>
      </c>
      <c r="AP663" s="3">
        <f>116.41-13.21</f>
        <v>103.19999999999999</v>
      </c>
      <c r="AQ663" s="3">
        <f>77.17-13.17</f>
        <v>64</v>
      </c>
      <c r="AR663" s="3">
        <v>49.63</v>
      </c>
      <c r="AT663" s="3"/>
      <c r="AU663" s="3"/>
    </row>
    <row r="664" spans="1:47" x14ac:dyDescent="0.2">
      <c r="A664" s="115">
        <v>663.00000000000023</v>
      </c>
      <c r="B664" s="3" t="s">
        <v>694</v>
      </c>
      <c r="C664" s="3">
        <v>21.663</v>
      </c>
      <c r="D664" s="131" t="s">
        <v>151</v>
      </c>
      <c r="E664" t="s">
        <v>162</v>
      </c>
      <c r="F664" s="3" t="s">
        <v>88</v>
      </c>
      <c r="G664" s="3" t="s">
        <v>88</v>
      </c>
      <c r="H664" s="28"/>
      <c r="I664" s="82">
        <v>44528</v>
      </c>
      <c r="J664" s="3" t="s">
        <v>142</v>
      </c>
      <c r="K664" s="3" t="s">
        <v>203</v>
      </c>
      <c r="N664" s="3">
        <v>221.27</v>
      </c>
      <c r="O664" s="3">
        <v>182.83</v>
      </c>
      <c r="P664" s="3">
        <v>196.07</v>
      </c>
      <c r="Q664" s="3">
        <v>45.7</v>
      </c>
      <c r="R664" s="3">
        <v>22.53</v>
      </c>
      <c r="S664" s="3">
        <v>121.29</v>
      </c>
      <c r="T664" s="3">
        <v>96.04</v>
      </c>
      <c r="U664" s="6">
        <v>62</v>
      </c>
      <c r="V664" s="6">
        <v>48.61</v>
      </c>
      <c r="W664" s="6">
        <v>72.91</v>
      </c>
      <c r="X664" s="6">
        <v>93.77</v>
      </c>
      <c r="Y664" s="6">
        <v>43.43</v>
      </c>
      <c r="Z664" s="6">
        <v>101.5</v>
      </c>
      <c r="AA664" s="6">
        <v>77.05</v>
      </c>
      <c r="AB664" s="6">
        <v>75.290000000000006</v>
      </c>
      <c r="AC664" s="6">
        <v>11.76</v>
      </c>
      <c r="AD664" s="6">
        <v>44.18</v>
      </c>
      <c r="AE664" s="3">
        <v>30.17</v>
      </c>
      <c r="AF664" s="3">
        <v>40.01</v>
      </c>
      <c r="AG664" s="3">
        <v>39.71</v>
      </c>
      <c r="AH664" s="3">
        <v>42.2</v>
      </c>
      <c r="AI664" s="3">
        <v>2.1619999999999999</v>
      </c>
      <c r="AO664" s="3">
        <f>18.97-3.04</f>
        <v>15.93</v>
      </c>
      <c r="AP664" s="3">
        <f>111.83-13.03</f>
        <v>98.8</v>
      </c>
      <c r="AQ664" s="3">
        <f>57.92-13.73</f>
        <v>44.19</v>
      </c>
      <c r="AR664" s="3">
        <v>53.49</v>
      </c>
      <c r="AT664" s="3"/>
      <c r="AU664" s="3"/>
    </row>
    <row r="665" spans="1:47" x14ac:dyDescent="0.2">
      <c r="A665" s="115">
        <v>664.00000000000148</v>
      </c>
      <c r="B665" s="3" t="s">
        <v>695</v>
      </c>
      <c r="C665" s="3">
        <v>21.664000000000001</v>
      </c>
      <c r="D665" s="131" t="s">
        <v>151</v>
      </c>
      <c r="E665" t="s">
        <v>162</v>
      </c>
      <c r="F665" s="3" t="s">
        <v>88</v>
      </c>
      <c r="G665" s="3" t="s">
        <v>88</v>
      </c>
      <c r="H665" s="28"/>
      <c r="I665" s="82">
        <v>44528</v>
      </c>
      <c r="J665" s="3" t="s">
        <v>142</v>
      </c>
      <c r="K665" s="3" t="s">
        <v>203</v>
      </c>
      <c r="N665" s="3">
        <v>244.01</v>
      </c>
      <c r="O665" s="3">
        <v>157</v>
      </c>
      <c r="P665" s="3">
        <v>179.59</v>
      </c>
      <c r="Q665" s="3">
        <v>34.11</v>
      </c>
      <c r="R665" s="3">
        <v>12.18</v>
      </c>
      <c r="S665" s="3">
        <v>117.11</v>
      </c>
      <c r="T665" s="3">
        <v>91.57</v>
      </c>
      <c r="U665" s="6">
        <v>65.84</v>
      </c>
      <c r="V665" s="6">
        <v>50.85</v>
      </c>
      <c r="W665" s="6">
        <v>75.88</v>
      </c>
      <c r="X665" s="6">
        <v>95.22</v>
      </c>
      <c r="Y665" s="6">
        <v>45.07</v>
      </c>
      <c r="Z665" s="6">
        <v>104.24</v>
      </c>
      <c r="AA665" s="6">
        <v>80.959999999999994</v>
      </c>
      <c r="AB665" s="6">
        <v>83.08</v>
      </c>
      <c r="AC665" s="6">
        <v>26.59</v>
      </c>
      <c r="AD665" s="6">
        <v>48.11</v>
      </c>
      <c r="AE665" s="3">
        <v>24.81</v>
      </c>
      <c r="AF665" s="3">
        <v>31.44</v>
      </c>
      <c r="AG665" s="3">
        <v>28.81</v>
      </c>
      <c r="AH665" s="3">
        <v>45.25</v>
      </c>
      <c r="AI665" s="3">
        <v>1.754</v>
      </c>
      <c r="AO665" s="3">
        <f>15.15-3.02</f>
        <v>12.13</v>
      </c>
      <c r="AP665" s="3">
        <f>109.41-14.18</f>
        <v>95.22999999999999</v>
      </c>
      <c r="AQ665" s="3">
        <f>91.27-13.37</f>
        <v>77.899999999999991</v>
      </c>
      <c r="AR665" s="3">
        <v>51.23</v>
      </c>
      <c r="AT665" s="3"/>
      <c r="AU665" s="3"/>
    </row>
    <row r="666" spans="1:47" x14ac:dyDescent="0.2">
      <c r="A666" s="115">
        <v>664.99999999999909</v>
      </c>
      <c r="B666" s="3" t="s">
        <v>696</v>
      </c>
      <c r="C666" s="3">
        <v>21.664999999999999</v>
      </c>
      <c r="D666" s="131" t="s">
        <v>151</v>
      </c>
      <c r="E666" t="s">
        <v>152</v>
      </c>
      <c r="F666" s="14" t="s">
        <v>153</v>
      </c>
      <c r="G666" s="28"/>
      <c r="H666" s="28"/>
      <c r="I666" s="82">
        <v>44536</v>
      </c>
      <c r="J666" s="3" t="s">
        <v>142</v>
      </c>
      <c r="K666" s="3" t="s">
        <v>203</v>
      </c>
      <c r="N666" s="3">
        <v>220.24</v>
      </c>
      <c r="O666" s="3">
        <v>170.08</v>
      </c>
      <c r="P666" s="3">
        <v>181.06</v>
      </c>
      <c r="Q666" s="3">
        <v>41.99</v>
      </c>
      <c r="R666" s="3">
        <v>24.04</v>
      </c>
      <c r="S666" s="3">
        <v>109.62</v>
      </c>
      <c r="T666" s="3">
        <v>86.75</v>
      </c>
      <c r="U666" s="6">
        <v>68.23</v>
      </c>
      <c r="V666" s="6">
        <v>56.9</v>
      </c>
      <c r="W666" s="6">
        <v>74.41</v>
      </c>
      <c r="X666" s="6">
        <v>91.34</v>
      </c>
      <c r="Y666" s="6">
        <v>41.07</v>
      </c>
      <c r="Z666" s="6">
        <v>100.34</v>
      </c>
      <c r="AA666" s="6">
        <v>77.52</v>
      </c>
      <c r="AB666" s="6">
        <v>79.11</v>
      </c>
      <c r="AC666" s="6">
        <v>21.36</v>
      </c>
      <c r="AD666" s="6">
        <v>47.04</v>
      </c>
      <c r="AE666" s="3">
        <v>26.3</v>
      </c>
      <c r="AF666" s="3">
        <v>40.86</v>
      </c>
      <c r="AG666" s="3">
        <v>31.66</v>
      </c>
      <c r="AH666" s="3">
        <v>40.01</v>
      </c>
      <c r="AI666" s="3">
        <v>2.1269999999999998</v>
      </c>
      <c r="AL666" s="3">
        <v>10</v>
      </c>
      <c r="AO666" s="3">
        <f>19.12-3.06</f>
        <v>16.060000000000002</v>
      </c>
      <c r="AP666" s="3">
        <f>102.23-14.18</f>
        <v>88.050000000000011</v>
      </c>
      <c r="AQ666" s="3">
        <f>57.83-13.94</f>
        <v>43.89</v>
      </c>
      <c r="AR666" s="3">
        <v>57.4</v>
      </c>
      <c r="AT666" s="3"/>
      <c r="AU666" s="3"/>
    </row>
    <row r="667" spans="1:47" x14ac:dyDescent="0.2">
      <c r="A667" s="115">
        <v>666.00000000000034</v>
      </c>
      <c r="B667" s="3" t="s">
        <v>697</v>
      </c>
      <c r="C667" s="3">
        <v>21.666</v>
      </c>
      <c r="D667" s="131" t="s">
        <v>151</v>
      </c>
      <c r="E667" t="s">
        <v>152</v>
      </c>
      <c r="F667" s="14" t="s">
        <v>153</v>
      </c>
      <c r="G667" s="28"/>
      <c r="H667" s="28"/>
      <c r="I667" s="82">
        <v>44536</v>
      </c>
      <c r="J667" s="3" t="s">
        <v>142</v>
      </c>
      <c r="K667" s="3" t="s">
        <v>203</v>
      </c>
      <c r="N667" s="3">
        <v>219.08</v>
      </c>
      <c r="O667" s="3">
        <v>162.9</v>
      </c>
      <c r="P667" s="3">
        <v>175.81</v>
      </c>
      <c r="Q667" s="3">
        <v>40.64</v>
      </c>
      <c r="R667" s="3">
        <v>19.66</v>
      </c>
      <c r="S667" s="3">
        <v>112.82</v>
      </c>
      <c r="T667" s="3">
        <v>89.28</v>
      </c>
      <c r="U667" s="6">
        <v>65.98</v>
      </c>
      <c r="V667" s="6">
        <v>53.94</v>
      </c>
      <c r="W667" s="6">
        <v>73.28</v>
      </c>
      <c r="X667" s="6">
        <v>87.18</v>
      </c>
      <c r="Y667" s="6">
        <v>40.85</v>
      </c>
      <c r="Z667" s="6">
        <v>97.57</v>
      </c>
      <c r="AA667" s="6">
        <v>74.02</v>
      </c>
      <c r="AB667" s="6">
        <v>76.209999999999994</v>
      </c>
      <c r="AC667" s="6">
        <v>29.64</v>
      </c>
      <c r="AD667" s="6">
        <v>45.61</v>
      </c>
      <c r="AE667" s="3">
        <v>28.08</v>
      </c>
      <c r="AF667" s="3">
        <v>39.75</v>
      </c>
      <c r="AG667" s="3">
        <v>28.75</v>
      </c>
      <c r="AH667" s="3">
        <v>36.54</v>
      </c>
      <c r="AI667" s="3">
        <v>2.2250000000000001</v>
      </c>
      <c r="AL667" s="3">
        <v>3</v>
      </c>
      <c r="AO667" s="3">
        <f>16.29-3.06</f>
        <v>13.229999999999999</v>
      </c>
      <c r="AP667" s="3">
        <f>100.35-13.6</f>
        <v>86.75</v>
      </c>
      <c r="AQ667" s="3">
        <f>70.51-13.36</f>
        <v>57.150000000000006</v>
      </c>
      <c r="AR667" s="3">
        <v>56.19</v>
      </c>
      <c r="AT667" s="3"/>
      <c r="AU667" s="3"/>
    </row>
    <row r="668" spans="1:47" x14ac:dyDescent="0.2">
      <c r="A668" s="115">
        <v>667.00000000000159</v>
      </c>
      <c r="B668" s="3" t="s">
        <v>698</v>
      </c>
      <c r="C668" s="3">
        <v>21.667000000000002</v>
      </c>
      <c r="D668" s="131" t="s">
        <v>151</v>
      </c>
      <c r="E668" t="s">
        <v>152</v>
      </c>
      <c r="F668" s="14" t="s">
        <v>153</v>
      </c>
      <c r="G668" s="14"/>
      <c r="H668" s="14"/>
      <c r="I668" s="82">
        <v>44537</v>
      </c>
      <c r="J668" s="3" t="s">
        <v>142</v>
      </c>
      <c r="K668" s="3" t="s">
        <v>203</v>
      </c>
      <c r="N668" s="3">
        <v>218.6</v>
      </c>
      <c r="O668" s="3">
        <v>167.03</v>
      </c>
      <c r="P668" s="3">
        <v>186.72</v>
      </c>
      <c r="Q668" s="3">
        <v>43.74</v>
      </c>
      <c r="R668" s="3">
        <v>23.91</v>
      </c>
      <c r="S668" s="3">
        <v>110.59</v>
      </c>
      <c r="T668" s="3">
        <v>90.45</v>
      </c>
      <c r="U668" s="6">
        <v>66.97</v>
      </c>
      <c r="V668" s="6">
        <v>56.54</v>
      </c>
      <c r="W668" s="6">
        <v>75.58</v>
      </c>
      <c r="X668" s="6">
        <v>87.66</v>
      </c>
      <c r="Y668" s="6">
        <v>43.3</v>
      </c>
      <c r="Z668" s="6">
        <v>99.51</v>
      </c>
      <c r="AA668" s="6">
        <v>78.31</v>
      </c>
      <c r="AB668" s="6">
        <v>79.510000000000005</v>
      </c>
      <c r="AC668" s="6">
        <v>20.97</v>
      </c>
      <c r="AD668" s="6">
        <v>46.87</v>
      </c>
      <c r="AE668" s="3">
        <v>24.59</v>
      </c>
      <c r="AF668" s="3">
        <v>42.96</v>
      </c>
      <c r="AG668" s="3">
        <v>31.71</v>
      </c>
      <c r="AH668" s="3">
        <v>41.38</v>
      </c>
      <c r="AI668" s="3">
        <v>2.2559999999999998</v>
      </c>
      <c r="AL668" s="3">
        <v>5</v>
      </c>
      <c r="AO668" s="3">
        <f>17.13-3.01</f>
        <v>14.12</v>
      </c>
      <c r="AP668" s="3">
        <f>104.14-12.15</f>
        <v>91.99</v>
      </c>
      <c r="AQ668" s="3">
        <f>61.65-12.18</f>
        <v>49.47</v>
      </c>
      <c r="AR668" s="3">
        <v>56.56</v>
      </c>
      <c r="AT668" s="3"/>
      <c r="AU668" s="3"/>
    </row>
    <row r="669" spans="1:47" x14ac:dyDescent="0.2">
      <c r="A669" s="115">
        <v>667.99999999999932</v>
      </c>
      <c r="B669" s="3" t="s">
        <v>699</v>
      </c>
      <c r="C669" s="3">
        <v>21.667999999999999</v>
      </c>
      <c r="D669" s="131" t="s">
        <v>151</v>
      </c>
      <c r="E669" t="s">
        <v>152</v>
      </c>
      <c r="F669" s="14" t="s">
        <v>153</v>
      </c>
      <c r="G669" s="28"/>
      <c r="H669" s="28"/>
      <c r="I669" s="82">
        <v>44536</v>
      </c>
      <c r="J669" s="3" t="s">
        <v>142</v>
      </c>
      <c r="K669" s="3" t="s">
        <v>203</v>
      </c>
      <c r="N669" s="3">
        <v>245.41</v>
      </c>
      <c r="O669" s="3">
        <v>176.99</v>
      </c>
      <c r="P669" s="3">
        <v>183.51</v>
      </c>
      <c r="Q669" s="3">
        <v>36.86</v>
      </c>
      <c r="R669" s="3">
        <v>16.02</v>
      </c>
      <c r="S669" s="3">
        <v>127.83</v>
      </c>
      <c r="T669" s="3">
        <v>98.77</v>
      </c>
      <c r="U669" s="6">
        <v>59.31</v>
      </c>
      <c r="V669" s="6">
        <v>46.44</v>
      </c>
      <c r="W669" s="6">
        <v>65.03</v>
      </c>
      <c r="X669" s="6">
        <v>92.38</v>
      </c>
      <c r="Y669" s="6">
        <v>38.020000000000003</v>
      </c>
      <c r="Z669" s="6">
        <v>99.75</v>
      </c>
      <c r="AA669" s="6">
        <v>79.89</v>
      </c>
      <c r="AB669" s="6">
        <v>75.760000000000005</v>
      </c>
      <c r="AC669" s="6">
        <v>22.82</v>
      </c>
      <c r="AD669" s="6">
        <v>50.03</v>
      </c>
      <c r="AE669" s="3">
        <v>32.79</v>
      </c>
      <c r="AF669" s="3">
        <v>35.86</v>
      </c>
      <c r="AG669" s="3">
        <v>37.19</v>
      </c>
      <c r="AH669" s="3">
        <v>39.25</v>
      </c>
      <c r="AI669" s="3">
        <v>1.7010000000000001</v>
      </c>
      <c r="AL669" s="3">
        <v>3</v>
      </c>
      <c r="AO669" s="3">
        <f>19.56-3.03</f>
        <v>16.529999999999998</v>
      </c>
      <c r="AP669" s="3">
        <f>124.34-12.12</f>
        <v>112.22</v>
      </c>
      <c r="AQ669" s="3">
        <f>69.59-12.08</f>
        <v>57.510000000000005</v>
      </c>
      <c r="AR669" s="3">
        <v>52.64</v>
      </c>
      <c r="AT669" s="3"/>
      <c r="AU669" s="3"/>
    </row>
    <row r="670" spans="1:47" x14ac:dyDescent="0.2">
      <c r="A670" s="115">
        <v>669.00000000000045</v>
      </c>
      <c r="B670" s="3" t="s">
        <v>700</v>
      </c>
      <c r="C670" s="3">
        <v>21.669</v>
      </c>
      <c r="D670" s="131" t="s">
        <v>151</v>
      </c>
      <c r="E670" t="s">
        <v>152</v>
      </c>
      <c r="F670" s="14" t="s">
        <v>153</v>
      </c>
      <c r="G670" s="28"/>
      <c r="H670" s="28"/>
      <c r="I670" s="82">
        <v>44537</v>
      </c>
      <c r="J670" s="3" t="s">
        <v>142</v>
      </c>
      <c r="K670" s="3" t="s">
        <v>203</v>
      </c>
      <c r="N670" s="3">
        <v>217.13</v>
      </c>
      <c r="O670" s="3">
        <v>169.99</v>
      </c>
      <c r="P670" s="3">
        <v>182.69</v>
      </c>
      <c r="Q670" s="3">
        <v>40.950000000000003</v>
      </c>
      <c r="R670" s="3">
        <v>24.13</v>
      </c>
      <c r="S670" s="3">
        <v>114.33</v>
      </c>
      <c r="T670" s="3">
        <v>90.6</v>
      </c>
      <c r="U670" s="6">
        <v>66.5</v>
      </c>
      <c r="V670" s="6">
        <v>55.84</v>
      </c>
      <c r="W670" s="6">
        <v>74.739999999999995</v>
      </c>
      <c r="X670" s="6">
        <v>87.13</v>
      </c>
      <c r="Y670" s="6">
        <v>41.78</v>
      </c>
      <c r="Z670" s="6">
        <v>98.29</v>
      </c>
      <c r="AA670" s="6">
        <v>76.989999999999995</v>
      </c>
      <c r="AB670" s="6">
        <v>78.8</v>
      </c>
      <c r="AC670" s="6">
        <v>24.67</v>
      </c>
      <c r="AD670" s="6">
        <v>45.28</v>
      </c>
      <c r="AE670" s="3">
        <v>29.85</v>
      </c>
      <c r="AF670" s="3">
        <v>41.21</v>
      </c>
      <c r="AG670" s="3">
        <v>31.18</v>
      </c>
      <c r="AH670" s="3">
        <v>43.11</v>
      </c>
      <c r="AI670" s="3">
        <v>2.11</v>
      </c>
      <c r="AO670" s="3">
        <f>17.79-3.02</f>
        <v>14.77</v>
      </c>
      <c r="AP670" s="3">
        <f>105.04-12.13</f>
        <v>92.910000000000011</v>
      </c>
      <c r="AQ670" s="3">
        <f>63.18-12.38</f>
        <v>50.8</v>
      </c>
      <c r="AR670" s="3">
        <v>54.01</v>
      </c>
      <c r="AT670" s="3"/>
      <c r="AU670" s="3"/>
    </row>
    <row r="671" spans="1:47" x14ac:dyDescent="0.2">
      <c r="A671" s="115">
        <v>670.00000000000171</v>
      </c>
      <c r="B671" s="3" t="s">
        <v>701</v>
      </c>
      <c r="C671" s="12" t="s">
        <v>702</v>
      </c>
      <c r="D671" s="131" t="s">
        <v>151</v>
      </c>
      <c r="E671" t="s">
        <v>152</v>
      </c>
      <c r="F671" s="14" t="s">
        <v>153</v>
      </c>
      <c r="G671" s="18"/>
      <c r="H671" s="18"/>
      <c r="I671" s="82">
        <v>44535</v>
      </c>
      <c r="J671" s="3" t="s">
        <v>142</v>
      </c>
      <c r="K671" s="3" t="s">
        <v>203</v>
      </c>
      <c r="N671" s="3">
        <v>247.17</v>
      </c>
      <c r="O671" s="3">
        <v>172.27</v>
      </c>
      <c r="P671" s="3">
        <v>181.78</v>
      </c>
      <c r="Q671" s="3">
        <v>35.799999999999997</v>
      </c>
      <c r="R671" s="3">
        <v>14.17</v>
      </c>
      <c r="S671" s="3">
        <v>122.88</v>
      </c>
      <c r="T671" s="3">
        <v>93.76</v>
      </c>
      <c r="U671" s="6">
        <v>60.66</v>
      </c>
      <c r="V671" s="6">
        <v>47.05</v>
      </c>
      <c r="W671" s="6">
        <v>63.92</v>
      </c>
      <c r="X671" s="6">
        <v>84.44</v>
      </c>
      <c r="Y671" s="6">
        <v>35.520000000000003</v>
      </c>
      <c r="Z671" s="6">
        <v>100.79</v>
      </c>
      <c r="AA671" s="6">
        <v>79.69</v>
      </c>
      <c r="AB671" s="6">
        <v>73.09</v>
      </c>
      <c r="AC671" s="6">
        <v>19.010000000000002</v>
      </c>
      <c r="AD671" s="6">
        <v>51.32</v>
      </c>
      <c r="AE671" s="3">
        <v>33.549999999999997</v>
      </c>
      <c r="AF671" s="3">
        <v>39.520000000000003</v>
      </c>
      <c r="AG671" s="3">
        <v>37.64</v>
      </c>
      <c r="AH671" s="3">
        <v>39.54</v>
      </c>
      <c r="AI671" s="3">
        <v>1.7</v>
      </c>
      <c r="AL671" s="3">
        <v>5</v>
      </c>
      <c r="AO671" s="3">
        <f>18.08-3.06</f>
        <v>15.019999999999998</v>
      </c>
      <c r="AP671" s="3">
        <f>132.94-12.31</f>
        <v>120.63</v>
      </c>
      <c r="AQ671" s="3">
        <f>59.08-12.19</f>
        <v>46.89</v>
      </c>
      <c r="AR671" s="3">
        <v>55.92</v>
      </c>
      <c r="AT671" s="3"/>
      <c r="AU671" s="3"/>
    </row>
    <row r="672" spans="1:47" x14ac:dyDescent="0.2">
      <c r="A672" s="115">
        <v>670.99999999999932</v>
      </c>
      <c r="B672" s="3" t="s">
        <v>703</v>
      </c>
      <c r="C672" s="3">
        <v>21.670999999999999</v>
      </c>
      <c r="D672" s="131" t="s">
        <v>151</v>
      </c>
      <c r="E672" t="s">
        <v>152</v>
      </c>
      <c r="F672" s="14" t="s">
        <v>153</v>
      </c>
      <c r="G672" s="18"/>
      <c r="H672" s="18"/>
      <c r="I672" s="82">
        <v>44535</v>
      </c>
      <c r="J672" s="3" t="s">
        <v>142</v>
      </c>
      <c r="K672" s="3" t="s">
        <v>203</v>
      </c>
      <c r="N672" s="3">
        <v>232.14</v>
      </c>
      <c r="O672" s="3">
        <v>174.29</v>
      </c>
      <c r="P672" s="3">
        <v>177.43</v>
      </c>
      <c r="Q672" s="3">
        <v>38.020000000000003</v>
      </c>
      <c r="R672" s="3">
        <v>19.329999999999998</v>
      </c>
      <c r="S672" s="3">
        <v>114.51</v>
      </c>
      <c r="T672" s="3">
        <v>92.73</v>
      </c>
      <c r="U672" s="6">
        <v>60.17</v>
      </c>
      <c r="V672" s="6">
        <v>47.07</v>
      </c>
      <c r="W672" s="6">
        <v>69.2</v>
      </c>
      <c r="X672" s="6">
        <v>92.31</v>
      </c>
      <c r="Y672" s="6">
        <v>37.28</v>
      </c>
      <c r="Z672" s="6">
        <v>102.1</v>
      </c>
      <c r="AA672" s="6">
        <v>80.209999999999994</v>
      </c>
      <c r="AB672" s="6">
        <v>74.11</v>
      </c>
      <c r="AC672" s="6">
        <v>17.2</v>
      </c>
      <c r="AD672" s="6">
        <v>49.92</v>
      </c>
      <c r="AE672" s="3">
        <v>29.76</v>
      </c>
      <c r="AF672" s="3">
        <v>40.700000000000003</v>
      </c>
      <c r="AG672" s="3">
        <v>33.47</v>
      </c>
      <c r="AH672" s="3">
        <v>42.63</v>
      </c>
      <c r="AI672" s="3">
        <v>1.9870000000000001</v>
      </c>
      <c r="AL672" s="3">
        <v>3</v>
      </c>
      <c r="AO672" s="3">
        <f>23.04-3.05</f>
        <v>19.989999999999998</v>
      </c>
      <c r="AP672" s="3">
        <f>115.78-13.6</f>
        <v>102.18</v>
      </c>
      <c r="AQ672" s="3">
        <f>63.27-13.38</f>
        <v>49.89</v>
      </c>
      <c r="AR672" s="3">
        <v>51.79</v>
      </c>
      <c r="AT672" s="3"/>
      <c r="AU672" s="3"/>
    </row>
    <row r="673" spans="1:47" x14ac:dyDescent="0.2">
      <c r="A673" s="115">
        <v>672.00000000000057</v>
      </c>
      <c r="B673" s="3" t="s">
        <v>216</v>
      </c>
      <c r="C673" s="3">
        <v>21.672000000000001</v>
      </c>
      <c r="D673" s="139" t="s">
        <v>179</v>
      </c>
      <c r="E673" t="s">
        <v>180</v>
      </c>
      <c r="F673" s="3" t="s">
        <v>181</v>
      </c>
      <c r="G673" s="18"/>
      <c r="H673" s="3" t="s">
        <v>268</v>
      </c>
      <c r="I673" s="82">
        <v>44393</v>
      </c>
      <c r="J673" s="16" t="s">
        <v>142</v>
      </c>
      <c r="K673" s="16" t="s">
        <v>235</v>
      </c>
      <c r="L673"/>
      <c r="M673" s="17">
        <v>265</v>
      </c>
      <c r="N673" s="17">
        <v>264.62</v>
      </c>
      <c r="O673" s="17">
        <v>190.89</v>
      </c>
      <c r="P673" s="17">
        <v>200.6</v>
      </c>
      <c r="Q673" s="17">
        <v>40.85</v>
      </c>
      <c r="R673" s="17">
        <v>27.87</v>
      </c>
      <c r="S673" s="17">
        <v>123.38</v>
      </c>
      <c r="T673" s="17">
        <v>108.76</v>
      </c>
      <c r="U673" s="17">
        <v>59.92</v>
      </c>
      <c r="V673" s="17">
        <v>46.63</v>
      </c>
      <c r="W673" s="17">
        <v>70.349999999999994</v>
      </c>
      <c r="X673" s="17">
        <v>84.06</v>
      </c>
      <c r="Y673" s="17">
        <v>38.01</v>
      </c>
      <c r="Z673" s="17">
        <v>95.29</v>
      </c>
      <c r="AA673" s="17">
        <v>75.3</v>
      </c>
      <c r="AB673" s="17">
        <v>68.42</v>
      </c>
      <c r="AC673" s="17">
        <v>12.79</v>
      </c>
      <c r="AD673" s="17">
        <v>52.4</v>
      </c>
      <c r="AE673" s="17">
        <v>31.16</v>
      </c>
      <c r="AF673" s="17">
        <v>28.34</v>
      </c>
      <c r="AG673" s="17">
        <v>32.94</v>
      </c>
      <c r="AH673" s="17">
        <v>34.270000000000003</v>
      </c>
      <c r="AI673" s="130">
        <v>1.04</v>
      </c>
      <c r="AJ673" s="17">
        <v>44.83</v>
      </c>
      <c r="AK673" s="17"/>
      <c r="AL673" s="17"/>
      <c r="AM673" s="17"/>
      <c r="AN673" s="17">
        <v>142</v>
      </c>
      <c r="AO673" s="17"/>
      <c r="AP673" s="17"/>
      <c r="AQ673" s="17"/>
      <c r="AR673" s="17"/>
      <c r="AS673" s="17"/>
      <c r="AT673" t="s">
        <v>704</v>
      </c>
    </row>
    <row r="674" spans="1:47" x14ac:dyDescent="0.2">
      <c r="A674" s="115">
        <v>672.99999999999829</v>
      </c>
      <c r="B674" s="3" t="s">
        <v>242</v>
      </c>
      <c r="C674" s="3">
        <v>21.672999999999998</v>
      </c>
      <c r="D674" s="139" t="s">
        <v>179</v>
      </c>
      <c r="E674" t="s">
        <v>180</v>
      </c>
      <c r="F674" s="3" t="s">
        <v>181</v>
      </c>
      <c r="G674" s="3">
        <v>8</v>
      </c>
      <c r="H674" s="28"/>
      <c r="I674" s="82">
        <v>44393</v>
      </c>
      <c r="J674" s="16" t="s">
        <v>142</v>
      </c>
      <c r="K674" s="16" t="s">
        <v>235</v>
      </c>
      <c r="L674"/>
      <c r="M674" s="17">
        <v>265</v>
      </c>
      <c r="N674" s="17">
        <v>251.3</v>
      </c>
      <c r="O674" s="17">
        <v>189.98</v>
      </c>
      <c r="P674" s="17">
        <v>196.29</v>
      </c>
      <c r="Q674" s="17">
        <v>38.08</v>
      </c>
      <c r="R674" s="17">
        <v>32.659999999999997</v>
      </c>
      <c r="S674" s="17">
        <v>122.65</v>
      </c>
      <c r="T674" s="17">
        <v>104.83</v>
      </c>
      <c r="U674" s="17">
        <v>62.98</v>
      </c>
      <c r="V674" s="17">
        <v>49.12</v>
      </c>
      <c r="W674" s="17">
        <v>72.59</v>
      </c>
      <c r="X674" s="17">
        <v>83.34</v>
      </c>
      <c r="Y674" s="17">
        <v>38.68</v>
      </c>
      <c r="Z674" s="17">
        <v>94.07</v>
      </c>
      <c r="AA674" s="17">
        <v>78.790000000000006</v>
      </c>
      <c r="AB674" s="17">
        <v>72.760000000000005</v>
      </c>
      <c r="AC674" s="17">
        <v>11.21</v>
      </c>
      <c r="AD674" s="17">
        <v>51.26</v>
      </c>
      <c r="AE674" s="17">
        <v>33.83</v>
      </c>
      <c r="AF674" s="17">
        <v>31.81</v>
      </c>
      <c r="AG674" s="17">
        <v>35.64</v>
      </c>
      <c r="AH674" s="17">
        <v>32</v>
      </c>
      <c r="AI674" s="130">
        <v>1.1200000000000001</v>
      </c>
      <c r="AJ674" s="17">
        <v>35.94</v>
      </c>
      <c r="AK674" s="17"/>
      <c r="AL674" s="17"/>
      <c r="AM674" s="17"/>
      <c r="AN674" s="17">
        <v>120</v>
      </c>
      <c r="AO674" s="17"/>
      <c r="AP674" s="17"/>
      <c r="AQ674" s="17"/>
      <c r="AR674" s="17"/>
      <c r="AS674" s="17"/>
      <c r="AT674" t="s">
        <v>704</v>
      </c>
    </row>
    <row r="675" spans="1:47" x14ac:dyDescent="0.2">
      <c r="A675" s="115">
        <v>673.99999999999955</v>
      </c>
      <c r="B675" s="3" t="s">
        <v>249</v>
      </c>
      <c r="C675" s="3">
        <v>21.673999999999999</v>
      </c>
      <c r="D675" s="139" t="s">
        <v>179</v>
      </c>
      <c r="E675" t="s">
        <v>180</v>
      </c>
      <c r="F675" s="3" t="s">
        <v>181</v>
      </c>
      <c r="G675" s="28"/>
      <c r="H675" s="3" t="s">
        <v>182</v>
      </c>
      <c r="I675" s="82">
        <v>44403</v>
      </c>
      <c r="J675" s="16" t="s">
        <v>142</v>
      </c>
      <c r="K675" s="16" t="s">
        <v>235</v>
      </c>
      <c r="L675"/>
      <c r="M675" s="17">
        <v>285</v>
      </c>
      <c r="N675" s="17">
        <v>277.45</v>
      </c>
      <c r="O675" s="17">
        <v>187.67</v>
      </c>
      <c r="P675" s="17">
        <v>198.76</v>
      </c>
      <c r="Q675" s="17">
        <v>40.47</v>
      </c>
      <c r="R675" s="17">
        <v>22.24</v>
      </c>
      <c r="S675" s="17">
        <v>132.03</v>
      </c>
      <c r="T675" s="17">
        <v>111.41</v>
      </c>
      <c r="U675" s="17">
        <v>63.28</v>
      </c>
      <c r="V675" s="17">
        <v>48.88</v>
      </c>
      <c r="W675" s="17">
        <v>68.67</v>
      </c>
      <c r="X675" s="17">
        <v>78.84</v>
      </c>
      <c r="Y675" s="17">
        <v>39.07</v>
      </c>
      <c r="Z675" s="17">
        <v>90.2</v>
      </c>
      <c r="AA675" s="17">
        <v>73.180000000000007</v>
      </c>
      <c r="AB675" s="17">
        <v>65.75</v>
      </c>
      <c r="AC675" s="17">
        <v>10.95</v>
      </c>
      <c r="AD675" s="17">
        <v>56.74</v>
      </c>
      <c r="AE675" s="17">
        <v>27.66</v>
      </c>
      <c r="AF675" s="17">
        <v>30.45</v>
      </c>
      <c r="AG675" s="17">
        <v>30.9</v>
      </c>
      <c r="AH675" s="17">
        <v>27.68</v>
      </c>
      <c r="AI675" s="17">
        <v>1.55</v>
      </c>
      <c r="AJ675" s="17">
        <v>33.71</v>
      </c>
      <c r="AK675" s="17"/>
      <c r="AL675" s="17"/>
      <c r="AM675" s="17"/>
      <c r="AN675" s="17">
        <v>124</v>
      </c>
      <c r="AO675" s="17"/>
      <c r="AP675" s="17"/>
      <c r="AQ675" s="17"/>
      <c r="AR675" s="17"/>
      <c r="AS675" s="17"/>
      <c r="AT675" t="s">
        <v>704</v>
      </c>
    </row>
    <row r="676" spans="1:47" x14ac:dyDescent="0.2">
      <c r="A676" s="115">
        <v>675.00000000000068</v>
      </c>
      <c r="B676" s="3" t="s">
        <v>243</v>
      </c>
      <c r="C676" s="3">
        <v>21.675000000000001</v>
      </c>
      <c r="D676" s="139" t="s">
        <v>179</v>
      </c>
      <c r="E676" t="s">
        <v>180</v>
      </c>
      <c r="F676" s="3" t="s">
        <v>181</v>
      </c>
      <c r="G676" s="3">
        <v>8</v>
      </c>
      <c r="H676" s="17"/>
      <c r="I676" s="82">
        <v>44383</v>
      </c>
      <c r="J676" s="16" t="s">
        <v>142</v>
      </c>
      <c r="K676" s="16" t="s">
        <v>235</v>
      </c>
      <c r="L676"/>
      <c r="M676" s="17">
        <v>270</v>
      </c>
      <c r="N676" s="17">
        <v>275.82</v>
      </c>
      <c r="O676" s="17">
        <v>191.45</v>
      </c>
      <c r="P676" s="17">
        <v>196.4</v>
      </c>
      <c r="Q676" s="17">
        <v>49.12</v>
      </c>
      <c r="R676" s="17">
        <v>21.87</v>
      </c>
      <c r="S676" s="17">
        <v>129.16999999999999</v>
      </c>
      <c r="T676" s="17">
        <v>107.99</v>
      </c>
      <c r="U676" s="17">
        <v>57.84</v>
      </c>
      <c r="V676" s="17">
        <v>43.5</v>
      </c>
      <c r="W676" s="17">
        <v>69.5</v>
      </c>
      <c r="X676" s="17">
        <v>81.25</v>
      </c>
      <c r="Y676" s="17">
        <v>38.78</v>
      </c>
      <c r="Z676" s="17">
        <v>92.7</v>
      </c>
      <c r="AA676" s="17">
        <v>77.959999999999994</v>
      </c>
      <c r="AB676" s="17">
        <v>65.81</v>
      </c>
      <c r="AC676" s="17">
        <v>13.05</v>
      </c>
      <c r="AD676" s="17">
        <v>55.48</v>
      </c>
      <c r="AE676" s="17">
        <v>28.96</v>
      </c>
      <c r="AF676" s="17">
        <v>33.24</v>
      </c>
      <c r="AG676" s="17">
        <v>33.24</v>
      </c>
      <c r="AH676" s="17">
        <v>40.299999999999997</v>
      </c>
      <c r="AI676" s="17">
        <v>1.623</v>
      </c>
      <c r="AJ676" s="17">
        <v>30.71</v>
      </c>
      <c r="AK676" s="17"/>
      <c r="AL676" s="17"/>
      <c r="AM676" s="17"/>
      <c r="AN676" s="17">
        <v>75</v>
      </c>
      <c r="AO676" s="17"/>
      <c r="AP676" s="17"/>
      <c r="AQ676" s="17"/>
      <c r="AR676" s="17"/>
      <c r="AS676" s="17"/>
      <c r="AT676" t="s">
        <v>704</v>
      </c>
    </row>
    <row r="677" spans="1:47" x14ac:dyDescent="0.2">
      <c r="A677" s="115">
        <v>675.99999999999841</v>
      </c>
      <c r="B677" s="3" t="s">
        <v>217</v>
      </c>
      <c r="C677" s="3">
        <v>21.675999999999998</v>
      </c>
      <c r="D677" s="139" t="s">
        <v>179</v>
      </c>
      <c r="E677" t="s">
        <v>180</v>
      </c>
      <c r="F677" s="3" t="s">
        <v>181</v>
      </c>
      <c r="G677" s="3">
        <v>259</v>
      </c>
      <c r="H677" s="17"/>
      <c r="I677" s="82">
        <v>44403</v>
      </c>
      <c r="J677" s="16" t="s">
        <v>142</v>
      </c>
      <c r="K677" s="16" t="s">
        <v>235</v>
      </c>
      <c r="L677"/>
      <c r="M677" s="17">
        <v>265</v>
      </c>
      <c r="N677" s="17">
        <v>266.36</v>
      </c>
      <c r="O677" s="17">
        <v>189.9</v>
      </c>
      <c r="P677" s="17">
        <v>194.14</v>
      </c>
      <c r="Q677" s="17">
        <v>37.51</v>
      </c>
      <c r="R677" s="17">
        <v>25.48</v>
      </c>
      <c r="S677" s="17">
        <v>123.64</v>
      </c>
      <c r="T677" s="17">
        <v>107.73</v>
      </c>
      <c r="U677" s="17">
        <v>61.77</v>
      </c>
      <c r="V677" s="17">
        <v>48.6</v>
      </c>
      <c r="W677" s="17">
        <v>73.489999999999995</v>
      </c>
      <c r="X677" s="17">
        <v>85.45</v>
      </c>
      <c r="Y677" s="17">
        <v>39.04</v>
      </c>
      <c r="Z677" s="17">
        <v>93.07</v>
      </c>
      <c r="AA677" s="17">
        <v>73.53</v>
      </c>
      <c r="AB677" s="17">
        <v>71.11</v>
      </c>
      <c r="AC677" s="17">
        <v>12.1</v>
      </c>
      <c r="AD677" s="17">
        <v>52.12</v>
      </c>
      <c r="AE677" s="17">
        <v>28.98</v>
      </c>
      <c r="AF677" s="17">
        <v>31.97</v>
      </c>
      <c r="AG677" s="17">
        <v>29.7</v>
      </c>
      <c r="AH677" s="17">
        <v>36.979999999999997</v>
      </c>
      <c r="AI677" s="17">
        <v>1.1000000000000001</v>
      </c>
      <c r="AJ677" s="17">
        <v>44.08</v>
      </c>
      <c r="AK677" s="17"/>
      <c r="AL677" s="17"/>
      <c r="AM677" s="17"/>
      <c r="AN677" s="17">
        <v>128</v>
      </c>
      <c r="AO677" s="17"/>
      <c r="AP677" s="17"/>
      <c r="AQ677" s="17"/>
      <c r="AR677" s="17"/>
      <c r="AS677" s="17"/>
      <c r="AT677" t="s">
        <v>704</v>
      </c>
    </row>
    <row r="678" spans="1:47" x14ac:dyDescent="0.2">
      <c r="A678" s="115">
        <v>676.99999999999955</v>
      </c>
      <c r="B678" s="3" t="s">
        <v>237</v>
      </c>
      <c r="C678" s="3">
        <v>21.677</v>
      </c>
      <c r="D678" s="139" t="s">
        <v>179</v>
      </c>
      <c r="E678" t="s">
        <v>180</v>
      </c>
      <c r="F678" s="3" t="s">
        <v>181</v>
      </c>
      <c r="G678" s="28"/>
      <c r="H678" s="3" t="s">
        <v>182</v>
      </c>
      <c r="I678" s="82">
        <v>44410</v>
      </c>
      <c r="J678" s="16" t="s">
        <v>142</v>
      </c>
      <c r="K678" s="16" t="s">
        <v>235</v>
      </c>
      <c r="L678"/>
      <c r="M678" s="17">
        <v>280</v>
      </c>
      <c r="N678" s="17">
        <v>266.08999999999997</v>
      </c>
      <c r="O678" s="17">
        <v>192.44</v>
      </c>
      <c r="P678" s="17">
        <v>197.39</v>
      </c>
      <c r="Q678" s="17">
        <v>40.76</v>
      </c>
      <c r="R678" s="17">
        <v>22.94</v>
      </c>
      <c r="S678" s="17">
        <v>129.72999999999999</v>
      </c>
      <c r="T678" s="17">
        <v>110.26</v>
      </c>
      <c r="U678" s="17">
        <v>60.63</v>
      </c>
      <c r="V678" s="17">
        <v>44.45</v>
      </c>
      <c r="W678" s="17">
        <v>67.81</v>
      </c>
      <c r="X678" s="17">
        <v>81.849999999999994</v>
      </c>
      <c r="Y678" s="17">
        <v>37.43</v>
      </c>
      <c r="Z678" s="17">
        <v>93.33</v>
      </c>
      <c r="AA678" s="17">
        <v>73.17</v>
      </c>
      <c r="AB678" s="17">
        <v>64.400000000000006</v>
      </c>
      <c r="AC678" s="17">
        <v>14.18</v>
      </c>
      <c r="AD678" s="17">
        <v>54.65</v>
      </c>
      <c r="AE678" s="17">
        <v>27.68</v>
      </c>
      <c r="AF678" s="17">
        <v>34.159999999999997</v>
      </c>
      <c r="AG678" s="17">
        <v>29.79</v>
      </c>
      <c r="AH678" s="17">
        <v>39.01</v>
      </c>
      <c r="AI678" s="17">
        <v>1.333</v>
      </c>
      <c r="AJ678" s="17">
        <v>29.31</v>
      </c>
      <c r="AK678" s="17"/>
      <c r="AL678" s="17"/>
      <c r="AM678" s="17"/>
      <c r="AN678" s="17">
        <v>128</v>
      </c>
      <c r="AO678" s="17"/>
      <c r="AP678" s="17"/>
      <c r="AQ678" s="17"/>
      <c r="AR678" s="17"/>
      <c r="AS678" s="17"/>
      <c r="AT678" t="s">
        <v>704</v>
      </c>
    </row>
    <row r="679" spans="1:47" x14ac:dyDescent="0.2">
      <c r="A679" s="115">
        <v>678.0000000000008</v>
      </c>
      <c r="B679" s="3" t="s">
        <v>211</v>
      </c>
      <c r="C679" s="3">
        <v>21.678000000000001</v>
      </c>
      <c r="D679" s="139" t="s">
        <v>179</v>
      </c>
      <c r="E679" t="s">
        <v>180</v>
      </c>
      <c r="F679" s="3" t="s">
        <v>181</v>
      </c>
      <c r="G679" s="3">
        <v>259</v>
      </c>
      <c r="H679" s="28"/>
      <c r="I679" s="82">
        <v>44393</v>
      </c>
      <c r="J679" s="16" t="s">
        <v>142</v>
      </c>
      <c r="K679" s="16" t="s">
        <v>235</v>
      </c>
      <c r="L679"/>
      <c r="M679" s="17">
        <v>260</v>
      </c>
      <c r="N679" s="17">
        <v>265.64999999999998</v>
      </c>
      <c r="O679" s="17">
        <v>188.53</v>
      </c>
      <c r="P679" s="17">
        <v>195.38</v>
      </c>
      <c r="Q679" s="17">
        <v>40.770000000000003</v>
      </c>
      <c r="R679" s="17">
        <v>31.31</v>
      </c>
      <c r="S679" s="17">
        <v>121.69</v>
      </c>
      <c r="T679" s="17">
        <v>107.46</v>
      </c>
      <c r="U679" s="17">
        <v>61.98</v>
      </c>
      <c r="V679" s="17">
        <v>46.09</v>
      </c>
      <c r="W679" s="17">
        <v>74.430000000000007</v>
      </c>
      <c r="X679" s="17">
        <v>84.75</v>
      </c>
      <c r="Y679" s="17">
        <v>39.119999999999997</v>
      </c>
      <c r="Z679" s="17">
        <v>96</v>
      </c>
      <c r="AA679" s="17">
        <v>78.97</v>
      </c>
      <c r="AB679" s="17">
        <v>71.3</v>
      </c>
      <c r="AC679" s="17">
        <v>11.53</v>
      </c>
      <c r="AD679" s="17">
        <v>50.69</v>
      </c>
      <c r="AE679" s="17">
        <v>31.49</v>
      </c>
      <c r="AF679" s="17">
        <v>37.99</v>
      </c>
      <c r="AG679" s="17">
        <v>31.67</v>
      </c>
      <c r="AH679" s="17">
        <v>38.450000000000003</v>
      </c>
      <c r="AI679" s="17">
        <v>0.95299999999999996</v>
      </c>
      <c r="AJ679" s="17">
        <v>48.29</v>
      </c>
      <c r="AK679" s="17"/>
      <c r="AL679" s="17"/>
      <c r="AM679" s="17"/>
      <c r="AN679" s="17">
        <v>87</v>
      </c>
      <c r="AO679" s="17"/>
      <c r="AP679" s="17"/>
      <c r="AQ679" s="17"/>
      <c r="AR679" s="17"/>
      <c r="AS679" s="17"/>
      <c r="AT679" t="s">
        <v>704</v>
      </c>
    </row>
    <row r="680" spans="1:47" x14ac:dyDescent="0.2">
      <c r="A680" s="115">
        <v>678.99999999999852</v>
      </c>
      <c r="B680" s="3" t="s">
        <v>705</v>
      </c>
      <c r="C680" s="3">
        <v>21.678999999999998</v>
      </c>
      <c r="D680" s="139" t="s">
        <v>179</v>
      </c>
      <c r="E680" t="s">
        <v>180</v>
      </c>
      <c r="F680" s="3" t="s">
        <v>181</v>
      </c>
      <c r="G680" s="17"/>
      <c r="H680" s="3" t="s">
        <v>199</v>
      </c>
      <c r="I680" s="82">
        <v>44403</v>
      </c>
      <c r="J680" s="16" t="s">
        <v>142</v>
      </c>
      <c r="K680" s="16" t="s">
        <v>235</v>
      </c>
      <c r="L680"/>
      <c r="M680" s="17">
        <v>270</v>
      </c>
      <c r="N680" s="17">
        <v>271.27</v>
      </c>
      <c r="O680" s="17">
        <v>189.4</v>
      </c>
      <c r="P680" s="17">
        <v>203.13</v>
      </c>
      <c r="Q680" s="17">
        <v>44.07</v>
      </c>
      <c r="R680" s="17">
        <v>16.21</v>
      </c>
      <c r="S680" s="17">
        <v>133.36000000000001</v>
      </c>
      <c r="T680" s="17">
        <v>102.71</v>
      </c>
      <c r="U680" s="17">
        <v>61.59</v>
      </c>
      <c r="V680" s="17">
        <v>46.39</v>
      </c>
      <c r="W680" s="17">
        <v>67.94</v>
      </c>
      <c r="X680" s="17">
        <v>85.55</v>
      </c>
      <c r="Y680" s="17">
        <v>42.32</v>
      </c>
      <c r="Z680" s="17">
        <v>92.18</v>
      </c>
      <c r="AA680" s="17">
        <v>78.45</v>
      </c>
      <c r="AB680" s="17">
        <v>73.540000000000006</v>
      </c>
      <c r="AC680" s="17">
        <v>5.79</v>
      </c>
      <c r="AD680" s="17">
        <v>51.21</v>
      </c>
      <c r="AE680" s="17">
        <v>26.7</v>
      </c>
      <c r="AF680" s="17">
        <v>39.93</v>
      </c>
      <c r="AG680" s="17">
        <v>28.74</v>
      </c>
      <c r="AH680" s="17">
        <v>43.49</v>
      </c>
      <c r="AI680" s="17">
        <v>1.19</v>
      </c>
      <c r="AJ680" s="17">
        <v>41.91</v>
      </c>
      <c r="AK680" s="17"/>
      <c r="AL680" s="17"/>
      <c r="AM680" s="17"/>
      <c r="AN680" s="17">
        <v>123</v>
      </c>
      <c r="AO680" s="17"/>
      <c r="AP680" s="17"/>
      <c r="AQ680" s="17"/>
      <c r="AR680" s="17"/>
      <c r="AS680" s="17"/>
      <c r="AT680" t="s">
        <v>706</v>
      </c>
    </row>
    <row r="681" spans="1:47" x14ac:dyDescent="0.2">
      <c r="A681" s="115">
        <v>679.99999999999977</v>
      </c>
      <c r="B681" s="3" t="s">
        <v>562</v>
      </c>
      <c r="C681" s="2" t="s">
        <v>41</v>
      </c>
      <c r="D681" s="139" t="s">
        <v>179</v>
      </c>
      <c r="E681" t="s">
        <v>180</v>
      </c>
      <c r="F681" s="3" t="s">
        <v>181</v>
      </c>
      <c r="G681" s="28">
        <v>8</v>
      </c>
      <c r="H681" s="28"/>
      <c r="I681" s="82">
        <v>44403</v>
      </c>
      <c r="J681" s="16" t="s">
        <v>142</v>
      </c>
      <c r="K681" s="16" t="s">
        <v>235</v>
      </c>
      <c r="L681"/>
      <c r="M681" s="17">
        <v>280</v>
      </c>
      <c r="N681" s="17">
        <v>280.99</v>
      </c>
      <c r="O681" s="17">
        <v>198.85</v>
      </c>
      <c r="P681" s="17">
        <v>204.98</v>
      </c>
      <c r="Q681" s="17">
        <v>45.29</v>
      </c>
      <c r="R681" s="17">
        <v>27.7</v>
      </c>
      <c r="S681" s="17">
        <v>127.81</v>
      </c>
      <c r="T681" s="17">
        <v>107.01</v>
      </c>
      <c r="U681" s="17">
        <v>60.71</v>
      </c>
      <c r="V681" s="17">
        <v>48.95</v>
      </c>
      <c r="W681" s="17">
        <v>71.41</v>
      </c>
      <c r="X681" s="17">
        <v>85.19</v>
      </c>
      <c r="Y681" s="17">
        <v>39.71</v>
      </c>
      <c r="Z681" s="17">
        <v>92.92</v>
      </c>
      <c r="AA681" s="17">
        <v>72.55</v>
      </c>
      <c r="AB681" s="17">
        <v>66.89</v>
      </c>
      <c r="AC681" s="17">
        <v>13.73</v>
      </c>
      <c r="AD681" s="17">
        <v>53.57</v>
      </c>
      <c r="AE681" s="17">
        <v>31.77</v>
      </c>
      <c r="AF681" s="17">
        <v>36.1</v>
      </c>
      <c r="AG681" s="17">
        <v>31.72</v>
      </c>
      <c r="AH681" s="17">
        <v>37.880000000000003</v>
      </c>
      <c r="AI681" s="17">
        <v>1.2150000000000001</v>
      </c>
      <c r="AJ681" s="17">
        <v>29.11</v>
      </c>
      <c r="AK681" s="17"/>
      <c r="AL681" s="17"/>
      <c r="AM681" s="17"/>
      <c r="AN681" s="17">
        <v>125</v>
      </c>
      <c r="AO681" s="17"/>
      <c r="AP681" s="17"/>
      <c r="AQ681" s="17"/>
      <c r="AR681" s="17"/>
      <c r="AS681" s="17"/>
      <c r="AT681" t="s">
        <v>704</v>
      </c>
    </row>
    <row r="682" spans="1:47" x14ac:dyDescent="0.2">
      <c r="A682" s="115">
        <v>681.00000000000091</v>
      </c>
      <c r="B682" s="3" t="s">
        <v>270</v>
      </c>
      <c r="C682" s="3">
        <v>21.681000000000001</v>
      </c>
      <c r="D682" s="139" t="s">
        <v>179</v>
      </c>
      <c r="E682" t="s">
        <v>180</v>
      </c>
      <c r="F682" s="3" t="s">
        <v>181</v>
      </c>
      <c r="G682" s="28">
        <v>259</v>
      </c>
      <c r="H682" s="3" t="s">
        <v>268</v>
      </c>
      <c r="I682" s="82">
        <v>44424</v>
      </c>
      <c r="J682" s="16" t="s">
        <v>142</v>
      </c>
      <c r="K682" s="16" t="s">
        <v>235</v>
      </c>
      <c r="L682" s="17"/>
      <c r="M682" s="17"/>
      <c r="N682" s="17">
        <v>271.24</v>
      </c>
      <c r="O682" s="17">
        <v>187.59</v>
      </c>
      <c r="P682" s="17">
        <v>198.27</v>
      </c>
      <c r="Q682" s="17">
        <v>43.01</v>
      </c>
      <c r="R682" s="17">
        <v>21.76</v>
      </c>
      <c r="S682" s="17">
        <v>129.26</v>
      </c>
      <c r="T682" s="17">
        <v>104.11</v>
      </c>
      <c r="U682" s="50">
        <v>61.64</v>
      </c>
      <c r="V682" s="50">
        <v>46.77</v>
      </c>
      <c r="W682" s="50">
        <v>69.069999999999993</v>
      </c>
      <c r="X682" s="50">
        <v>86.05</v>
      </c>
      <c r="Y682" s="50">
        <v>39.42</v>
      </c>
      <c r="Z682" s="50">
        <v>96.28</v>
      </c>
      <c r="AA682" s="50">
        <v>81.42</v>
      </c>
      <c r="AB682" s="50">
        <v>72.12</v>
      </c>
      <c r="AC682" s="50">
        <v>10.96</v>
      </c>
      <c r="AD682" s="50">
        <v>51.07</v>
      </c>
      <c r="AE682" s="17">
        <v>32.270000000000003</v>
      </c>
      <c r="AF682" s="17">
        <v>32.799999999999997</v>
      </c>
      <c r="AG682" s="17">
        <v>37.75</v>
      </c>
      <c r="AH682" s="17">
        <v>44.46</v>
      </c>
      <c r="AI682" s="17">
        <v>1.2430000000000001</v>
      </c>
      <c r="AJ682" s="17">
        <v>41.28</v>
      </c>
      <c r="AK682" s="17"/>
      <c r="AL682" s="17"/>
      <c r="AM682" s="17"/>
      <c r="AN682" s="17">
        <v>116</v>
      </c>
      <c r="AO682" s="17"/>
      <c r="AP682" s="17"/>
      <c r="AQ682" s="17"/>
      <c r="AR682" s="17"/>
      <c r="AS682" s="17"/>
      <c r="AT682" s="3" t="s">
        <v>707</v>
      </c>
      <c r="AU682" s="3"/>
    </row>
    <row r="683" spans="1:47" x14ac:dyDescent="0.2">
      <c r="A683" s="115">
        <v>681.99999999999864</v>
      </c>
      <c r="B683" s="3" t="s">
        <v>269</v>
      </c>
      <c r="C683" s="3">
        <v>21.681999999999999</v>
      </c>
      <c r="D683" s="139" t="s">
        <v>179</v>
      </c>
      <c r="E683" t="s">
        <v>180</v>
      </c>
      <c r="F683" s="3" t="s">
        <v>181</v>
      </c>
      <c r="G683" s="28"/>
      <c r="H683" s="3" t="s">
        <v>182</v>
      </c>
      <c r="I683" s="82">
        <v>44424</v>
      </c>
      <c r="J683" s="16" t="s">
        <v>142</v>
      </c>
      <c r="K683" s="16" t="s">
        <v>235</v>
      </c>
      <c r="L683"/>
      <c r="M683" s="17"/>
      <c r="N683" s="17">
        <v>270.11</v>
      </c>
      <c r="O683" s="17">
        <v>194.73</v>
      </c>
      <c r="P683" s="17">
        <v>206.76</v>
      </c>
      <c r="Q683" s="17">
        <v>53.88</v>
      </c>
      <c r="R683" s="17">
        <v>20.260000000000002</v>
      </c>
      <c r="S683" s="17">
        <v>129.19999999999999</v>
      </c>
      <c r="T683" s="17">
        <v>112.41</v>
      </c>
      <c r="U683" s="50">
        <v>57.57</v>
      </c>
      <c r="V683" s="50">
        <v>44.7</v>
      </c>
      <c r="W683" s="50">
        <v>66.38</v>
      </c>
      <c r="X683" s="50">
        <v>79.95</v>
      </c>
      <c r="Y683" s="50">
        <v>37.93</v>
      </c>
      <c r="Z683" s="50">
        <v>93.58</v>
      </c>
      <c r="AA683" s="50">
        <v>74.790000000000006</v>
      </c>
      <c r="AB683" s="50">
        <v>66.02</v>
      </c>
      <c r="AC683" s="50">
        <v>15.51</v>
      </c>
      <c r="AD683" s="50">
        <v>53.33</v>
      </c>
      <c r="AE683" s="17">
        <v>29.61</v>
      </c>
      <c r="AF683" s="17">
        <v>43.93</v>
      </c>
      <c r="AG683" s="17">
        <v>31.4</v>
      </c>
      <c r="AH683" s="17">
        <v>46.87</v>
      </c>
      <c r="AI683" s="17">
        <v>1.466</v>
      </c>
      <c r="AJ683" s="17">
        <v>26.9</v>
      </c>
      <c r="AK683" s="17"/>
      <c r="AL683" s="17"/>
      <c r="AM683" s="17"/>
      <c r="AN683" s="17">
        <v>141</v>
      </c>
      <c r="AO683" s="17"/>
      <c r="AP683" s="17"/>
      <c r="AQ683" s="17"/>
      <c r="AR683" s="17"/>
      <c r="AS683" s="17"/>
      <c r="AT683" s="3" t="s">
        <v>707</v>
      </c>
      <c r="AU683" s="3"/>
    </row>
    <row r="684" spans="1:47" x14ac:dyDescent="0.2">
      <c r="A684" s="115">
        <v>682.99999999999977</v>
      </c>
      <c r="B684" s="3" t="s">
        <v>272</v>
      </c>
      <c r="C684" s="3">
        <v>21.683</v>
      </c>
      <c r="D684" s="139" t="s">
        <v>179</v>
      </c>
      <c r="E684" t="s">
        <v>180</v>
      </c>
      <c r="F684" s="3" t="s">
        <v>181</v>
      </c>
      <c r="H684" s="3" t="s">
        <v>268</v>
      </c>
      <c r="I684" s="82">
        <v>44430</v>
      </c>
      <c r="J684" s="16" t="s">
        <v>142</v>
      </c>
      <c r="K684" s="16" t="s">
        <v>235</v>
      </c>
      <c r="L684" s="17"/>
      <c r="M684" s="17"/>
      <c r="N684" s="17">
        <v>278.43</v>
      </c>
      <c r="O684" s="17">
        <v>190.9</v>
      </c>
      <c r="P684" s="17">
        <v>198.87</v>
      </c>
      <c r="Q684" s="17">
        <v>44.34</v>
      </c>
      <c r="R684" s="17">
        <v>25.26</v>
      </c>
      <c r="S684" s="17">
        <v>128.12</v>
      </c>
      <c r="T684" s="17">
        <v>100.7</v>
      </c>
      <c r="U684" s="50">
        <v>67.53</v>
      </c>
      <c r="V684" s="50">
        <v>46.95</v>
      </c>
      <c r="W684" s="50">
        <v>7.14</v>
      </c>
      <c r="X684" s="50">
        <v>86.65</v>
      </c>
      <c r="Y684" s="50">
        <v>40.33</v>
      </c>
      <c r="Z684" s="50">
        <v>99.17</v>
      </c>
      <c r="AA684" s="50">
        <v>82.84</v>
      </c>
      <c r="AB684" s="50">
        <v>76.400000000000006</v>
      </c>
      <c r="AC684" s="50">
        <v>13.74</v>
      </c>
      <c r="AD684" s="50">
        <v>53.05</v>
      </c>
      <c r="AE684" s="17">
        <v>36.89</v>
      </c>
      <c r="AF684" s="17">
        <v>42.4</v>
      </c>
      <c r="AG684" s="17">
        <v>41.08</v>
      </c>
      <c r="AH684" s="17">
        <v>44.27</v>
      </c>
      <c r="AI684" s="17">
        <v>1.3160000000000001</v>
      </c>
      <c r="AJ684" s="17">
        <v>41.35</v>
      </c>
      <c r="AK684" s="17"/>
      <c r="AL684" s="17"/>
      <c r="AM684" s="17"/>
      <c r="AN684" s="17">
        <v>130</v>
      </c>
      <c r="AO684" s="17"/>
      <c r="AP684" s="17"/>
      <c r="AQ684" s="17"/>
      <c r="AR684" s="17"/>
      <c r="AS684" s="17"/>
      <c r="AT684" s="3" t="s">
        <v>707</v>
      </c>
      <c r="AU684" s="3"/>
    </row>
    <row r="685" spans="1:47" x14ac:dyDescent="0.2">
      <c r="A685" s="115">
        <v>684.00000000000102</v>
      </c>
      <c r="B685" s="3" t="s">
        <v>271</v>
      </c>
      <c r="C685" s="3">
        <v>21.684000000000001</v>
      </c>
      <c r="D685" s="139" t="s">
        <v>179</v>
      </c>
      <c r="E685" t="s">
        <v>180</v>
      </c>
      <c r="F685" s="3" t="s">
        <v>181</v>
      </c>
      <c r="H685" s="3" t="s">
        <v>268</v>
      </c>
      <c r="I685" s="82">
        <v>44424</v>
      </c>
      <c r="J685" s="16" t="s">
        <v>142</v>
      </c>
      <c r="K685" s="16" t="s">
        <v>235</v>
      </c>
      <c r="L685"/>
      <c r="M685" s="17"/>
      <c r="N685">
        <v>256.48</v>
      </c>
      <c r="O685">
        <v>45.18</v>
      </c>
      <c r="P685">
        <v>192.51</v>
      </c>
      <c r="Q685">
        <v>199.91</v>
      </c>
      <c r="R685">
        <v>21.6</v>
      </c>
      <c r="S685">
        <v>128.36000000000001</v>
      </c>
      <c r="T685">
        <v>103.75</v>
      </c>
      <c r="U685">
        <v>59.19</v>
      </c>
      <c r="V685">
        <v>44.91</v>
      </c>
      <c r="W685">
        <v>68.319999999999993</v>
      </c>
      <c r="X685">
        <v>84.19</v>
      </c>
      <c r="Y685">
        <v>37.78</v>
      </c>
      <c r="Z685">
        <v>95.58</v>
      </c>
      <c r="AA685">
        <v>80.260000000000005</v>
      </c>
      <c r="AB685">
        <v>68.819999999999993</v>
      </c>
      <c r="AC685">
        <v>10.39</v>
      </c>
      <c r="AD685">
        <v>50.42</v>
      </c>
      <c r="AE685">
        <v>34.93</v>
      </c>
      <c r="AF685">
        <v>39.299999999999997</v>
      </c>
      <c r="AG685">
        <v>35.18</v>
      </c>
      <c r="AH685">
        <v>44.65</v>
      </c>
      <c r="AI685" s="17">
        <v>1.2769999999999999</v>
      </c>
      <c r="AJ685" s="17">
        <v>39.21</v>
      </c>
      <c r="AK685" s="17"/>
      <c r="AL685"/>
      <c r="AM685"/>
      <c r="AN685" s="17">
        <v>98.88</v>
      </c>
      <c r="AO685"/>
      <c r="AP685"/>
      <c r="AQ685"/>
      <c r="AR685"/>
      <c r="AS685"/>
      <c r="AT685" s="17" t="s">
        <v>708</v>
      </c>
      <c r="AU685" s="17"/>
    </row>
    <row r="686" spans="1:47" x14ac:dyDescent="0.2">
      <c r="A686" s="115">
        <v>684.99999999999875</v>
      </c>
      <c r="B686" s="152" t="s">
        <v>285</v>
      </c>
      <c r="C686" s="3">
        <v>21.684999999999999</v>
      </c>
      <c r="D686" s="139" t="s">
        <v>179</v>
      </c>
      <c r="E686" t="s">
        <v>180</v>
      </c>
      <c r="F686" s="3" t="s">
        <v>181</v>
      </c>
      <c r="G686" s="3">
        <v>8</v>
      </c>
      <c r="I686" s="82">
        <v>44430</v>
      </c>
      <c r="J686" s="16" t="s">
        <v>142</v>
      </c>
      <c r="K686" s="16" t="s">
        <v>235</v>
      </c>
      <c r="L686" s="17"/>
      <c r="M686" s="17"/>
      <c r="N686" s="17">
        <v>281.61</v>
      </c>
      <c r="O686" s="17">
        <v>200.79</v>
      </c>
      <c r="P686" s="17">
        <v>206.75</v>
      </c>
      <c r="Q686" s="17">
        <v>53.43</v>
      </c>
      <c r="R686" s="17">
        <v>27.11</v>
      </c>
      <c r="S686" s="17">
        <v>132.07</v>
      </c>
      <c r="T686" s="17">
        <v>110.5</v>
      </c>
      <c r="U686" s="50">
        <v>57.84</v>
      </c>
      <c r="V686" s="50">
        <v>45.28</v>
      </c>
      <c r="W686" s="50">
        <v>69.16</v>
      </c>
      <c r="X686" s="50">
        <v>84.08</v>
      </c>
      <c r="Y686" s="50">
        <v>40.92</v>
      </c>
      <c r="Z686" s="50">
        <v>94.62</v>
      </c>
      <c r="AA686" s="50">
        <v>77.81</v>
      </c>
      <c r="AB686" s="50">
        <v>63.89</v>
      </c>
      <c r="AC686" s="50">
        <v>9.83</v>
      </c>
      <c r="AD686" s="50">
        <v>55.29</v>
      </c>
      <c r="AE686" s="17">
        <v>31.17</v>
      </c>
      <c r="AF686" s="17">
        <v>38.15</v>
      </c>
      <c r="AG686" s="17">
        <v>33.64</v>
      </c>
      <c r="AH686" s="17">
        <v>45.03</v>
      </c>
      <c r="AI686" s="17">
        <v>1.4339999999999999</v>
      </c>
      <c r="AJ686" s="17">
        <v>29.68</v>
      </c>
      <c r="AK686" s="17"/>
      <c r="AL686" s="17"/>
      <c r="AM686" s="17"/>
      <c r="AN686" s="17">
        <v>149</v>
      </c>
      <c r="AO686" s="17"/>
      <c r="AP686" s="17"/>
      <c r="AQ686" s="17"/>
      <c r="AR686" s="17"/>
      <c r="AS686" s="17"/>
      <c r="AT686" s="17" t="s">
        <v>708</v>
      </c>
      <c r="AU686" s="17"/>
    </row>
    <row r="687" spans="1:47" x14ac:dyDescent="0.2">
      <c r="A687" s="115">
        <v>686</v>
      </c>
      <c r="B687" s="3" t="s">
        <v>267</v>
      </c>
      <c r="C687" s="3">
        <v>21.686</v>
      </c>
      <c r="D687" s="139" t="s">
        <v>179</v>
      </c>
      <c r="E687" t="s">
        <v>180</v>
      </c>
      <c r="F687" s="3" t="s">
        <v>181</v>
      </c>
      <c r="H687" s="3" t="s">
        <v>268</v>
      </c>
      <c r="I687" s="82">
        <v>44424</v>
      </c>
      <c r="J687" s="16" t="s">
        <v>142</v>
      </c>
      <c r="K687" s="16" t="s">
        <v>206</v>
      </c>
      <c r="L687" s="17"/>
      <c r="M687" s="17"/>
      <c r="N687" s="17">
        <v>231.52</v>
      </c>
      <c r="O687" s="17">
        <v>192.88</v>
      </c>
      <c r="P687" s="17">
        <v>201.09</v>
      </c>
      <c r="Q687" s="17">
        <v>45.8</v>
      </c>
      <c r="R687" s="17">
        <v>21.9</v>
      </c>
      <c r="S687" s="17">
        <v>128.93</v>
      </c>
      <c r="T687" s="17">
        <v>106.98</v>
      </c>
      <c r="U687" s="50">
        <v>60.37</v>
      </c>
      <c r="V687" s="50">
        <v>45.37</v>
      </c>
      <c r="W687" s="50">
        <v>68.09</v>
      </c>
      <c r="X687" s="50">
        <v>81.209999999999994</v>
      </c>
      <c r="Y687" s="50">
        <v>39.58</v>
      </c>
      <c r="Z687" s="50">
        <v>94.06</v>
      </c>
      <c r="AA687" s="50">
        <v>76.86</v>
      </c>
      <c r="AB687" s="50">
        <v>68.569999999999993</v>
      </c>
      <c r="AC687" s="50">
        <v>10.74</v>
      </c>
      <c r="AD687" s="50">
        <v>48.14</v>
      </c>
      <c r="AE687" s="17">
        <v>31.67</v>
      </c>
      <c r="AF687" s="17">
        <v>41.39</v>
      </c>
      <c r="AG687" s="17">
        <v>34.53</v>
      </c>
      <c r="AH687" s="17">
        <v>47.06</v>
      </c>
      <c r="AI687" s="17">
        <v>1.244</v>
      </c>
      <c r="AJ687" s="17">
        <v>1.49</v>
      </c>
      <c r="AK687" s="17"/>
      <c r="AL687" s="17"/>
      <c r="AM687" s="17"/>
      <c r="AN687" s="17">
        <v>123</v>
      </c>
      <c r="AO687" s="17"/>
      <c r="AP687" s="17"/>
      <c r="AQ687" s="17"/>
      <c r="AR687" s="17"/>
      <c r="AS687" s="17"/>
      <c r="AT687" s="17" t="s">
        <v>708</v>
      </c>
      <c r="AU687" s="17"/>
    </row>
    <row r="688" spans="1:47" x14ac:dyDescent="0.2">
      <c r="A688" s="115">
        <v>687.00000000000114</v>
      </c>
      <c r="B688" s="3" t="s">
        <v>282</v>
      </c>
      <c r="C688" s="3">
        <v>21.687000000000001</v>
      </c>
      <c r="D688" s="139" t="s">
        <v>179</v>
      </c>
      <c r="E688" t="s">
        <v>180</v>
      </c>
      <c r="F688" s="3" t="s">
        <v>181</v>
      </c>
      <c r="G688" s="3">
        <v>8</v>
      </c>
      <c r="I688" s="82">
        <v>44432</v>
      </c>
      <c r="J688" s="16" t="s">
        <v>142</v>
      </c>
      <c r="K688" s="17" t="s">
        <v>235</v>
      </c>
      <c r="L688"/>
      <c r="M688" s="17"/>
      <c r="N688" s="17">
        <v>249.85</v>
      </c>
      <c r="O688">
        <v>197.6</v>
      </c>
      <c r="P688">
        <v>206.75</v>
      </c>
      <c r="Q688">
        <v>43.03</v>
      </c>
      <c r="R688">
        <v>29.09</v>
      </c>
      <c r="S688">
        <v>132.36000000000001</v>
      </c>
      <c r="T688">
        <v>108.95</v>
      </c>
      <c r="U688">
        <v>58.78</v>
      </c>
      <c r="V688">
        <v>47.63</v>
      </c>
      <c r="W688">
        <v>69.81</v>
      </c>
      <c r="X688">
        <v>81.83</v>
      </c>
      <c r="Y688">
        <v>39.520000000000003</v>
      </c>
      <c r="Z688">
        <v>92.51</v>
      </c>
      <c r="AA688">
        <v>76.91</v>
      </c>
      <c r="AB688">
        <v>63.31</v>
      </c>
      <c r="AC688">
        <v>14.56</v>
      </c>
      <c r="AD688">
        <v>54.11</v>
      </c>
      <c r="AE688">
        <v>26.92</v>
      </c>
      <c r="AF688">
        <v>41.49</v>
      </c>
      <c r="AG688">
        <v>32.270000000000003</v>
      </c>
      <c r="AH688">
        <v>41.29</v>
      </c>
      <c r="AI688" s="17">
        <v>1.1859999999999999</v>
      </c>
      <c r="AJ688" s="17">
        <v>31.75</v>
      </c>
      <c r="AK688" s="17"/>
      <c r="AL688"/>
      <c r="AM688"/>
      <c r="AN688" s="17">
        <v>123</v>
      </c>
      <c r="AO688"/>
      <c r="AP688"/>
      <c r="AQ688"/>
      <c r="AR688"/>
      <c r="AS688"/>
      <c r="AT688" s="17" t="s">
        <v>708</v>
      </c>
      <c r="AU688" s="17"/>
    </row>
    <row r="689" spans="1:47" x14ac:dyDescent="0.2">
      <c r="A689" s="115">
        <v>687.99999999999886</v>
      </c>
      <c r="B689" s="3">
        <v>149</v>
      </c>
      <c r="C689" s="3">
        <v>21.687999999999999</v>
      </c>
      <c r="D689" s="129" t="s">
        <v>140</v>
      </c>
      <c r="E689" t="s">
        <v>141</v>
      </c>
      <c r="F689" s="3" t="s">
        <v>61</v>
      </c>
      <c r="G689" s="3" t="s">
        <v>61</v>
      </c>
      <c r="H689" s="3" t="s">
        <v>61</v>
      </c>
      <c r="I689" s="82">
        <v>44481</v>
      </c>
      <c r="J689" s="16" t="s">
        <v>142</v>
      </c>
      <c r="K689" s="17" t="s">
        <v>235</v>
      </c>
      <c r="L689" s="17"/>
      <c r="M689" s="17"/>
      <c r="N689" s="17">
        <v>244.02</v>
      </c>
      <c r="O689" s="17">
        <v>190.37</v>
      </c>
      <c r="P689" s="17">
        <v>195.93</v>
      </c>
      <c r="Q689" s="17">
        <v>40.020000000000003</v>
      </c>
      <c r="R689" s="17">
        <v>30.53</v>
      </c>
      <c r="S689" s="17">
        <v>128.21</v>
      </c>
      <c r="T689" s="17">
        <v>99.92</v>
      </c>
      <c r="U689" s="50">
        <v>54.13</v>
      </c>
      <c r="V689" s="50">
        <v>44.33</v>
      </c>
      <c r="W689" s="50">
        <v>63.93</v>
      </c>
      <c r="X689" s="50">
        <v>80.41</v>
      </c>
      <c r="Y689" s="50">
        <v>33.35</v>
      </c>
      <c r="Z689" s="50">
        <v>89.67</v>
      </c>
      <c r="AA689" s="50">
        <v>75.7</v>
      </c>
      <c r="AB689" s="50">
        <v>64.150000000000006</v>
      </c>
      <c r="AC689" s="50">
        <v>12.01</v>
      </c>
      <c r="AD689" s="50">
        <v>54.54</v>
      </c>
      <c r="AE689" s="17">
        <v>38.770000000000003</v>
      </c>
      <c r="AF689" s="17">
        <v>35.04</v>
      </c>
      <c r="AG689" s="17">
        <v>36.89</v>
      </c>
      <c r="AH689" s="17">
        <v>38.479999999999997</v>
      </c>
      <c r="AI689" s="17">
        <v>0.94299999999999995</v>
      </c>
      <c r="AJ689" s="17">
        <v>50.65</v>
      </c>
      <c r="AK689" s="17"/>
      <c r="AL689" s="17"/>
      <c r="AM689" s="17">
        <v>60</v>
      </c>
      <c r="AN689" s="17">
        <v>44</v>
      </c>
      <c r="AO689" s="17"/>
      <c r="AP689" s="17"/>
      <c r="AQ689" s="17"/>
      <c r="AR689" s="17"/>
      <c r="AS689" s="17"/>
      <c r="AT689" s="17" t="s">
        <v>708</v>
      </c>
      <c r="AU689" s="17"/>
    </row>
    <row r="690" spans="1:47" x14ac:dyDescent="0.2">
      <c r="A690" s="115">
        <v>689</v>
      </c>
      <c r="B690" s="3">
        <v>147</v>
      </c>
      <c r="C690" s="3">
        <v>21.689</v>
      </c>
      <c r="D690" s="129" t="s">
        <v>140</v>
      </c>
      <c r="E690" t="s">
        <v>141</v>
      </c>
      <c r="F690" s="3" t="s">
        <v>61</v>
      </c>
      <c r="G690" t="s">
        <v>61</v>
      </c>
      <c r="H690" s="3" t="s">
        <v>61</v>
      </c>
      <c r="I690" s="81">
        <v>44480</v>
      </c>
      <c r="J690" s="16" t="s">
        <v>142</v>
      </c>
      <c r="K690" s="17" t="s">
        <v>235</v>
      </c>
      <c r="L690" s="17"/>
      <c r="M690" s="17"/>
      <c r="N690" s="17">
        <v>247.17</v>
      </c>
      <c r="O690" s="17">
        <v>183.79</v>
      </c>
      <c r="P690" s="17">
        <v>186.8</v>
      </c>
      <c r="Q690" s="17">
        <v>35.96</v>
      </c>
      <c r="R690" s="17">
        <v>28.97</v>
      </c>
      <c r="S690" s="17">
        <v>127.77</v>
      </c>
      <c r="T690" s="17">
        <v>102.07</v>
      </c>
      <c r="U690" s="50">
        <v>61.36</v>
      </c>
      <c r="V690" s="50">
        <v>45.39</v>
      </c>
      <c r="W690" s="50">
        <v>64.040000000000006</v>
      </c>
      <c r="X690" s="50">
        <v>81.7</v>
      </c>
      <c r="Y690" s="50">
        <v>35.36</v>
      </c>
      <c r="Z690" s="50">
        <v>89.73</v>
      </c>
      <c r="AA690" s="50">
        <v>78.09</v>
      </c>
      <c r="AB690" s="50">
        <v>73.39</v>
      </c>
      <c r="AC690" s="50">
        <v>15.23</v>
      </c>
      <c r="AD690" s="50">
        <v>54.33</v>
      </c>
      <c r="AE690" s="17">
        <v>41.72</v>
      </c>
      <c r="AF690" s="17">
        <v>36.479999999999997</v>
      </c>
      <c r="AG690" s="17">
        <v>38.54</v>
      </c>
      <c r="AH690" s="17">
        <v>37.700000000000003</v>
      </c>
      <c r="AI690" s="17">
        <v>1.048</v>
      </c>
      <c r="AJ690" s="17">
        <v>51.54</v>
      </c>
      <c r="AK690" s="17"/>
      <c r="AL690" s="17"/>
      <c r="AM690" s="17"/>
      <c r="AN690" s="17">
        <v>106</v>
      </c>
      <c r="AO690" s="17"/>
      <c r="AP690" s="17"/>
      <c r="AQ690" s="17"/>
      <c r="AR690" s="17"/>
      <c r="AS690" s="17"/>
      <c r="AT690" s="17" t="s">
        <v>708</v>
      </c>
      <c r="AU690" s="17"/>
    </row>
    <row r="691" spans="1:47" x14ac:dyDescent="0.2">
      <c r="A691" s="115">
        <v>690.00000000000125</v>
      </c>
      <c r="B691" s="3">
        <v>139</v>
      </c>
      <c r="C691" s="2" t="s">
        <v>58</v>
      </c>
      <c r="D691" s="129" t="s">
        <v>140</v>
      </c>
      <c r="E691" t="s">
        <v>141</v>
      </c>
      <c r="F691" s="3" t="s">
        <v>61</v>
      </c>
      <c r="G691"/>
      <c r="H691" s="3" t="s">
        <v>61</v>
      </c>
      <c r="I691" s="81">
        <v>44479</v>
      </c>
      <c r="J691" s="16" t="s">
        <v>142</v>
      </c>
      <c r="K691" s="17" t="s">
        <v>235</v>
      </c>
      <c r="L691" s="17"/>
      <c r="M691" s="17"/>
      <c r="N691" s="17">
        <v>242.49</v>
      </c>
      <c r="O691" s="17">
        <v>183.85</v>
      </c>
      <c r="P691" s="17">
        <v>189.75</v>
      </c>
      <c r="Q691" s="17">
        <v>37.43</v>
      </c>
      <c r="R691" s="17">
        <v>31.82</v>
      </c>
      <c r="S691" s="17">
        <v>124.29</v>
      </c>
      <c r="T691" s="17">
        <v>98.05</v>
      </c>
      <c r="U691" s="50">
        <v>60.18</v>
      </c>
      <c r="V691" s="50">
        <v>46.87</v>
      </c>
      <c r="W691" s="50">
        <v>66.680000000000007</v>
      </c>
      <c r="X691" s="50">
        <v>8.35</v>
      </c>
      <c r="Y691" s="50">
        <v>38.01</v>
      </c>
      <c r="Z691" s="50">
        <v>90.57</v>
      </c>
      <c r="AA691" s="50">
        <v>76.97</v>
      </c>
      <c r="AB691" s="50">
        <v>66.760000000000005</v>
      </c>
      <c r="AC691" s="50">
        <v>11.96</v>
      </c>
      <c r="AD691" s="50">
        <v>54.25</v>
      </c>
      <c r="AE691" s="17">
        <v>36.26</v>
      </c>
      <c r="AF691" s="17">
        <v>36.26</v>
      </c>
      <c r="AG691" s="17">
        <v>36.26</v>
      </c>
      <c r="AH691" s="17">
        <v>33.82</v>
      </c>
      <c r="AI691" s="17">
        <v>1.0069999999999999</v>
      </c>
      <c r="AJ691" s="17">
        <v>48.04</v>
      </c>
      <c r="AK691" s="17"/>
      <c r="AL691" s="17"/>
      <c r="AM691" s="17"/>
      <c r="AN691" s="17">
        <v>114</v>
      </c>
      <c r="AO691" s="17"/>
      <c r="AP691" s="17"/>
      <c r="AQ691" s="17"/>
      <c r="AR691" s="17"/>
      <c r="AS691" s="17"/>
      <c r="AT691" s="17" t="s">
        <v>708</v>
      </c>
      <c r="AU691" s="17"/>
    </row>
    <row r="692" spans="1:47" x14ac:dyDescent="0.2">
      <c r="A692" s="115">
        <v>690.99999999999898</v>
      </c>
      <c r="B692" s="3">
        <v>38</v>
      </c>
      <c r="C692" s="3">
        <v>21.690999999999999</v>
      </c>
      <c r="D692" s="65" t="s">
        <v>148</v>
      </c>
      <c r="E692" t="s">
        <v>229</v>
      </c>
      <c r="F692" s="3" t="s">
        <v>688</v>
      </c>
      <c r="G692" s="3" t="s">
        <v>688</v>
      </c>
      <c r="H692"/>
      <c r="I692" s="153">
        <v>44518</v>
      </c>
      <c r="J692" s="17" t="s">
        <v>142</v>
      </c>
      <c r="K692" s="17" t="s">
        <v>235</v>
      </c>
      <c r="L692" s="123">
        <v>246</v>
      </c>
      <c r="M692" s="17"/>
      <c r="N692" s="17">
        <v>253.72</v>
      </c>
      <c r="O692" s="17">
        <v>166.31</v>
      </c>
      <c r="P692" s="17">
        <v>168.5</v>
      </c>
      <c r="Q692" s="17">
        <v>35.520000000000003</v>
      </c>
      <c r="R692" s="17">
        <v>15.71</v>
      </c>
      <c r="S692" s="17">
        <v>117.35</v>
      </c>
      <c r="T692" s="17">
        <v>94.92</v>
      </c>
      <c r="U692" s="50">
        <v>60.52</v>
      </c>
      <c r="V692" s="50">
        <v>48.75</v>
      </c>
      <c r="W692" s="50">
        <v>64.819999999999993</v>
      </c>
      <c r="X692" s="50">
        <v>83.91</v>
      </c>
      <c r="Y692" s="50">
        <v>40.17</v>
      </c>
      <c r="Z692" s="50">
        <v>95.62</v>
      </c>
      <c r="AA692" s="50">
        <v>82.65</v>
      </c>
      <c r="AB692" s="50">
        <v>73.53</v>
      </c>
      <c r="AC692" s="50">
        <v>14.35</v>
      </c>
      <c r="AD692" s="50">
        <v>56.05</v>
      </c>
      <c r="AE692" s="17">
        <v>27.52</v>
      </c>
      <c r="AF692" s="17">
        <v>27.53</v>
      </c>
      <c r="AG692" s="17">
        <v>36.130000000000003</v>
      </c>
      <c r="AH692" s="17">
        <v>31.38</v>
      </c>
      <c r="AI692" s="17">
        <v>1.4</v>
      </c>
      <c r="AJ692" s="17">
        <v>35.64</v>
      </c>
      <c r="AK692" s="17"/>
      <c r="AL692" s="17"/>
      <c r="AM692" s="17"/>
      <c r="AN692" s="17">
        <v>120</v>
      </c>
      <c r="AO692" s="17"/>
      <c r="AP692" s="17"/>
      <c r="AQ692" s="17"/>
      <c r="AR692" s="17"/>
      <c r="AS692" s="17"/>
      <c r="AT692" s="17" t="s">
        <v>708</v>
      </c>
      <c r="AU692" s="17"/>
    </row>
    <row r="693" spans="1:47" x14ac:dyDescent="0.2">
      <c r="A693" s="115">
        <v>692.00000000000023</v>
      </c>
      <c r="B693" s="3">
        <v>78</v>
      </c>
      <c r="C693" s="3">
        <v>21.692</v>
      </c>
      <c r="D693" s="65" t="s">
        <v>148</v>
      </c>
      <c r="E693" t="s">
        <v>229</v>
      </c>
      <c r="F693" s="3" t="s">
        <v>688</v>
      </c>
      <c r="G693" s="3" t="s">
        <v>688</v>
      </c>
      <c r="H693"/>
      <c r="I693" s="153">
        <v>44523</v>
      </c>
      <c r="J693" s="17" t="s">
        <v>142</v>
      </c>
      <c r="K693" s="17" t="s">
        <v>235</v>
      </c>
      <c r="L693" s="123">
        <v>246</v>
      </c>
      <c r="M693" s="17"/>
      <c r="N693" s="17">
        <v>252.94</v>
      </c>
      <c r="O693" s="17">
        <v>163.01</v>
      </c>
      <c r="P693" s="17">
        <v>173.45</v>
      </c>
      <c r="Q693" s="17">
        <v>36.31</v>
      </c>
      <c r="R693" s="17">
        <v>17.61</v>
      </c>
      <c r="S693" s="17">
        <v>117.07</v>
      </c>
      <c r="T693" s="17">
        <v>95.64</v>
      </c>
      <c r="U693" s="50">
        <v>63.26</v>
      </c>
      <c r="V693" s="50">
        <v>50.8</v>
      </c>
      <c r="W693" s="50">
        <v>70.19</v>
      </c>
      <c r="X693" s="50">
        <v>85.64</v>
      </c>
      <c r="Y693" s="50">
        <v>44.49</v>
      </c>
      <c r="Z693" s="50">
        <v>95.55</v>
      </c>
      <c r="AA693" s="50">
        <v>79.27</v>
      </c>
      <c r="AB693" s="50">
        <v>76.86</v>
      </c>
      <c r="AC693" s="50">
        <v>12.46</v>
      </c>
      <c r="AD693" s="50">
        <v>55.11</v>
      </c>
      <c r="AE693" s="17">
        <v>28.11</v>
      </c>
      <c r="AF693" s="17">
        <v>30.66</v>
      </c>
      <c r="AG693" s="17">
        <v>30.67</v>
      </c>
      <c r="AH693" s="17">
        <v>32.47</v>
      </c>
      <c r="AI693" s="17">
        <v>1.5209999999999999</v>
      </c>
      <c r="AJ693" s="17">
        <v>40.22</v>
      </c>
      <c r="AK693" s="17"/>
      <c r="AL693" s="17"/>
      <c r="AM693" s="17"/>
      <c r="AN693" s="17">
        <v>109</v>
      </c>
      <c r="AO693" s="17"/>
      <c r="AP693" s="17"/>
      <c r="AQ693" s="17"/>
      <c r="AR693" s="17"/>
      <c r="AS693" s="17"/>
      <c r="AT693" s="17" t="s">
        <v>708</v>
      </c>
      <c r="AU693" s="17"/>
    </row>
    <row r="694" spans="1:47" x14ac:dyDescent="0.2">
      <c r="A694" s="115">
        <v>693.00000000000136</v>
      </c>
      <c r="B694" s="3">
        <v>13</v>
      </c>
      <c r="C694" s="3">
        <v>21.693000000000001</v>
      </c>
      <c r="D694" s="65" t="s">
        <v>148</v>
      </c>
      <c r="E694" t="s">
        <v>229</v>
      </c>
      <c r="F694" s="3" t="s">
        <v>688</v>
      </c>
      <c r="G694" s="3" t="s">
        <v>688</v>
      </c>
      <c r="H694"/>
      <c r="I694" s="153">
        <v>44523</v>
      </c>
      <c r="J694" s="17" t="s">
        <v>142</v>
      </c>
      <c r="K694" s="17" t="s">
        <v>235</v>
      </c>
      <c r="L694" s="123">
        <v>252</v>
      </c>
      <c r="M694" s="17"/>
      <c r="N694" s="17">
        <v>256.49</v>
      </c>
      <c r="O694" s="17">
        <v>169.11</v>
      </c>
      <c r="P694" s="17">
        <v>175.24</v>
      </c>
      <c r="Q694" s="17">
        <v>35.020000000000003</v>
      </c>
      <c r="R694" s="17">
        <v>19.260000000000002</v>
      </c>
      <c r="S694" s="17">
        <v>122.63</v>
      </c>
      <c r="T694" s="17">
        <v>98.28</v>
      </c>
      <c r="U694" s="50">
        <v>58.81</v>
      </c>
      <c r="V694" s="50">
        <v>48.87</v>
      </c>
      <c r="W694" s="50">
        <v>65.209999999999994</v>
      </c>
      <c r="X694" s="50">
        <v>85.19</v>
      </c>
      <c r="Y694" s="50">
        <v>47.36</v>
      </c>
      <c r="Z694" s="50">
        <v>95.98</v>
      </c>
      <c r="AA694" s="50">
        <v>82.05</v>
      </c>
      <c r="AB694" s="50">
        <v>75.34</v>
      </c>
      <c r="AC694" s="50">
        <v>11.44</v>
      </c>
      <c r="AD694" s="50">
        <v>54.76</v>
      </c>
      <c r="AE694" s="17">
        <v>29.14</v>
      </c>
      <c r="AF694" s="17">
        <v>33.049999999999997</v>
      </c>
      <c r="AG694" s="17">
        <v>32</v>
      </c>
      <c r="AH694" s="17">
        <v>33.270000000000003</v>
      </c>
      <c r="AI694" s="17">
        <v>1.38</v>
      </c>
      <c r="AJ694" s="17">
        <v>34.85</v>
      </c>
      <c r="AK694" s="17"/>
      <c r="AL694" s="17"/>
      <c r="AM694" s="17"/>
      <c r="AN694" s="17">
        <v>101</v>
      </c>
      <c r="AO694" s="17"/>
      <c r="AP694" s="17"/>
      <c r="AQ694" s="17"/>
      <c r="AR694" s="17"/>
      <c r="AS694" s="17"/>
      <c r="AT694" s="17" t="s">
        <v>708</v>
      </c>
      <c r="AU694" s="17"/>
    </row>
    <row r="695" spans="1:47" x14ac:dyDescent="0.2">
      <c r="A695" s="115">
        <v>693.99999999999909</v>
      </c>
      <c r="B695" s="3">
        <v>8</v>
      </c>
      <c r="C695" s="3">
        <v>21.693999999999999</v>
      </c>
      <c r="D695" s="65" t="s">
        <v>148</v>
      </c>
      <c r="E695" t="s">
        <v>229</v>
      </c>
      <c r="F695" s="3" t="s">
        <v>688</v>
      </c>
      <c r="G695" s="3" t="s">
        <v>688</v>
      </c>
      <c r="H695"/>
      <c r="I695" s="153">
        <v>44518</v>
      </c>
      <c r="J695" s="17" t="s">
        <v>142</v>
      </c>
      <c r="K695" s="17" t="s">
        <v>235</v>
      </c>
      <c r="L695" s="123">
        <v>240</v>
      </c>
      <c r="M695" s="17"/>
      <c r="N695" s="17">
        <v>247.43</v>
      </c>
      <c r="O695" s="17">
        <v>163.53</v>
      </c>
      <c r="P695" s="17">
        <v>175.53</v>
      </c>
      <c r="Q695" s="17">
        <v>34.35</v>
      </c>
      <c r="R695" s="17">
        <v>18.2</v>
      </c>
      <c r="S695" s="17">
        <v>117.71</v>
      </c>
      <c r="T695" s="17">
        <v>90.76</v>
      </c>
      <c r="U695" s="50">
        <v>64.53</v>
      </c>
      <c r="V695" s="50">
        <v>49.69</v>
      </c>
      <c r="W695" s="50">
        <v>70.75</v>
      </c>
      <c r="X695" s="50">
        <v>85.76</v>
      </c>
      <c r="Y695" s="50">
        <v>42.34</v>
      </c>
      <c r="Z695" s="50">
        <v>95.36</v>
      </c>
      <c r="AA695" s="50">
        <v>82.5</v>
      </c>
      <c r="AB695" s="50">
        <v>76.12</v>
      </c>
      <c r="AC695" s="50">
        <v>15.19</v>
      </c>
      <c r="AD695" s="50">
        <v>53.36</v>
      </c>
      <c r="AE695" s="17">
        <v>33.270000000000003</v>
      </c>
      <c r="AF695" s="17">
        <v>29.83</v>
      </c>
      <c r="AG695" s="17">
        <v>32.65</v>
      </c>
      <c r="AH695" s="17">
        <v>32.65</v>
      </c>
      <c r="AI695" s="17">
        <v>1.454</v>
      </c>
      <c r="AJ695" s="17">
        <v>33.5</v>
      </c>
      <c r="AK695" s="17"/>
      <c r="AL695" s="17"/>
      <c r="AM695" s="17"/>
      <c r="AN695" s="17">
        <v>113</v>
      </c>
      <c r="AO695" s="17"/>
      <c r="AP695" s="17"/>
      <c r="AQ695" s="17"/>
      <c r="AR695" s="17"/>
      <c r="AS695" s="17"/>
      <c r="AT695" s="17" t="s">
        <v>708</v>
      </c>
      <c r="AU695" s="17"/>
    </row>
    <row r="696" spans="1:47" x14ac:dyDescent="0.2">
      <c r="A696" s="115">
        <v>695.00000000000023</v>
      </c>
      <c r="B696" s="3">
        <v>56</v>
      </c>
      <c r="C696" s="3">
        <v>21.695</v>
      </c>
      <c r="D696" s="131" t="s">
        <v>151</v>
      </c>
      <c r="E696" t="s">
        <v>152</v>
      </c>
      <c r="F696" s="3" t="s">
        <v>227</v>
      </c>
      <c r="G696"/>
      <c r="H696" s="3" t="s">
        <v>89</v>
      </c>
      <c r="I696" s="82">
        <v>44505</v>
      </c>
      <c r="J696" s="3" t="s">
        <v>142</v>
      </c>
      <c r="K696" s="3" t="s">
        <v>235</v>
      </c>
      <c r="N696" s="3">
        <v>352</v>
      </c>
      <c r="O696" s="3">
        <v>180.23</v>
      </c>
      <c r="P696" s="3">
        <v>80.23</v>
      </c>
      <c r="Q696" s="3">
        <v>37.979999999999997</v>
      </c>
      <c r="R696" s="3">
        <v>16.2</v>
      </c>
      <c r="S696" s="3">
        <v>28.45</v>
      </c>
      <c r="T696" s="3">
        <v>107.29</v>
      </c>
      <c r="U696" s="6">
        <v>60.29</v>
      </c>
      <c r="V696" s="6">
        <v>49.19</v>
      </c>
      <c r="W696" s="6">
        <v>63.67</v>
      </c>
      <c r="X696" s="6">
        <v>92.82</v>
      </c>
      <c r="Y696" s="6">
        <v>39.380000000000003</v>
      </c>
      <c r="Z696" s="6">
        <v>107.21</v>
      </c>
      <c r="AA696" s="6">
        <v>91.3</v>
      </c>
      <c r="AB696" s="6">
        <v>73.650000000000006</v>
      </c>
      <c r="AC696" s="6">
        <v>6.22</v>
      </c>
      <c r="AD696" s="6">
        <v>60.86</v>
      </c>
      <c r="AE696" s="3">
        <v>26.33</v>
      </c>
      <c r="AF696" s="3">
        <v>39.6</v>
      </c>
      <c r="AG696" s="3">
        <v>31.56</v>
      </c>
      <c r="AH696" s="3">
        <v>38.35</v>
      </c>
      <c r="AI696" s="3">
        <v>1.2330000000000001</v>
      </c>
      <c r="AJ696" s="3">
        <v>92.83</v>
      </c>
      <c r="AN696" s="3">
        <v>112</v>
      </c>
      <c r="AT696" s="17" t="s">
        <v>708</v>
      </c>
      <c r="AU696" s="17"/>
    </row>
    <row r="697" spans="1:47" x14ac:dyDescent="0.2">
      <c r="A697" s="115">
        <v>696.00000000000148</v>
      </c>
      <c r="B697" s="3">
        <v>64</v>
      </c>
      <c r="C697" s="3">
        <v>21.696000000000002</v>
      </c>
      <c r="D697" s="131" t="s">
        <v>151</v>
      </c>
      <c r="E697" t="s">
        <v>152</v>
      </c>
      <c r="F697" s="3" t="s">
        <v>227</v>
      </c>
      <c r="G697"/>
      <c r="H697" s="14" t="s">
        <v>159</v>
      </c>
      <c r="I697" s="82">
        <v>44537</v>
      </c>
      <c r="J697" s="3" t="s">
        <v>142</v>
      </c>
      <c r="K697" s="3" t="s">
        <v>235</v>
      </c>
      <c r="N697" s="3">
        <v>249.77</v>
      </c>
      <c r="O697" s="3">
        <v>174.37</v>
      </c>
      <c r="P697" s="3">
        <v>178.31</v>
      </c>
      <c r="Q697" s="3">
        <v>38.53</v>
      </c>
      <c r="R697" s="3">
        <v>24.67</v>
      </c>
      <c r="S697" s="3">
        <v>114.86</v>
      </c>
      <c r="T697" s="3">
        <v>91.33</v>
      </c>
      <c r="U697" s="6">
        <v>68.02</v>
      </c>
      <c r="V697" s="6">
        <v>57.28</v>
      </c>
      <c r="W697" s="6">
        <v>73.16</v>
      </c>
      <c r="X697" s="6">
        <v>92.9</v>
      </c>
      <c r="Y697" s="6">
        <v>43.62</v>
      </c>
      <c r="Z697" s="6">
        <v>98.17</v>
      </c>
      <c r="AA697" s="6">
        <v>78.59</v>
      </c>
      <c r="AB697" s="6">
        <v>76.459999999999994</v>
      </c>
      <c r="AC697" s="6">
        <v>27.63</v>
      </c>
      <c r="AD697" s="6">
        <v>53.57</v>
      </c>
      <c r="AE697" s="3">
        <v>20.79</v>
      </c>
      <c r="AF697" s="3">
        <v>36.03</v>
      </c>
      <c r="AG697" s="3">
        <v>30.02</v>
      </c>
      <c r="AH697" s="3">
        <v>36.26</v>
      </c>
      <c r="AI697" s="3">
        <v>1.8140000000000001</v>
      </c>
      <c r="AJ697" s="3">
        <v>6.02</v>
      </c>
      <c r="AN697" s="3">
        <v>126</v>
      </c>
      <c r="AT697" s="17" t="s">
        <v>708</v>
      </c>
      <c r="AU697" s="17"/>
    </row>
    <row r="698" spans="1:47" x14ac:dyDescent="0.2">
      <c r="A698" s="115">
        <v>696.9999999999992</v>
      </c>
      <c r="B698" s="3">
        <v>63</v>
      </c>
      <c r="C698" s="3">
        <v>21.696999999999999</v>
      </c>
      <c r="D698" s="131" t="s">
        <v>151</v>
      </c>
      <c r="E698" t="s">
        <v>152</v>
      </c>
      <c r="F698" s="3" t="s">
        <v>227</v>
      </c>
      <c r="G698" s="17"/>
      <c r="H698" s="14" t="s">
        <v>159</v>
      </c>
      <c r="I698" s="82">
        <v>44537</v>
      </c>
      <c r="J698" s="3" t="s">
        <v>142</v>
      </c>
      <c r="K698" s="3" t="s">
        <v>235</v>
      </c>
      <c r="N698" s="3">
        <v>241.54</v>
      </c>
      <c r="O698" s="3">
        <v>172.23</v>
      </c>
      <c r="P698" s="3">
        <v>188.68</v>
      </c>
      <c r="Q698" s="3">
        <v>39.9</v>
      </c>
      <c r="R698" s="3">
        <v>24.48</v>
      </c>
      <c r="S698" s="3">
        <v>116.85</v>
      </c>
      <c r="T698" s="3">
        <v>92.44</v>
      </c>
      <c r="U698" s="6">
        <v>65.400000000000006</v>
      </c>
      <c r="V698" s="6">
        <v>55.08</v>
      </c>
      <c r="W698" s="6">
        <v>73.61</v>
      </c>
      <c r="X698" s="6">
        <v>93.06</v>
      </c>
      <c r="Y698" s="6">
        <v>43.95</v>
      </c>
      <c r="Z698" s="6">
        <v>100.46</v>
      </c>
      <c r="AA698" s="6">
        <v>81.900000000000006</v>
      </c>
      <c r="AB698" s="6">
        <v>78.27</v>
      </c>
      <c r="AC698" s="6">
        <v>22.75</v>
      </c>
      <c r="AD698" s="6">
        <v>50.4</v>
      </c>
      <c r="AE698" s="3">
        <v>23.13</v>
      </c>
      <c r="AF698" s="3">
        <v>40.619999999999997</v>
      </c>
      <c r="AG698" s="3">
        <v>26.41</v>
      </c>
      <c r="AH698" s="3">
        <v>40.56</v>
      </c>
      <c r="AI698" s="3">
        <v>1.742</v>
      </c>
      <c r="AJ698" s="3">
        <v>13.97</v>
      </c>
      <c r="AN698" s="3">
        <v>111</v>
      </c>
      <c r="AT698" s="17" t="s">
        <v>708</v>
      </c>
      <c r="AU698" s="17"/>
    </row>
    <row r="699" spans="1:47" x14ac:dyDescent="0.2">
      <c r="A699" s="115">
        <v>698.00000000000045</v>
      </c>
      <c r="B699" s="3">
        <v>27</v>
      </c>
      <c r="C699" s="3">
        <v>21.698</v>
      </c>
      <c r="D699" s="131" t="s">
        <v>151</v>
      </c>
      <c r="E699" t="s">
        <v>162</v>
      </c>
      <c r="F699" s="3" t="s">
        <v>88</v>
      </c>
      <c r="G699" s="3" t="s">
        <v>88</v>
      </c>
      <c r="H699" s="17"/>
      <c r="I699" s="82">
        <v>44374</v>
      </c>
      <c r="J699" s="3" t="s">
        <v>142</v>
      </c>
      <c r="K699" s="3" t="s">
        <v>235</v>
      </c>
      <c r="M699" s="21"/>
      <c r="N699" s="3">
        <v>317.87</v>
      </c>
      <c r="O699" s="3">
        <v>187.56</v>
      </c>
      <c r="P699" s="3">
        <v>200.33</v>
      </c>
      <c r="Q699" s="3">
        <v>42.38</v>
      </c>
      <c r="R699" s="3">
        <v>22.78</v>
      </c>
      <c r="S699" s="3">
        <v>130.86000000000001</v>
      </c>
      <c r="T699" s="3">
        <v>100.27</v>
      </c>
      <c r="U699" s="6">
        <v>63.46</v>
      </c>
      <c r="V699" s="6">
        <v>51.35</v>
      </c>
      <c r="W699" s="6">
        <v>70.48</v>
      </c>
      <c r="X699" s="6">
        <v>95.65</v>
      </c>
      <c r="Y699" s="6">
        <v>45.25</v>
      </c>
      <c r="Z699" s="6">
        <v>106.16</v>
      </c>
      <c r="AA699" s="6">
        <v>88.43</v>
      </c>
      <c r="AB699" s="6">
        <v>82.8</v>
      </c>
      <c r="AC699" s="6">
        <v>16.7</v>
      </c>
      <c r="AD699" s="6">
        <v>56.84</v>
      </c>
      <c r="AE699" s="3">
        <v>30.15</v>
      </c>
      <c r="AF699" s="3">
        <v>38.72</v>
      </c>
      <c r="AG699" s="3">
        <v>39</v>
      </c>
      <c r="AH699" s="3">
        <v>39.75</v>
      </c>
      <c r="AI699" s="3">
        <v>1.5720000000000001</v>
      </c>
      <c r="AJ699" s="3">
        <v>58.22</v>
      </c>
      <c r="AN699" s="3">
        <v>133</v>
      </c>
      <c r="AT699" s="17" t="s">
        <v>708</v>
      </c>
      <c r="AU699" s="17"/>
    </row>
    <row r="700" spans="1:47" x14ac:dyDescent="0.2">
      <c r="A700" s="115">
        <v>699.00000000000159</v>
      </c>
      <c r="B700" s="3">
        <v>28</v>
      </c>
      <c r="C700" s="3">
        <v>21.699000000000002</v>
      </c>
      <c r="D700" s="131" t="s">
        <v>151</v>
      </c>
      <c r="E700" t="s">
        <v>162</v>
      </c>
      <c r="F700" s="3" t="s">
        <v>88</v>
      </c>
      <c r="G700" s="3" t="s">
        <v>88</v>
      </c>
      <c r="H700" s="17"/>
      <c r="I700" s="154">
        <v>44402</v>
      </c>
      <c r="J700" s="3" t="s">
        <v>142</v>
      </c>
      <c r="K700" s="3" t="s">
        <v>235</v>
      </c>
      <c r="M700" s="21"/>
      <c r="N700" s="3">
        <v>309.27</v>
      </c>
      <c r="O700" s="3">
        <v>182.83</v>
      </c>
      <c r="P700" s="3">
        <v>195.09</v>
      </c>
      <c r="Q700" s="3">
        <v>42.2</v>
      </c>
      <c r="R700" s="3">
        <v>19.11</v>
      </c>
      <c r="S700" s="3">
        <v>128.44999999999999</v>
      </c>
      <c r="T700" s="3">
        <v>103.67</v>
      </c>
      <c r="U700" s="6">
        <v>62.17</v>
      </c>
      <c r="V700" s="6">
        <v>51.06</v>
      </c>
      <c r="W700" s="6">
        <v>69.459999999999994</v>
      </c>
      <c r="X700" s="6">
        <v>94.92</v>
      </c>
      <c r="Y700" s="6">
        <v>43.39</v>
      </c>
      <c r="Z700" s="6">
        <v>104.8</v>
      </c>
      <c r="AA700" s="6">
        <v>87.99</v>
      </c>
      <c r="AB700" s="6">
        <v>80.63</v>
      </c>
      <c r="AC700" s="6">
        <v>6.44</v>
      </c>
      <c r="AD700" s="6">
        <v>55.88</v>
      </c>
      <c r="AE700" s="3">
        <v>26.74</v>
      </c>
      <c r="AF700" s="3">
        <v>39.380000000000003</v>
      </c>
      <c r="AG700" s="3">
        <v>34.92</v>
      </c>
      <c r="AH700" s="3">
        <v>40.96</v>
      </c>
      <c r="AI700" s="3">
        <v>1.387</v>
      </c>
      <c r="AJ700" s="3">
        <v>59.08</v>
      </c>
      <c r="AN700" s="3">
        <v>146</v>
      </c>
      <c r="AT700" s="17" t="s">
        <v>708</v>
      </c>
      <c r="AU700" s="17"/>
    </row>
    <row r="701" spans="1:47" x14ac:dyDescent="0.2">
      <c r="A701" s="115">
        <v>699.99999999999932</v>
      </c>
      <c r="B701" s="3">
        <v>217</v>
      </c>
      <c r="C701" s="2" t="s">
        <v>14</v>
      </c>
      <c r="D701" s="126" t="s">
        <v>168</v>
      </c>
      <c r="E701" t="s">
        <v>169</v>
      </c>
      <c r="F701" s="17" t="s">
        <v>170</v>
      </c>
      <c r="G701" s="9" t="s">
        <v>30</v>
      </c>
      <c r="H701" s="17"/>
      <c r="I701" s="81">
        <v>44521</v>
      </c>
      <c r="J701" s="17" t="s">
        <v>142</v>
      </c>
      <c r="K701" s="17" t="s">
        <v>235</v>
      </c>
      <c r="L701" s="17"/>
      <c r="M701" s="17"/>
      <c r="N701" s="17">
        <v>310.20999999999998</v>
      </c>
      <c r="O701" s="17">
        <v>193.64</v>
      </c>
      <c r="P701" s="17">
        <v>191.49</v>
      </c>
      <c r="Q701" s="17">
        <v>38.6</v>
      </c>
      <c r="R701" s="17">
        <v>29.8</v>
      </c>
      <c r="S701" s="17">
        <v>128.72999999999999</v>
      </c>
      <c r="T701" s="17">
        <v>101.83</v>
      </c>
      <c r="U701" s="50">
        <v>75.62</v>
      </c>
      <c r="V701" s="50">
        <v>56.72</v>
      </c>
      <c r="W701" s="50">
        <v>78.61</v>
      </c>
      <c r="X701" s="50">
        <v>99.84</v>
      </c>
      <c r="Y701" s="50">
        <v>42.79</v>
      </c>
      <c r="Z701" s="50">
        <v>108.78</v>
      </c>
      <c r="AA701" s="50">
        <v>90.18</v>
      </c>
      <c r="AB701" s="50">
        <v>87.64</v>
      </c>
      <c r="AC701" s="50">
        <v>4.88</v>
      </c>
      <c r="AD701" s="50">
        <v>51.62</v>
      </c>
      <c r="AE701" s="17">
        <v>28.99</v>
      </c>
      <c r="AF701" s="17">
        <v>40.54</v>
      </c>
      <c r="AG701" s="17">
        <v>34.92</v>
      </c>
      <c r="AH701" s="17">
        <v>34.92</v>
      </c>
      <c r="AI701" s="17">
        <v>1.4219999999999999</v>
      </c>
      <c r="AJ701" s="17">
        <v>54.71</v>
      </c>
      <c r="AK701" s="17"/>
      <c r="AL701" s="17"/>
      <c r="AM701" s="17"/>
      <c r="AN701" s="17">
        <v>135</v>
      </c>
      <c r="AO701" s="17"/>
      <c r="AP701" s="17"/>
      <c r="AQ701" s="17"/>
      <c r="AR701" s="17"/>
      <c r="AS701" s="17"/>
      <c r="AT701" s="17" t="s">
        <v>708</v>
      </c>
      <c r="AU701" s="17"/>
    </row>
    <row r="702" spans="1:47" x14ac:dyDescent="0.2">
      <c r="A702" s="115">
        <v>701.00000000000045</v>
      </c>
      <c r="B702" s="3">
        <v>214</v>
      </c>
      <c r="C702" s="3">
        <v>21.701000000000001</v>
      </c>
      <c r="D702" s="126" t="s">
        <v>168</v>
      </c>
      <c r="E702" t="s">
        <v>169</v>
      </c>
      <c r="F702" s="17" t="s">
        <v>170</v>
      </c>
      <c r="G702" s="9" t="s">
        <v>30</v>
      </c>
      <c r="H702" s="17"/>
      <c r="I702" s="81">
        <v>44521</v>
      </c>
      <c r="J702" s="17" t="s">
        <v>142</v>
      </c>
      <c r="K702" s="17" t="s">
        <v>235</v>
      </c>
      <c r="L702" s="17"/>
      <c r="M702" s="17"/>
      <c r="N702" s="17">
        <v>300.64999999999998</v>
      </c>
      <c r="O702" s="17">
        <v>190.74</v>
      </c>
      <c r="P702" s="17">
        <v>195.44</v>
      </c>
      <c r="Q702" s="17">
        <v>39.19</v>
      </c>
      <c r="R702" s="17">
        <v>28.69</v>
      </c>
      <c r="S702" s="17">
        <v>128.5</v>
      </c>
      <c r="T702" s="17">
        <v>104.81</v>
      </c>
      <c r="U702" s="50">
        <v>80.94</v>
      </c>
      <c r="V702" s="50">
        <v>54.3</v>
      </c>
      <c r="W702" s="50">
        <v>78.91</v>
      </c>
      <c r="X702" s="50">
        <v>101.65</v>
      </c>
      <c r="Y702" s="50">
        <v>41.98</v>
      </c>
      <c r="Z702" s="50">
        <v>109.32</v>
      </c>
      <c r="AA702" s="50">
        <v>87.95</v>
      </c>
      <c r="AB702" s="50">
        <v>90.6</v>
      </c>
      <c r="AC702" s="50">
        <v>4.5599999999999996</v>
      </c>
      <c r="AD702" s="50">
        <v>53.75</v>
      </c>
      <c r="AE702" s="17">
        <v>33.21</v>
      </c>
      <c r="AF702" s="17">
        <v>42.71</v>
      </c>
      <c r="AG702" s="17">
        <v>30.74</v>
      </c>
      <c r="AH702" s="17">
        <v>41.5</v>
      </c>
      <c r="AI702" s="17">
        <v>1.1339999999999999</v>
      </c>
      <c r="AJ702" s="17">
        <v>52.35</v>
      </c>
      <c r="AK702" s="17"/>
      <c r="AL702" s="17"/>
      <c r="AM702" s="17"/>
      <c r="AN702" s="17">
        <v>136</v>
      </c>
      <c r="AO702" s="17"/>
      <c r="AP702" s="17"/>
      <c r="AQ702" s="17"/>
      <c r="AR702" s="17"/>
      <c r="AS702" s="17"/>
      <c r="AT702" s="17" t="s">
        <v>708</v>
      </c>
      <c r="AU702" s="17"/>
    </row>
    <row r="703" spans="1:47" x14ac:dyDescent="0.2">
      <c r="A703" s="115">
        <v>702.00000000000171</v>
      </c>
      <c r="B703" s="3">
        <v>215</v>
      </c>
      <c r="C703" s="3">
        <v>21.702000000000002</v>
      </c>
      <c r="D703" s="126" t="s">
        <v>168</v>
      </c>
      <c r="E703" t="s">
        <v>169</v>
      </c>
      <c r="F703" s="17" t="s">
        <v>170</v>
      </c>
      <c r="G703" s="9" t="s">
        <v>30</v>
      </c>
      <c r="H703" s="17"/>
      <c r="I703" s="81">
        <v>44521</v>
      </c>
      <c r="J703" s="17" t="s">
        <v>142</v>
      </c>
      <c r="K703" s="17" t="s">
        <v>235</v>
      </c>
      <c r="L703" s="17"/>
      <c r="M703" s="17"/>
      <c r="N703" s="17">
        <v>294.02</v>
      </c>
      <c r="O703" s="17">
        <v>193.44</v>
      </c>
      <c r="P703" s="17">
        <v>199.21</v>
      </c>
      <c r="Q703" s="17">
        <v>38.31</v>
      </c>
      <c r="R703" s="17">
        <v>27.61</v>
      </c>
      <c r="S703" s="17">
        <v>126.68</v>
      </c>
      <c r="T703" s="17">
        <v>98.46</v>
      </c>
      <c r="U703" s="50">
        <v>73.89</v>
      </c>
      <c r="V703" s="50">
        <v>54.39</v>
      </c>
      <c r="W703" s="50">
        <v>73.91</v>
      </c>
      <c r="X703" s="50">
        <v>93.31</v>
      </c>
      <c r="Y703" s="50">
        <v>42.84</v>
      </c>
      <c r="Z703" s="50">
        <v>105.44</v>
      </c>
      <c r="AA703" s="50">
        <v>88.03</v>
      </c>
      <c r="AB703" s="50">
        <v>82.62</v>
      </c>
      <c r="AC703" s="50">
        <v>0.2</v>
      </c>
      <c r="AD703" s="50">
        <v>53.57</v>
      </c>
      <c r="AE703" s="17">
        <v>30.96</v>
      </c>
      <c r="AF703" s="17">
        <v>40.9</v>
      </c>
      <c r="AG703" s="17">
        <v>33.76</v>
      </c>
      <c r="AH703" s="17">
        <v>37.26</v>
      </c>
      <c r="AI703" s="17">
        <v>1.131</v>
      </c>
      <c r="AJ703" s="17">
        <v>51.78</v>
      </c>
      <c r="AK703" s="17"/>
      <c r="AL703" s="17"/>
      <c r="AM703" s="17"/>
      <c r="AN703" s="17">
        <v>127</v>
      </c>
      <c r="AO703" s="17"/>
      <c r="AP703" s="17"/>
      <c r="AQ703" s="17"/>
      <c r="AR703" s="17"/>
      <c r="AS703" s="17"/>
      <c r="AT703" s="17" t="s">
        <v>708</v>
      </c>
      <c r="AU703" s="17"/>
    </row>
    <row r="704" spans="1:47" x14ac:dyDescent="0.2">
      <c r="A704" s="115">
        <v>702.99999999999943</v>
      </c>
      <c r="B704" s="3">
        <v>237</v>
      </c>
      <c r="C704" s="3">
        <v>21.702999999999999</v>
      </c>
      <c r="D704" s="126" t="s">
        <v>168</v>
      </c>
      <c r="E704" t="s">
        <v>232</v>
      </c>
      <c r="F704" s="17" t="s">
        <v>251</v>
      </c>
      <c r="G704" s="17"/>
      <c r="H704" s="3" t="s">
        <v>498</v>
      </c>
      <c r="I704" s="81">
        <v>44524</v>
      </c>
      <c r="J704" s="17" t="s">
        <v>142</v>
      </c>
      <c r="K704" s="17" t="s">
        <v>235</v>
      </c>
      <c r="L704" s="17"/>
      <c r="M704" s="17"/>
      <c r="N704" s="17">
        <v>279.83</v>
      </c>
      <c r="O704" s="17">
        <v>93.2</v>
      </c>
      <c r="P704" s="17">
        <v>208.72</v>
      </c>
      <c r="Q704" s="17">
        <v>42.8</v>
      </c>
      <c r="R704" s="17">
        <v>24.21</v>
      </c>
      <c r="S704" s="17">
        <v>135.35</v>
      </c>
      <c r="T704" s="17">
        <v>102.75</v>
      </c>
      <c r="U704" s="50">
        <v>71.540000000000006</v>
      </c>
      <c r="V704" s="50">
        <v>52.49</v>
      </c>
      <c r="W704" s="50">
        <v>74.56</v>
      </c>
      <c r="X704" s="50">
        <v>92.6</v>
      </c>
      <c r="Y704" s="50">
        <v>43.34</v>
      </c>
      <c r="Z704" s="50">
        <v>98.31</v>
      </c>
      <c r="AA704" s="50">
        <v>83.78</v>
      </c>
      <c r="AB704" s="50">
        <v>73.900000000000006</v>
      </c>
      <c r="AC704" s="50">
        <v>2.2000000000000002</v>
      </c>
      <c r="AD704" s="50">
        <v>54.41</v>
      </c>
      <c r="AE704" s="17">
        <v>27.3</v>
      </c>
      <c r="AF704" s="17">
        <v>42.82</v>
      </c>
      <c r="AG704" s="17">
        <v>36.49</v>
      </c>
      <c r="AH704" s="17">
        <v>46.7</v>
      </c>
      <c r="AI704" s="17">
        <v>1.127</v>
      </c>
      <c r="AJ704" s="17">
        <v>51.63</v>
      </c>
      <c r="AK704" s="17"/>
      <c r="AL704" s="17"/>
      <c r="AM704" s="17"/>
      <c r="AN704" s="17">
        <v>135</v>
      </c>
      <c r="AO704" s="17"/>
      <c r="AP704" s="17"/>
      <c r="AQ704" s="17"/>
      <c r="AR704" s="17"/>
      <c r="AS704" s="17"/>
      <c r="AT704" s="17" t="s">
        <v>708</v>
      </c>
      <c r="AU704" s="17"/>
    </row>
    <row r="705" spans="1:47" x14ac:dyDescent="0.2">
      <c r="A705" s="115">
        <v>704.00000000000068</v>
      </c>
      <c r="B705" s="3">
        <v>140</v>
      </c>
      <c r="C705" s="3">
        <v>21.704000000000001</v>
      </c>
      <c r="D705" s="129" t="s">
        <v>140</v>
      </c>
      <c r="E705" t="s">
        <v>141</v>
      </c>
      <c r="F705" s="3" t="s">
        <v>60</v>
      </c>
      <c r="G705" s="17"/>
      <c r="H705" s="3" t="s">
        <v>60</v>
      </c>
      <c r="I705" s="82">
        <v>44480</v>
      </c>
      <c r="J705" s="17" t="s">
        <v>142</v>
      </c>
      <c r="K705" s="17" t="s">
        <v>235</v>
      </c>
      <c r="L705" s="17"/>
      <c r="M705" s="17"/>
      <c r="N705" s="17">
        <v>278.45</v>
      </c>
      <c r="O705" s="17">
        <v>162.75</v>
      </c>
      <c r="P705" s="17">
        <v>177.38</v>
      </c>
      <c r="Q705" s="17">
        <v>28.61</v>
      </c>
      <c r="R705" s="17">
        <v>21.88</v>
      </c>
      <c r="S705" s="17">
        <v>122.1</v>
      </c>
      <c r="T705" s="17">
        <v>99.57</v>
      </c>
      <c r="U705" s="50">
        <v>61.73</v>
      </c>
      <c r="V705" s="50">
        <v>52.52</v>
      </c>
      <c r="W705" s="50">
        <v>69.260000000000005</v>
      </c>
      <c r="X705" s="50">
        <v>90.16</v>
      </c>
      <c r="Y705" s="50">
        <v>44.47</v>
      </c>
      <c r="Z705" s="50">
        <v>97.42</v>
      </c>
      <c r="AA705" s="50">
        <v>83.17</v>
      </c>
      <c r="AB705" s="50">
        <v>73.83</v>
      </c>
      <c r="AC705" s="50">
        <v>11.18</v>
      </c>
      <c r="AD705" s="50">
        <v>58.45</v>
      </c>
      <c r="AE705" s="17">
        <v>22.58</v>
      </c>
      <c r="AF705" s="17">
        <v>38.44</v>
      </c>
      <c r="AG705" s="17">
        <v>32.69</v>
      </c>
      <c r="AH705" s="17">
        <v>38.46</v>
      </c>
      <c r="AI705" s="17">
        <v>1.8260000000000001</v>
      </c>
      <c r="AJ705" s="17">
        <v>46.05</v>
      </c>
      <c r="AK705" s="17"/>
      <c r="AL705" s="17"/>
      <c r="AM705" s="17"/>
      <c r="AN705" s="17">
        <v>141</v>
      </c>
      <c r="AO705" s="17"/>
      <c r="AP705" s="17"/>
      <c r="AQ705" s="17"/>
      <c r="AR705" s="17"/>
      <c r="AS705" s="17"/>
      <c r="AT705" s="17" t="s">
        <v>708</v>
      </c>
      <c r="AU705" s="17"/>
    </row>
    <row r="706" spans="1:47" x14ac:dyDescent="0.2">
      <c r="A706" s="115">
        <v>704.99999999999829</v>
      </c>
      <c r="B706" s="3">
        <v>144</v>
      </c>
      <c r="C706" s="3">
        <v>21.704999999999998</v>
      </c>
      <c r="D706" s="129" t="s">
        <v>140</v>
      </c>
      <c r="E706" t="s">
        <v>141</v>
      </c>
      <c r="F706" s="3" t="s">
        <v>60</v>
      </c>
      <c r="G706" s="17"/>
      <c r="H706" s="3" t="s">
        <v>60</v>
      </c>
      <c r="I706" s="82">
        <v>44480</v>
      </c>
      <c r="J706" s="17" t="s">
        <v>142</v>
      </c>
      <c r="K706" s="17" t="s">
        <v>235</v>
      </c>
      <c r="L706" s="17"/>
      <c r="M706" s="17"/>
      <c r="N706" s="17">
        <v>284.32</v>
      </c>
      <c r="O706" s="17">
        <v>164.01</v>
      </c>
      <c r="P706" s="17">
        <v>174.97</v>
      </c>
      <c r="Q706" s="17">
        <v>27.77</v>
      </c>
      <c r="R706" s="17">
        <v>18.5</v>
      </c>
      <c r="S706" s="17">
        <v>123.36</v>
      </c>
      <c r="T706" s="17">
        <v>99.04</v>
      </c>
      <c r="U706" s="50">
        <v>70.03</v>
      </c>
      <c r="V706" s="50">
        <v>50.11</v>
      </c>
      <c r="W706" s="50">
        <v>72.23</v>
      </c>
      <c r="X706" s="50">
        <v>91.21</v>
      </c>
      <c r="Y706" s="50">
        <v>48.02</v>
      </c>
      <c r="Z706" s="50">
        <v>99.75</v>
      </c>
      <c r="AA706" s="50">
        <v>82.52</v>
      </c>
      <c r="AB706" s="50">
        <v>72.67</v>
      </c>
      <c r="AC706" s="50">
        <v>9.74</v>
      </c>
      <c r="AD706" s="50">
        <v>53.99</v>
      </c>
      <c r="AE706" s="17">
        <v>22.92</v>
      </c>
      <c r="AF706" s="17">
        <v>34.11</v>
      </c>
      <c r="AG706" s="17">
        <v>31.43</v>
      </c>
      <c r="AH706" s="17">
        <v>35.32</v>
      </c>
      <c r="AI706" s="17">
        <v>1.7390000000000001</v>
      </c>
      <c r="AJ706" s="17">
        <v>36.53</v>
      </c>
      <c r="AK706" s="17"/>
      <c r="AL706" s="17"/>
      <c r="AM706" s="17"/>
      <c r="AN706" s="17">
        <v>138</v>
      </c>
      <c r="AO706" s="17"/>
      <c r="AP706" s="17"/>
      <c r="AQ706" s="17"/>
      <c r="AR706" s="17"/>
      <c r="AS706" s="17"/>
      <c r="AT706" s="17" t="s">
        <v>708</v>
      </c>
      <c r="AU706" s="17"/>
    </row>
    <row r="707" spans="1:47" x14ac:dyDescent="0.2">
      <c r="A707" s="115">
        <v>705.99999999999955</v>
      </c>
      <c r="B707" s="3">
        <v>137</v>
      </c>
      <c r="C707" s="3">
        <v>21.706</v>
      </c>
      <c r="D707" s="129" t="s">
        <v>140</v>
      </c>
      <c r="E707" t="s">
        <v>141</v>
      </c>
      <c r="F707" s="3" t="s">
        <v>61</v>
      </c>
      <c r="G707" s="17" t="s">
        <v>61</v>
      </c>
      <c r="I707" s="82">
        <v>44475</v>
      </c>
      <c r="J707" s="17" t="s">
        <v>142</v>
      </c>
      <c r="K707" s="17" t="s">
        <v>235</v>
      </c>
      <c r="L707" s="17"/>
      <c r="M707" s="17"/>
      <c r="N707" s="17">
        <v>233.03</v>
      </c>
      <c r="O707" s="17">
        <v>182.09</v>
      </c>
      <c r="P707" s="17">
        <v>187.89</v>
      </c>
      <c r="Q707" s="17">
        <v>37.090000000000003</v>
      </c>
      <c r="R707" s="17">
        <v>28.04</v>
      </c>
      <c r="S707" s="17">
        <v>121.58</v>
      </c>
      <c r="T707" s="17">
        <v>91.34</v>
      </c>
      <c r="U707" s="50">
        <v>58.45</v>
      </c>
      <c r="V707" s="50">
        <v>46.49</v>
      </c>
      <c r="W707" s="50">
        <v>67.599999999999994</v>
      </c>
      <c r="X707" s="50">
        <v>82.83</v>
      </c>
      <c r="Y707" s="50">
        <v>36.700000000000003</v>
      </c>
      <c r="Z707" s="50">
        <v>86.61</v>
      </c>
      <c r="AA707" s="50">
        <v>73.95</v>
      </c>
      <c r="AB707" s="50">
        <v>63.79</v>
      </c>
      <c r="AC707" s="50">
        <v>16.88</v>
      </c>
      <c r="AD707" s="50">
        <v>57.1</v>
      </c>
      <c r="AE707" s="17">
        <v>34.28</v>
      </c>
      <c r="AF707" s="17">
        <v>34.26</v>
      </c>
      <c r="AG707" s="17">
        <v>41.16</v>
      </c>
      <c r="AH707" s="17">
        <v>35.840000000000003</v>
      </c>
      <c r="AI707" s="17">
        <v>1.0489999999999999</v>
      </c>
      <c r="AJ707" s="17">
        <v>46.46</v>
      </c>
      <c r="AK707" s="17"/>
      <c r="AL707" s="17"/>
      <c r="AM707" s="17"/>
      <c r="AN707" s="17">
        <v>105</v>
      </c>
      <c r="AO707" s="17"/>
      <c r="AP707" s="17"/>
      <c r="AQ707" s="17"/>
      <c r="AR707" s="17"/>
      <c r="AS707" s="17"/>
      <c r="AT707" s="17" t="s">
        <v>708</v>
      </c>
      <c r="AU707" s="17"/>
    </row>
    <row r="708" spans="1:47" x14ac:dyDescent="0.2">
      <c r="A708" s="115">
        <v>707.00000000000068</v>
      </c>
      <c r="B708" s="3">
        <v>156</v>
      </c>
      <c r="C708" s="3">
        <v>21.707000000000001</v>
      </c>
      <c r="D708" s="126" t="s">
        <v>168</v>
      </c>
      <c r="E708" t="s">
        <v>169</v>
      </c>
      <c r="F708" s="17" t="s">
        <v>170</v>
      </c>
      <c r="G708" s="9" t="s">
        <v>30</v>
      </c>
      <c r="H708" s="17"/>
      <c r="I708" s="127">
        <v>44403</v>
      </c>
      <c r="J708" s="16" t="s">
        <v>142</v>
      </c>
      <c r="K708" s="16" t="s">
        <v>235</v>
      </c>
      <c r="L708" s="17"/>
      <c r="M708" s="17"/>
      <c r="N708" s="17">
        <v>312.58</v>
      </c>
      <c r="O708" s="17">
        <v>199.21</v>
      </c>
      <c r="P708" s="17">
        <v>213.07</v>
      </c>
      <c r="Q708" s="17">
        <v>36.729999999999997</v>
      </c>
      <c r="R708" s="17">
        <v>36.1</v>
      </c>
      <c r="S708" s="17">
        <v>134.94</v>
      </c>
      <c r="T708" s="17">
        <v>106.4</v>
      </c>
      <c r="U708" s="50">
        <v>76.290000000000006</v>
      </c>
      <c r="V708" s="50">
        <v>54.25</v>
      </c>
      <c r="W708" s="50">
        <v>78.81</v>
      </c>
      <c r="X708" s="50">
        <v>96.69</v>
      </c>
      <c r="Y708" s="50">
        <v>40.44</v>
      </c>
      <c r="Z708" s="50">
        <v>103.79</v>
      </c>
      <c r="AA708" s="50">
        <v>86.43</v>
      </c>
      <c r="AB708" s="50">
        <v>80.45</v>
      </c>
      <c r="AC708" s="50">
        <v>2.74</v>
      </c>
      <c r="AD708" s="50">
        <v>54.1</v>
      </c>
      <c r="AE708" s="17">
        <v>29.29</v>
      </c>
      <c r="AF708" s="17">
        <v>41.16</v>
      </c>
      <c r="AG708" s="17">
        <v>35.42</v>
      </c>
      <c r="AH708" s="17">
        <v>40.94</v>
      </c>
      <c r="AI708" s="17">
        <v>1.1000000000000001</v>
      </c>
      <c r="AJ708" s="17">
        <v>55.98</v>
      </c>
      <c r="AK708" s="17"/>
      <c r="AL708" s="17"/>
      <c r="AM708" s="17"/>
      <c r="AN708" s="17">
        <v>144</v>
      </c>
      <c r="AO708" s="17"/>
      <c r="AP708" s="17"/>
      <c r="AQ708" s="17"/>
      <c r="AR708" s="17"/>
      <c r="AS708" s="17"/>
      <c r="AT708" s="17" t="s">
        <v>708</v>
      </c>
      <c r="AU708" s="17"/>
    </row>
    <row r="709" spans="1:47" x14ac:dyDescent="0.2">
      <c r="A709" s="115">
        <v>707.99999999999841</v>
      </c>
      <c r="B709" s="3">
        <v>157</v>
      </c>
      <c r="C709" s="3">
        <v>21.707999999999998</v>
      </c>
      <c r="D709" s="126" t="s">
        <v>168</v>
      </c>
      <c r="E709" t="s">
        <v>169</v>
      </c>
      <c r="F709" s="17" t="s">
        <v>170</v>
      </c>
      <c r="G709" s="9" t="s">
        <v>30</v>
      </c>
      <c r="H709" s="17"/>
      <c r="I709" s="127">
        <v>44403</v>
      </c>
      <c r="J709" s="16" t="s">
        <v>142</v>
      </c>
      <c r="K709" s="16" t="s">
        <v>235</v>
      </c>
      <c r="L709" s="17"/>
      <c r="M709" s="17"/>
      <c r="N709" s="17">
        <v>310.82</v>
      </c>
      <c r="O709" s="17">
        <v>204.64</v>
      </c>
      <c r="P709" s="17">
        <v>206.76</v>
      </c>
      <c r="Q709" s="17">
        <v>36.07</v>
      </c>
      <c r="R709" s="17">
        <v>32.72</v>
      </c>
      <c r="S709" s="17">
        <v>135.11000000000001</v>
      </c>
      <c r="T709" s="17">
        <v>104.91</v>
      </c>
      <c r="U709" s="50">
        <v>76.510000000000005</v>
      </c>
      <c r="V709" s="50">
        <v>55.46</v>
      </c>
      <c r="W709" s="50">
        <v>78.22</v>
      </c>
      <c r="X709" s="50">
        <v>97.31</v>
      </c>
      <c r="Y709" s="50">
        <v>42.84</v>
      </c>
      <c r="Z709" s="50">
        <v>103.76</v>
      </c>
      <c r="AA709" s="50">
        <v>86.73</v>
      </c>
      <c r="AB709" s="50">
        <v>82.07</v>
      </c>
      <c r="AC709" s="50">
        <v>3.63</v>
      </c>
      <c r="AD709" s="50">
        <v>53.12</v>
      </c>
      <c r="AE709" s="17">
        <v>30.2</v>
      </c>
      <c r="AF709" s="17">
        <v>40.5</v>
      </c>
      <c r="AG709" s="17">
        <v>36.549999999999997</v>
      </c>
      <c r="AH709" s="17">
        <v>36.5</v>
      </c>
      <c r="AI709" s="17">
        <v>1.0389999999999999</v>
      </c>
      <c r="AJ709" s="17">
        <v>64.97</v>
      </c>
      <c r="AK709" s="17"/>
      <c r="AL709" s="17"/>
      <c r="AM709" s="17"/>
      <c r="AN709" s="17">
        <v>119</v>
      </c>
      <c r="AO709" s="17"/>
      <c r="AP709" s="17"/>
      <c r="AQ709" s="17"/>
      <c r="AR709" s="17"/>
      <c r="AS709" s="17"/>
      <c r="AT709" s="17" t="s">
        <v>708</v>
      </c>
      <c r="AU709" s="17"/>
    </row>
    <row r="710" spans="1:47" x14ac:dyDescent="0.2">
      <c r="A710" s="115">
        <v>708.99999999999966</v>
      </c>
      <c r="B710" s="3">
        <v>158</v>
      </c>
      <c r="C710" s="3">
        <v>21.709</v>
      </c>
      <c r="D710" s="126" t="s">
        <v>168</v>
      </c>
      <c r="E710" t="s">
        <v>169</v>
      </c>
      <c r="F710" s="17" t="s">
        <v>170</v>
      </c>
      <c r="H710" s="9" t="s">
        <v>177</v>
      </c>
      <c r="I710" s="127">
        <v>44403</v>
      </c>
      <c r="J710" s="16" t="s">
        <v>142</v>
      </c>
      <c r="K710" s="16" t="s">
        <v>235</v>
      </c>
      <c r="L710" s="17"/>
      <c r="M710" s="17"/>
      <c r="N710" s="17">
        <v>313.32</v>
      </c>
      <c r="O710" s="17">
        <v>195.96</v>
      </c>
      <c r="P710" s="17">
        <v>198.76</v>
      </c>
      <c r="Q710" s="17">
        <v>34.15</v>
      </c>
      <c r="R710" s="17">
        <v>31.74</v>
      </c>
      <c r="S710" s="17">
        <v>35.659999999999997</v>
      </c>
      <c r="T710" s="17">
        <v>109.31</v>
      </c>
      <c r="U710" s="50">
        <v>77.94</v>
      </c>
      <c r="V710" s="50">
        <v>54.17</v>
      </c>
      <c r="W710" s="50">
        <v>81.010000000000005</v>
      </c>
      <c r="X710" s="50">
        <v>100.13</v>
      </c>
      <c r="Y710" s="50">
        <v>43.88</v>
      </c>
      <c r="Z710" s="50">
        <v>105.32</v>
      </c>
      <c r="AA710" s="50">
        <v>87.82</v>
      </c>
      <c r="AB710" s="50">
        <v>82.54</v>
      </c>
      <c r="AC710" s="50">
        <v>3.57</v>
      </c>
      <c r="AD710" s="50">
        <v>54.73</v>
      </c>
      <c r="AE710" s="17">
        <v>28.58</v>
      </c>
      <c r="AF710" s="17">
        <v>40.28</v>
      </c>
      <c r="AG710" s="17">
        <v>33.04</v>
      </c>
      <c r="AH710" s="17">
        <v>37.799999999999997</v>
      </c>
      <c r="AI710" s="17">
        <v>1.0860000000000001</v>
      </c>
      <c r="AJ710" s="17">
        <v>65.069999999999993</v>
      </c>
      <c r="AK710" s="17"/>
      <c r="AL710" s="17"/>
      <c r="AM710" s="17"/>
      <c r="AN710" s="17">
        <v>119</v>
      </c>
      <c r="AO710" s="17"/>
      <c r="AP710" s="17"/>
      <c r="AQ710" s="17"/>
      <c r="AR710" s="17"/>
      <c r="AS710" s="17"/>
      <c r="AT710" s="17" t="s">
        <v>708</v>
      </c>
      <c r="AU710" s="17"/>
    </row>
    <row r="711" spans="1:47" x14ac:dyDescent="0.2">
      <c r="A711" s="115">
        <v>710.00000000000091</v>
      </c>
      <c r="B711" s="3">
        <v>159</v>
      </c>
      <c r="C711" s="2" t="s">
        <v>10</v>
      </c>
      <c r="D711" s="126" t="s">
        <v>168</v>
      </c>
      <c r="E711" t="s">
        <v>169</v>
      </c>
      <c r="F711" s="17" t="s">
        <v>170</v>
      </c>
      <c r="G711" s="9" t="s">
        <v>30</v>
      </c>
      <c r="H711"/>
      <c r="I711" s="127">
        <v>44409</v>
      </c>
      <c r="J711" s="16" t="s">
        <v>142</v>
      </c>
      <c r="K711" s="16" t="s">
        <v>235</v>
      </c>
      <c r="L711" s="17"/>
      <c r="M711" s="17"/>
      <c r="N711" s="17">
        <v>312.69</v>
      </c>
      <c r="O711" s="17">
        <v>194.62</v>
      </c>
      <c r="P711" s="17">
        <v>200.97</v>
      </c>
      <c r="Q711" s="17">
        <v>33.950000000000003</v>
      </c>
      <c r="R711" s="17">
        <v>32.549999999999997</v>
      </c>
      <c r="S711" s="17">
        <v>133.19999999999999</v>
      </c>
      <c r="T711" s="17">
        <v>106.05</v>
      </c>
      <c r="U711" s="50">
        <v>77.489999999999995</v>
      </c>
      <c r="V711" s="50">
        <v>53.05</v>
      </c>
      <c r="W711" s="50">
        <v>79.290000000000006</v>
      </c>
      <c r="X711" s="50">
        <v>100.39</v>
      </c>
      <c r="Y711" s="50">
        <v>44.87</v>
      </c>
      <c r="Z711" s="50">
        <v>105.75</v>
      </c>
      <c r="AA711" s="50">
        <v>88.89</v>
      </c>
      <c r="AB711" s="50">
        <v>85.31</v>
      </c>
      <c r="AC711" s="50">
        <v>1.63</v>
      </c>
      <c r="AD711" s="50">
        <v>54.27</v>
      </c>
      <c r="AE711" s="17">
        <v>27.83</v>
      </c>
      <c r="AF711" s="17">
        <v>38.76</v>
      </c>
      <c r="AG711" s="17">
        <v>35.85</v>
      </c>
      <c r="AH711" s="17">
        <v>39.090000000000003</v>
      </c>
      <c r="AI711" s="17">
        <v>1.1040000000000001</v>
      </c>
      <c r="AJ711" s="17">
        <v>62.55</v>
      </c>
      <c r="AK711" s="17"/>
      <c r="AL711" s="17"/>
      <c r="AM711" s="17"/>
      <c r="AN711" s="17">
        <v>123</v>
      </c>
      <c r="AO711" s="17"/>
      <c r="AP711" s="17"/>
      <c r="AQ711" s="17"/>
      <c r="AR711" s="17"/>
      <c r="AS711" s="17"/>
      <c r="AT711" s="17" t="s">
        <v>708</v>
      </c>
      <c r="AU711" s="17"/>
    </row>
    <row r="712" spans="1:47" x14ac:dyDescent="0.2">
      <c r="A712" s="115">
        <v>710.99999999999852</v>
      </c>
      <c r="B712" s="3">
        <v>160</v>
      </c>
      <c r="C712" s="3">
        <v>21.710999999999999</v>
      </c>
      <c r="D712" s="126" t="s">
        <v>168</v>
      </c>
      <c r="E712" t="s">
        <v>169</v>
      </c>
      <c r="F712" s="17" t="s">
        <v>170</v>
      </c>
      <c r="G712" s="9" t="s">
        <v>30</v>
      </c>
      <c r="H712"/>
      <c r="I712" s="127">
        <v>44409</v>
      </c>
      <c r="J712" s="16" t="s">
        <v>142</v>
      </c>
      <c r="K712" s="16" t="s">
        <v>235</v>
      </c>
      <c r="L712" s="17"/>
      <c r="M712" s="17"/>
      <c r="N712" s="17">
        <v>306.58</v>
      </c>
      <c r="O712" s="17">
        <v>191.02</v>
      </c>
      <c r="P712" s="17">
        <v>202.76</v>
      </c>
      <c r="Q712" s="17">
        <v>36.380000000000003</v>
      </c>
      <c r="R712" s="17">
        <v>29.25</v>
      </c>
      <c r="S712" s="17">
        <v>133.88999999999999</v>
      </c>
      <c r="T712" s="17">
        <v>103.25</v>
      </c>
      <c r="U712" s="50">
        <v>73.44</v>
      </c>
      <c r="V712" s="50">
        <v>53.73</v>
      </c>
      <c r="W712" s="50">
        <v>76.430000000000007</v>
      </c>
      <c r="X712" s="50">
        <v>93.4</v>
      </c>
      <c r="Y712" s="50">
        <v>44.42</v>
      </c>
      <c r="Z712" s="50">
        <v>105.02</v>
      </c>
      <c r="AA712" s="50">
        <v>87.26</v>
      </c>
      <c r="AB712" s="50">
        <v>82.4</v>
      </c>
      <c r="AC712" s="50">
        <v>1</v>
      </c>
      <c r="AD712" s="50">
        <v>54.48</v>
      </c>
      <c r="AE712" s="17">
        <v>28.71</v>
      </c>
      <c r="AF712" s="17">
        <v>43.18</v>
      </c>
      <c r="AG712" s="17">
        <v>32.840000000000003</v>
      </c>
      <c r="AH712" s="17">
        <v>42.92</v>
      </c>
      <c r="AI712" s="17">
        <v>1.0780000000000001</v>
      </c>
      <c r="AJ712" s="17">
        <v>63.62</v>
      </c>
      <c r="AK712" s="17"/>
      <c r="AL712" s="17"/>
      <c r="AM712" s="17"/>
      <c r="AN712" s="17">
        <v>139</v>
      </c>
      <c r="AO712" s="17"/>
      <c r="AP712" s="17"/>
      <c r="AQ712" s="17"/>
      <c r="AR712" s="17"/>
      <c r="AS712" s="17"/>
      <c r="AT712" s="17" t="s">
        <v>708</v>
      </c>
      <c r="AU712" s="17"/>
    </row>
    <row r="713" spans="1:47" x14ac:dyDescent="0.2">
      <c r="A713" s="115">
        <v>711.99999999999977</v>
      </c>
      <c r="B713" s="3">
        <v>161</v>
      </c>
      <c r="C713" s="3">
        <v>21.712</v>
      </c>
      <c r="D713" s="126" t="s">
        <v>168</v>
      </c>
      <c r="E713" t="s">
        <v>169</v>
      </c>
      <c r="F713" s="17" t="s">
        <v>170</v>
      </c>
      <c r="G713"/>
      <c r="H713" s="3" t="s">
        <v>30</v>
      </c>
      <c r="I713" s="127">
        <v>44412</v>
      </c>
      <c r="J713" s="16" t="s">
        <v>142</v>
      </c>
      <c r="K713" s="16" t="s">
        <v>235</v>
      </c>
      <c r="L713" s="17">
        <v>295</v>
      </c>
      <c r="M713" s="17">
        <v>213</v>
      </c>
      <c r="N713" s="17">
        <v>307.52</v>
      </c>
      <c r="O713" s="17">
        <v>194.65</v>
      </c>
      <c r="P713" s="17">
        <v>203.49</v>
      </c>
      <c r="Q713" s="17">
        <v>37.78</v>
      </c>
      <c r="R713" s="17">
        <v>28.97</v>
      </c>
      <c r="S713" s="17">
        <v>132.16999999999999</v>
      </c>
      <c r="T713" s="17">
        <v>105.35</v>
      </c>
      <c r="U713" s="50">
        <v>74.849999999999994</v>
      </c>
      <c r="V713" s="50">
        <v>55.57</v>
      </c>
      <c r="W713" s="50">
        <v>76.94</v>
      </c>
      <c r="X713" s="50">
        <v>96.26</v>
      </c>
      <c r="Y713" s="50">
        <v>44.32</v>
      </c>
      <c r="Z713" s="50">
        <v>104.02</v>
      </c>
      <c r="AA713" s="50">
        <v>90.11</v>
      </c>
      <c r="AB713" s="50">
        <v>82.55</v>
      </c>
      <c r="AC713" s="50">
        <v>2.42</v>
      </c>
      <c r="AD713" s="50">
        <v>53.64</v>
      </c>
      <c r="AE713" s="17">
        <v>28.57</v>
      </c>
      <c r="AF713" s="17">
        <v>41.74</v>
      </c>
      <c r="AG713" s="17">
        <v>33.299999999999997</v>
      </c>
      <c r="AH713" s="17">
        <v>43.83</v>
      </c>
      <c r="AI713" s="17">
        <v>1.038</v>
      </c>
      <c r="AJ713" s="17">
        <v>65.95</v>
      </c>
      <c r="AK713" s="17"/>
      <c r="AL713" s="17"/>
      <c r="AM713" s="17"/>
      <c r="AN713" s="17">
        <v>141</v>
      </c>
      <c r="AO713" s="17"/>
      <c r="AP713" s="17"/>
      <c r="AQ713" s="17"/>
      <c r="AR713" s="17"/>
      <c r="AS713" s="17"/>
      <c r="AT713" s="17" t="s">
        <v>708</v>
      </c>
      <c r="AU713" s="17"/>
    </row>
    <row r="714" spans="1:47" x14ac:dyDescent="0.2">
      <c r="A714" s="115">
        <v>713.00000000000091</v>
      </c>
      <c r="B714" s="3">
        <v>162</v>
      </c>
      <c r="C714" s="3">
        <v>21.713000000000001</v>
      </c>
      <c r="D714" s="126" t="s">
        <v>168</v>
      </c>
      <c r="E714" t="s">
        <v>169</v>
      </c>
      <c r="F714" s="17" t="s">
        <v>170</v>
      </c>
      <c r="G714" s="17" t="s">
        <v>30</v>
      </c>
      <c r="H714" s="3" t="s">
        <v>30</v>
      </c>
      <c r="I714" s="127">
        <v>44412</v>
      </c>
      <c r="J714" s="16" t="s">
        <v>142</v>
      </c>
      <c r="K714" s="16" t="s">
        <v>235</v>
      </c>
      <c r="L714" s="17">
        <v>300</v>
      </c>
      <c r="M714" s="17">
        <v>208</v>
      </c>
      <c r="N714" s="17">
        <v>308.83</v>
      </c>
      <c r="O714" s="17">
        <v>196.57</v>
      </c>
      <c r="P714" s="17">
        <v>198.22</v>
      </c>
      <c r="Q714" s="17">
        <v>37.39</v>
      </c>
      <c r="R714" s="17">
        <v>28.6</v>
      </c>
      <c r="S714" s="17">
        <v>134.24</v>
      </c>
      <c r="T714" s="17">
        <v>108.36</v>
      </c>
      <c r="U714" s="50">
        <v>79.05</v>
      </c>
      <c r="V714" s="50">
        <v>54.04</v>
      </c>
      <c r="W714" s="50">
        <v>79.95</v>
      </c>
      <c r="X714" s="50">
        <v>101.34</v>
      </c>
      <c r="Y714" s="50">
        <v>44.76</v>
      </c>
      <c r="Z714" s="50">
        <v>106.27</v>
      </c>
      <c r="AA714" s="50">
        <v>89.54</v>
      </c>
      <c r="AB714" s="50">
        <v>85.86</v>
      </c>
      <c r="AC714" s="50">
        <v>3.07</v>
      </c>
      <c r="AD714" s="50">
        <v>50.72</v>
      </c>
      <c r="AE714" s="17">
        <v>27.44</v>
      </c>
      <c r="AF714" s="17">
        <v>39.35</v>
      </c>
      <c r="AG714" s="17">
        <v>35.39</v>
      </c>
      <c r="AH714" s="17">
        <v>38.880000000000003</v>
      </c>
      <c r="AI714" s="17">
        <v>1.0860000000000001</v>
      </c>
      <c r="AJ714" s="17">
        <v>63.38</v>
      </c>
      <c r="AK714" s="17"/>
      <c r="AL714" s="17"/>
      <c r="AM714" s="17"/>
      <c r="AN714" s="17">
        <v>133</v>
      </c>
      <c r="AO714" s="17"/>
      <c r="AP714" s="17"/>
      <c r="AQ714" s="17"/>
      <c r="AR714" s="17"/>
      <c r="AS714" s="17"/>
      <c r="AT714" s="17" t="s">
        <v>708</v>
      </c>
      <c r="AU714" s="17"/>
    </row>
    <row r="715" spans="1:47" x14ac:dyDescent="0.2">
      <c r="A715" s="115">
        <v>713.99999999999864</v>
      </c>
      <c r="B715" s="3">
        <v>78</v>
      </c>
      <c r="C715" s="3">
        <v>21.713999999999999</v>
      </c>
      <c r="D715" s="126" t="s">
        <v>168</v>
      </c>
      <c r="E715" t="s">
        <v>232</v>
      </c>
      <c r="F715" s="17" t="s">
        <v>170</v>
      </c>
      <c r="G715" s="17"/>
      <c r="H715" s="3" t="s">
        <v>275</v>
      </c>
      <c r="I715" s="141"/>
      <c r="J715" s="16" t="s">
        <v>142</v>
      </c>
      <c r="K715" s="16" t="s">
        <v>235</v>
      </c>
      <c r="L715" s="17"/>
      <c r="M715" s="17"/>
      <c r="N715" s="17">
        <v>209.45</v>
      </c>
      <c r="O715" s="17">
        <v>16.64</v>
      </c>
      <c r="P715" s="17">
        <v>173.11</v>
      </c>
      <c r="Q715" s="17">
        <v>40.11</v>
      </c>
      <c r="R715" s="17">
        <v>11.79</v>
      </c>
      <c r="S715" s="17">
        <v>113.59</v>
      </c>
      <c r="T715" s="17">
        <v>92.16</v>
      </c>
      <c r="U715" s="50">
        <v>61.14</v>
      </c>
      <c r="V715" s="50">
        <v>45.16</v>
      </c>
      <c r="W715" s="50">
        <v>64.08</v>
      </c>
      <c r="X715" s="50">
        <v>82.19</v>
      </c>
      <c r="Y715" s="50">
        <v>37.4</v>
      </c>
      <c r="Z715" s="50">
        <v>92.07</v>
      </c>
      <c r="AA715" s="50">
        <v>76.95</v>
      </c>
      <c r="AB715" s="50">
        <v>66.77</v>
      </c>
      <c r="AC715" s="50">
        <v>10.82</v>
      </c>
      <c r="AD715" s="50">
        <v>50.33</v>
      </c>
      <c r="AE715" s="17">
        <v>25.36</v>
      </c>
      <c r="AF715" s="17">
        <v>32.119999999999997</v>
      </c>
      <c r="AG715" s="17">
        <v>28.15</v>
      </c>
      <c r="AH715" s="17">
        <v>32.29</v>
      </c>
      <c r="AI715" s="17">
        <v>1.29</v>
      </c>
      <c r="AJ715" s="17">
        <v>35.76</v>
      </c>
      <c r="AK715" s="17"/>
      <c r="AL715" s="17"/>
      <c r="AM715" s="17">
        <v>77</v>
      </c>
      <c r="AN715" s="17">
        <v>10</v>
      </c>
      <c r="AO715" s="17"/>
      <c r="AP715" s="17"/>
      <c r="AQ715" s="17"/>
      <c r="AR715" s="17"/>
      <c r="AS715" s="17"/>
      <c r="AT715" s="17" t="s">
        <v>708</v>
      </c>
      <c r="AU715" s="17"/>
    </row>
    <row r="716" spans="1:47" x14ac:dyDescent="0.2">
      <c r="A716" s="115">
        <v>714.99999999999989</v>
      </c>
      <c r="B716" s="3">
        <v>79</v>
      </c>
      <c r="C716" s="3">
        <v>21.715</v>
      </c>
      <c r="D716" s="126" t="s">
        <v>168</v>
      </c>
      <c r="E716" t="s">
        <v>232</v>
      </c>
      <c r="F716" s="17" t="s">
        <v>170</v>
      </c>
      <c r="G716" s="17"/>
      <c r="H716" s="3" t="s">
        <v>275</v>
      </c>
      <c r="I716" s="141"/>
      <c r="J716" s="16" t="s">
        <v>142</v>
      </c>
      <c r="K716" s="16" t="s">
        <v>235</v>
      </c>
      <c r="L716" s="17"/>
      <c r="M716" s="17"/>
      <c r="N716" s="17">
        <v>213.28</v>
      </c>
      <c r="O716" s="17">
        <v>167.43</v>
      </c>
      <c r="P716" s="17">
        <v>174.38</v>
      </c>
      <c r="Q716" s="17">
        <v>40.130000000000003</v>
      </c>
      <c r="R716" s="17">
        <v>11.98</v>
      </c>
      <c r="S716" s="17">
        <v>114.94</v>
      </c>
      <c r="T716" s="17">
        <v>96.33</v>
      </c>
      <c r="U716" s="50">
        <v>62.65</v>
      </c>
      <c r="V716" s="50">
        <v>45.44</v>
      </c>
      <c r="W716" s="50">
        <v>66.37</v>
      </c>
      <c r="X716" s="50">
        <v>82.6</v>
      </c>
      <c r="Y716" s="50">
        <v>36.51</v>
      </c>
      <c r="Z716" s="50">
        <v>92.37</v>
      </c>
      <c r="AA716" s="50">
        <v>77.290000000000006</v>
      </c>
      <c r="AB716" s="50">
        <v>67.83</v>
      </c>
      <c r="AC716" s="50">
        <v>9.8800000000000008</v>
      </c>
      <c r="AD716" s="50">
        <v>49.99</v>
      </c>
      <c r="AE716" s="50">
        <v>26.47</v>
      </c>
      <c r="AF716" s="17">
        <v>31.36</v>
      </c>
      <c r="AG716" s="17">
        <v>28.94</v>
      </c>
      <c r="AH716" s="17">
        <v>34.5</v>
      </c>
      <c r="AI716" s="17">
        <v>1.256</v>
      </c>
      <c r="AJ716" s="17">
        <v>36.590000000000003</v>
      </c>
      <c r="AK716" s="17"/>
      <c r="AL716" s="17"/>
      <c r="AM716" s="17">
        <v>21</v>
      </c>
      <c r="AN716" s="17">
        <v>73</v>
      </c>
      <c r="AO716" s="17"/>
      <c r="AP716" s="17"/>
      <c r="AQ716" s="17"/>
      <c r="AR716" s="17"/>
      <c r="AS716" s="17"/>
      <c r="AT716" s="17" t="s">
        <v>708</v>
      </c>
      <c r="AU716" s="17"/>
    </row>
    <row r="717" spans="1:47" x14ac:dyDescent="0.2">
      <c r="A717" s="115">
        <v>716.00000000000114</v>
      </c>
      <c r="B717" s="3" t="s">
        <v>178</v>
      </c>
      <c r="C717" s="3">
        <v>21.716000000000001</v>
      </c>
      <c r="D717" s="139" t="s">
        <v>179</v>
      </c>
      <c r="E717" t="s">
        <v>180</v>
      </c>
      <c r="F717" s="17" t="s">
        <v>181</v>
      </c>
      <c r="G717" s="17"/>
      <c r="H717" s="3" t="s">
        <v>268</v>
      </c>
      <c r="I717" s="82">
        <v>44374</v>
      </c>
      <c r="J717" s="17" t="s">
        <v>142</v>
      </c>
      <c r="K717" s="17" t="s">
        <v>235</v>
      </c>
      <c r="L717"/>
      <c r="M717" s="17">
        <v>265</v>
      </c>
      <c r="N717" s="17">
        <v>263.2</v>
      </c>
      <c r="O717" s="17">
        <v>185.38</v>
      </c>
      <c r="P717" s="17">
        <v>194.5</v>
      </c>
      <c r="Q717" s="17">
        <v>38.6</v>
      </c>
      <c r="R717" s="17">
        <v>20.64</v>
      </c>
      <c r="S717" s="17">
        <v>128.82</v>
      </c>
      <c r="T717" s="17">
        <v>99.75</v>
      </c>
      <c r="U717" s="17">
        <v>67.099999999999994</v>
      </c>
      <c r="V717" s="17">
        <v>48.42</v>
      </c>
      <c r="W717" s="17">
        <v>70.58</v>
      </c>
      <c r="X717" s="17">
        <v>91.76</v>
      </c>
      <c r="Y717" s="17">
        <v>40.01</v>
      </c>
      <c r="Z717" s="17">
        <v>98.71</v>
      </c>
      <c r="AA717" s="17">
        <v>84.4</v>
      </c>
      <c r="AB717" s="17">
        <v>73.489999999999995</v>
      </c>
      <c r="AC717" s="17">
        <v>8.86</v>
      </c>
      <c r="AD717" s="17">
        <v>49.64</v>
      </c>
      <c r="AE717" s="17">
        <v>31.12</v>
      </c>
      <c r="AF717" s="17">
        <v>39.61</v>
      </c>
      <c r="AG717" s="17">
        <v>33.69</v>
      </c>
      <c r="AH717" s="17">
        <v>41.8</v>
      </c>
      <c r="AI717" s="17">
        <v>1.256</v>
      </c>
      <c r="AJ717" s="17">
        <v>54.76</v>
      </c>
      <c r="AK717" s="17"/>
      <c r="AL717"/>
      <c r="AM717"/>
      <c r="AN717" s="17">
        <v>123</v>
      </c>
      <c r="AO717"/>
      <c r="AP717"/>
      <c r="AQ717"/>
      <c r="AR717"/>
      <c r="AS717"/>
      <c r="AT717" s="17" t="s">
        <v>708</v>
      </c>
      <c r="AU717" s="17"/>
    </row>
    <row r="718" spans="1:47" x14ac:dyDescent="0.2">
      <c r="A718" s="115">
        <v>716.99999999999875</v>
      </c>
      <c r="B718" s="3" t="s">
        <v>183</v>
      </c>
      <c r="C718" s="3">
        <v>21.716999999999999</v>
      </c>
      <c r="D718" s="139" t="s">
        <v>179</v>
      </c>
      <c r="E718" t="s">
        <v>180</v>
      </c>
      <c r="F718" s="17" t="s">
        <v>181</v>
      </c>
      <c r="G718" s="17"/>
      <c r="H718" s="3" t="s">
        <v>268</v>
      </c>
      <c r="I718" s="82">
        <v>44374</v>
      </c>
      <c r="J718" s="17" t="s">
        <v>142</v>
      </c>
      <c r="K718" s="17" t="s">
        <v>235</v>
      </c>
      <c r="L718"/>
      <c r="M718" s="17">
        <v>260</v>
      </c>
      <c r="N718" s="17">
        <v>273.37</v>
      </c>
      <c r="O718" s="17">
        <v>181.9</v>
      </c>
      <c r="P718" s="17">
        <v>199.96</v>
      </c>
      <c r="Q718" s="17">
        <v>44.19</v>
      </c>
      <c r="R718" s="17">
        <v>20.03</v>
      </c>
      <c r="S718" s="17">
        <v>126.92</v>
      </c>
      <c r="T718" s="17">
        <v>99.24</v>
      </c>
      <c r="U718" s="17">
        <v>65.58</v>
      </c>
      <c r="V718" s="17">
        <v>47.94</v>
      </c>
      <c r="W718" s="17">
        <v>67.84</v>
      </c>
      <c r="X718" s="17">
        <v>85.77</v>
      </c>
      <c r="Y718" s="17">
        <v>37.44</v>
      </c>
      <c r="Z718" s="17">
        <v>96.29</v>
      </c>
      <c r="AA718" s="17">
        <v>81.63</v>
      </c>
      <c r="AB718" s="17">
        <v>74.09</v>
      </c>
      <c r="AC718" s="17">
        <v>4.87</v>
      </c>
      <c r="AD718" s="17">
        <v>52.72</v>
      </c>
      <c r="AE718" s="17">
        <v>25.85</v>
      </c>
      <c r="AF718" s="17">
        <v>34.85</v>
      </c>
      <c r="AG718" s="17">
        <v>34.85</v>
      </c>
      <c r="AH718" s="17">
        <v>37.869999999999997</v>
      </c>
      <c r="AI718" s="17">
        <v>1.1419999999999999</v>
      </c>
      <c r="AJ718" s="17">
        <v>39.33</v>
      </c>
      <c r="AK718" s="17"/>
      <c r="AL718"/>
      <c r="AM718"/>
      <c r="AN718" s="17">
        <v>133</v>
      </c>
      <c r="AO718"/>
      <c r="AP718"/>
      <c r="AQ718"/>
      <c r="AR718"/>
      <c r="AS718"/>
      <c r="AT718" s="17" t="s">
        <v>708</v>
      </c>
      <c r="AU718" s="17"/>
    </row>
    <row r="719" spans="1:47" x14ac:dyDescent="0.2">
      <c r="A719" s="115">
        <v>718</v>
      </c>
      <c r="B719" s="3" t="s">
        <v>184</v>
      </c>
      <c r="C719" s="3">
        <v>21.718</v>
      </c>
      <c r="D719" s="139" t="s">
        <v>179</v>
      </c>
      <c r="E719" t="s">
        <v>180</v>
      </c>
      <c r="F719" s="17" t="s">
        <v>181</v>
      </c>
      <c r="G719" s="17"/>
      <c r="H719" s="3" t="s">
        <v>268</v>
      </c>
      <c r="I719" s="82">
        <v>44374</v>
      </c>
      <c r="J719" s="17" t="s">
        <v>142</v>
      </c>
      <c r="K719" s="17" t="s">
        <v>235</v>
      </c>
      <c r="L719"/>
      <c r="M719" s="17">
        <v>260</v>
      </c>
      <c r="N719" s="17">
        <v>270.95999999999998</v>
      </c>
      <c r="O719" s="17">
        <v>194.85</v>
      </c>
      <c r="P719" s="17">
        <v>201.95</v>
      </c>
      <c r="Q719" s="17">
        <v>41.73</v>
      </c>
      <c r="R719" s="17">
        <v>22.3</v>
      </c>
      <c r="S719" s="17">
        <v>132.83000000000001</v>
      </c>
      <c r="T719" s="17">
        <v>104.61</v>
      </c>
      <c r="U719" s="17">
        <v>60.86</v>
      </c>
      <c r="V719" s="17">
        <v>48.61</v>
      </c>
      <c r="W719" s="17">
        <v>68.010000000000005</v>
      </c>
      <c r="X719" s="17">
        <v>86.99</v>
      </c>
      <c r="Y719" s="17">
        <v>36.82</v>
      </c>
      <c r="Z719" s="17">
        <v>94.95</v>
      </c>
      <c r="AA719" s="17">
        <v>81.09</v>
      </c>
      <c r="AB719" s="17">
        <v>68.8</v>
      </c>
      <c r="AC719" s="17">
        <v>3.76</v>
      </c>
      <c r="AD719" s="17">
        <v>51.66</v>
      </c>
      <c r="AE719" s="17">
        <v>29.2</v>
      </c>
      <c r="AF719" s="17">
        <v>41.82</v>
      </c>
      <c r="AG719" s="17">
        <v>29.23</v>
      </c>
      <c r="AH719" s="17">
        <v>43.56</v>
      </c>
      <c r="AI719" s="17">
        <v>1.073</v>
      </c>
      <c r="AJ719" s="17">
        <v>32.39</v>
      </c>
      <c r="AK719" s="17"/>
      <c r="AL719"/>
      <c r="AM719"/>
      <c r="AN719" s="17">
        <v>141</v>
      </c>
      <c r="AO719"/>
      <c r="AP719"/>
      <c r="AQ719"/>
      <c r="AR719"/>
      <c r="AS719"/>
      <c r="AT719" s="17" t="s">
        <v>708</v>
      </c>
      <c r="AU719" s="17"/>
    </row>
    <row r="720" spans="1:47" x14ac:dyDescent="0.2">
      <c r="A720" s="115">
        <v>719.00000000000114</v>
      </c>
      <c r="B720" s="3" t="s">
        <v>197</v>
      </c>
      <c r="C720" s="3">
        <v>21.719000000000001</v>
      </c>
      <c r="D720" s="139" t="s">
        <v>179</v>
      </c>
      <c r="E720" t="s">
        <v>180</v>
      </c>
      <c r="F720" s="17" t="s">
        <v>181</v>
      </c>
      <c r="G720" s="3">
        <v>259</v>
      </c>
      <c r="H720" s="17"/>
      <c r="I720" s="82">
        <v>44374</v>
      </c>
      <c r="J720" s="17" t="s">
        <v>142</v>
      </c>
      <c r="K720" s="17" t="s">
        <v>235</v>
      </c>
      <c r="L720"/>
      <c r="M720" s="17">
        <v>260</v>
      </c>
      <c r="N720" s="17">
        <v>261.91000000000003</v>
      </c>
      <c r="O720" s="17">
        <v>196.61</v>
      </c>
      <c r="P720" s="17">
        <v>205.47</v>
      </c>
      <c r="Q720" s="17">
        <v>44.75</v>
      </c>
      <c r="R720" s="17">
        <v>23.08</v>
      </c>
      <c r="S720" s="17">
        <v>136.34</v>
      </c>
      <c r="T720" s="17">
        <v>104.27</v>
      </c>
      <c r="U720" s="17">
        <v>62.32</v>
      </c>
      <c r="V720" s="17">
        <v>46.77</v>
      </c>
      <c r="W720" s="17">
        <v>65.62</v>
      </c>
      <c r="X720" s="17">
        <v>86.59</v>
      </c>
      <c r="Y720" s="17">
        <v>41.34</v>
      </c>
      <c r="Z720" s="17">
        <v>94.87</v>
      </c>
      <c r="AA720" s="17">
        <v>80.599999999999994</v>
      </c>
      <c r="AB720" s="17">
        <v>68.05</v>
      </c>
      <c r="AC720" s="17">
        <v>3.26</v>
      </c>
      <c r="AD720" s="17">
        <v>51.31</v>
      </c>
      <c r="AE720" s="17">
        <v>32.659999999999997</v>
      </c>
      <c r="AF720" s="17">
        <v>37.71</v>
      </c>
      <c r="AG720" s="17">
        <v>29.64</v>
      </c>
      <c r="AH720" s="17">
        <v>44.88</v>
      </c>
      <c r="AI720" s="17">
        <v>0.95899999999999996</v>
      </c>
      <c r="AJ720" s="17">
        <v>42.63</v>
      </c>
      <c r="AK720" s="17"/>
      <c r="AL720"/>
      <c r="AM720"/>
      <c r="AN720" s="17">
        <v>125</v>
      </c>
      <c r="AO720"/>
      <c r="AP720"/>
      <c r="AQ720"/>
      <c r="AR720"/>
      <c r="AS720"/>
      <c r="AT720" s="17" t="s">
        <v>708</v>
      </c>
      <c r="AU720" s="17"/>
    </row>
    <row r="721" spans="1:47" x14ac:dyDescent="0.2">
      <c r="A721" s="115">
        <v>719.99999999999886</v>
      </c>
      <c r="B721" s="3" t="s">
        <v>709</v>
      </c>
      <c r="C721" s="2" t="s">
        <v>46</v>
      </c>
      <c r="D721" s="139" t="s">
        <v>179</v>
      </c>
      <c r="E721" t="s">
        <v>180</v>
      </c>
      <c r="F721" s="17" t="s">
        <v>181</v>
      </c>
      <c r="G721" s="17"/>
      <c r="H721" s="3" t="s">
        <v>268</v>
      </c>
      <c r="I721" s="82">
        <v>44374</v>
      </c>
      <c r="J721" s="17" t="s">
        <v>142</v>
      </c>
      <c r="K721" s="17" t="s">
        <v>235</v>
      </c>
      <c r="L721"/>
      <c r="M721" s="17">
        <v>260</v>
      </c>
      <c r="N721" s="17">
        <v>257.10000000000002</v>
      </c>
      <c r="O721" s="17">
        <v>184.4</v>
      </c>
      <c r="P721" s="17">
        <v>200.65</v>
      </c>
      <c r="Q721" s="17">
        <v>41.5</v>
      </c>
      <c r="R721" s="17">
        <v>17.98</v>
      </c>
      <c r="S721" s="17">
        <v>130.22</v>
      </c>
      <c r="T721" s="17">
        <v>101.96</v>
      </c>
      <c r="U721" s="17">
        <v>61.24</v>
      </c>
      <c r="V721" s="17">
        <v>45.35</v>
      </c>
      <c r="W721" s="17">
        <v>65.09</v>
      </c>
      <c r="X721" s="17">
        <v>88.58</v>
      </c>
      <c r="Y721" s="17">
        <v>42.42</v>
      </c>
      <c r="Z721" s="17">
        <v>97.22</v>
      </c>
      <c r="AA721" s="17">
        <v>82.83</v>
      </c>
      <c r="AB721" s="17">
        <v>70.97</v>
      </c>
      <c r="AC721" s="17">
        <v>6.65</v>
      </c>
      <c r="AD721" s="17">
        <v>50.33</v>
      </c>
      <c r="AE721" s="17">
        <v>29.01</v>
      </c>
      <c r="AF721" s="17">
        <v>40.049999999999997</v>
      </c>
      <c r="AG721" s="17">
        <v>29.64</v>
      </c>
      <c r="AH721" s="17">
        <v>45.84</v>
      </c>
      <c r="AI721" s="17">
        <v>0.91400000000000003</v>
      </c>
      <c r="AJ721" s="17">
        <v>51.6</v>
      </c>
      <c r="AK721" s="17"/>
      <c r="AL721"/>
      <c r="AM721"/>
      <c r="AN721" s="17">
        <v>112</v>
      </c>
      <c r="AO721"/>
      <c r="AP721"/>
      <c r="AQ721"/>
      <c r="AR721"/>
      <c r="AS721"/>
      <c r="AT721" s="17" t="s">
        <v>708</v>
      </c>
      <c r="AU721" s="17"/>
    </row>
    <row r="722" spans="1:47" x14ac:dyDescent="0.2">
      <c r="A722" s="115">
        <v>721.00000000000011</v>
      </c>
      <c r="B722" s="3" t="s">
        <v>198</v>
      </c>
      <c r="C722" s="3">
        <v>21.721</v>
      </c>
      <c r="D722" s="139" t="s">
        <v>179</v>
      </c>
      <c r="E722" t="s">
        <v>180</v>
      </c>
      <c r="F722" s="17" t="s">
        <v>181</v>
      </c>
      <c r="G722" s="17"/>
      <c r="H722" s="3" t="s">
        <v>182</v>
      </c>
      <c r="I722" s="82">
        <v>44377</v>
      </c>
      <c r="J722" s="17" t="s">
        <v>142</v>
      </c>
      <c r="K722" s="17" t="s">
        <v>235</v>
      </c>
      <c r="L722"/>
      <c r="M722" s="17">
        <v>275</v>
      </c>
      <c r="N722" s="17">
        <v>275.44</v>
      </c>
      <c r="O722" s="17">
        <v>191.51</v>
      </c>
      <c r="P722" s="17">
        <v>206.76</v>
      </c>
      <c r="Q722" s="17">
        <v>54.53</v>
      </c>
      <c r="R722" s="17">
        <v>17.22</v>
      </c>
      <c r="S722" s="17">
        <v>127.88</v>
      </c>
      <c r="T722" s="17">
        <v>107.43</v>
      </c>
      <c r="U722" s="17">
        <v>66.97</v>
      </c>
      <c r="V722" s="17">
        <v>46.61</v>
      </c>
      <c r="W722" s="17">
        <v>69.38</v>
      </c>
      <c r="X722" s="17">
        <v>84.98</v>
      </c>
      <c r="Y722" s="17">
        <v>37.51</v>
      </c>
      <c r="Z722" s="17">
        <v>93.85</v>
      </c>
      <c r="AA722" s="17">
        <v>75.38</v>
      </c>
      <c r="AB722" s="17">
        <v>67.33</v>
      </c>
      <c r="AC722" s="17">
        <v>11.18</v>
      </c>
      <c r="AD722" s="17">
        <v>54.06</v>
      </c>
      <c r="AE722" s="17">
        <v>28.05</v>
      </c>
      <c r="AF722" s="17">
        <v>36.32</v>
      </c>
      <c r="AG722" s="17">
        <v>28.03</v>
      </c>
      <c r="AH722" s="17">
        <v>40.229999999999997</v>
      </c>
      <c r="AI722" s="17">
        <v>1.5720000000000001</v>
      </c>
      <c r="AJ722" s="17">
        <v>43.89</v>
      </c>
      <c r="AK722" s="17"/>
      <c r="AL722"/>
      <c r="AM722"/>
      <c r="AN722" s="17">
        <v>109</v>
      </c>
      <c r="AO722"/>
      <c r="AP722"/>
      <c r="AQ722"/>
      <c r="AR722"/>
      <c r="AS722"/>
      <c r="AT722" s="17" t="s">
        <v>708</v>
      </c>
      <c r="AU722" s="17"/>
    </row>
    <row r="723" spans="1:47" x14ac:dyDescent="0.2">
      <c r="A723" s="115">
        <v>722.00000000000136</v>
      </c>
      <c r="B723" s="3">
        <v>42</v>
      </c>
      <c r="C723" s="3">
        <v>21.722000000000001</v>
      </c>
      <c r="D723" s="139" t="s">
        <v>179</v>
      </c>
      <c r="E723" t="s">
        <v>180</v>
      </c>
      <c r="F723" s="17" t="s">
        <v>181</v>
      </c>
      <c r="G723" s="3">
        <v>8</v>
      </c>
      <c r="H723" s="17"/>
      <c r="I723" s="82">
        <v>44451</v>
      </c>
      <c r="J723" s="17" t="s">
        <v>142</v>
      </c>
      <c r="K723" s="17" t="s">
        <v>235</v>
      </c>
      <c r="L723"/>
      <c r="M723" s="17">
        <v>255</v>
      </c>
      <c r="N723" s="17">
        <v>261.75</v>
      </c>
      <c r="O723" s="17">
        <v>205.72</v>
      </c>
      <c r="P723" s="17">
        <v>219.35</v>
      </c>
      <c r="Q723" s="17">
        <v>47.96</v>
      </c>
      <c r="R723" s="17">
        <v>28.04</v>
      </c>
      <c r="S723" s="17">
        <v>135.53</v>
      </c>
      <c r="T723" s="17">
        <v>107.6</v>
      </c>
      <c r="U723" s="17">
        <v>57.67</v>
      </c>
      <c r="V723" s="17">
        <v>44.5</v>
      </c>
      <c r="W723" s="17">
        <v>66.7</v>
      </c>
      <c r="X723" s="17">
        <v>85.35</v>
      </c>
      <c r="Y723" s="17">
        <v>38.96</v>
      </c>
      <c r="Z723" s="17">
        <v>90.82</v>
      </c>
      <c r="AA723" s="17">
        <v>76.38</v>
      </c>
      <c r="AB723" s="17">
        <v>65.510000000000005</v>
      </c>
      <c r="AC723" s="17">
        <v>6.29</v>
      </c>
      <c r="AD723" s="17">
        <v>55.04</v>
      </c>
      <c r="AE723" s="17">
        <v>28.67</v>
      </c>
      <c r="AF723" s="17">
        <v>41.56</v>
      </c>
      <c r="AG723" s="17">
        <v>35.57</v>
      </c>
      <c r="AH723" s="17">
        <v>41.56</v>
      </c>
      <c r="AI723" s="17">
        <v>1.06</v>
      </c>
      <c r="AJ723" s="17">
        <v>32</v>
      </c>
      <c r="AK723" s="17"/>
      <c r="AL723"/>
      <c r="AM723"/>
      <c r="AN723" s="17">
        <v>124</v>
      </c>
      <c r="AO723"/>
      <c r="AP723"/>
      <c r="AQ723"/>
      <c r="AR723"/>
      <c r="AS723"/>
      <c r="AT723" s="17" t="s">
        <v>708</v>
      </c>
      <c r="AU723" s="17"/>
    </row>
    <row r="724" spans="1:47" x14ac:dyDescent="0.2">
      <c r="A724" s="115">
        <v>722.99999999999898</v>
      </c>
      <c r="B724" s="3">
        <v>45</v>
      </c>
      <c r="C724" s="3">
        <v>21.722999999999999</v>
      </c>
      <c r="D724" s="139" t="s">
        <v>179</v>
      </c>
      <c r="E724" t="s">
        <v>180</v>
      </c>
      <c r="F724" s="17" t="s">
        <v>181</v>
      </c>
      <c r="G724" s="3">
        <v>8</v>
      </c>
      <c r="H724" s="17"/>
      <c r="I724" s="82">
        <v>44451</v>
      </c>
      <c r="J724" s="17" t="s">
        <v>142</v>
      </c>
      <c r="K724" s="17" t="s">
        <v>235</v>
      </c>
      <c r="L724"/>
      <c r="M724" s="17">
        <v>265</v>
      </c>
      <c r="N724" s="17">
        <v>259.69</v>
      </c>
      <c r="O724" s="17">
        <v>196.66</v>
      </c>
      <c r="P724" s="17">
        <v>203.31</v>
      </c>
      <c r="Q724" s="17">
        <v>52.62</v>
      </c>
      <c r="R724" s="17">
        <v>21.95</v>
      </c>
      <c r="S724" s="17">
        <v>127.31</v>
      </c>
      <c r="T724" s="17">
        <v>104.24</v>
      </c>
      <c r="U724" s="17">
        <v>58.61</v>
      </c>
      <c r="V724" s="17">
        <v>44.3</v>
      </c>
      <c r="W724" s="17">
        <v>64.52</v>
      </c>
      <c r="X724" s="17">
        <v>85.9</v>
      </c>
      <c r="Y724" s="17">
        <v>40.6</v>
      </c>
      <c r="Z724" s="17">
        <v>95.33</v>
      </c>
      <c r="AA724" s="17">
        <v>77.84</v>
      </c>
      <c r="AB724" s="17">
        <v>68.55</v>
      </c>
      <c r="AC724" s="17">
        <v>9</v>
      </c>
      <c r="AD724" s="17">
        <v>53.8</v>
      </c>
      <c r="AE724" s="17">
        <v>25.89</v>
      </c>
      <c r="AF724" s="17">
        <v>43.02</v>
      </c>
      <c r="AG724" s="17">
        <v>28.62</v>
      </c>
      <c r="AH724" s="17">
        <v>41.77</v>
      </c>
      <c r="AI724" s="17">
        <v>1.472</v>
      </c>
      <c r="AJ724" s="17">
        <v>35.01</v>
      </c>
      <c r="AK724" s="17"/>
      <c r="AL724"/>
      <c r="AM724"/>
      <c r="AN724" s="17">
        <v>113</v>
      </c>
      <c r="AO724"/>
      <c r="AP724"/>
      <c r="AQ724"/>
      <c r="AR724"/>
      <c r="AS724"/>
      <c r="AT724" s="17" t="s">
        <v>708</v>
      </c>
      <c r="AU724" s="17"/>
    </row>
    <row r="725" spans="1:47" x14ac:dyDescent="0.2">
      <c r="A725" s="115">
        <v>724.00000000000023</v>
      </c>
      <c r="B725" s="3">
        <v>47</v>
      </c>
      <c r="C725" s="3">
        <v>21.724</v>
      </c>
      <c r="D725" s="139" t="s">
        <v>179</v>
      </c>
      <c r="E725" t="s">
        <v>180</v>
      </c>
      <c r="F725" s="17" t="s">
        <v>181</v>
      </c>
      <c r="G725" s="17"/>
      <c r="H725" s="3" t="s">
        <v>268</v>
      </c>
      <c r="I725" s="82">
        <v>44451</v>
      </c>
      <c r="J725" s="17" t="s">
        <v>142</v>
      </c>
      <c r="K725" s="17" t="s">
        <v>235</v>
      </c>
      <c r="L725"/>
      <c r="M725" s="17">
        <v>275</v>
      </c>
      <c r="N725" s="17">
        <v>274.77</v>
      </c>
      <c r="O725" s="17">
        <v>197.26</v>
      </c>
      <c r="P725" s="17">
        <v>203.1</v>
      </c>
      <c r="Q725" s="17">
        <v>44.74</v>
      </c>
      <c r="R725" s="17">
        <v>26.13</v>
      </c>
      <c r="S725" s="17">
        <v>131.07</v>
      </c>
      <c r="T725" s="17">
        <v>101.52</v>
      </c>
      <c r="U725" s="17">
        <v>65.22</v>
      </c>
      <c r="V725" s="17">
        <v>47.62</v>
      </c>
      <c r="W725" s="17">
        <v>71.53</v>
      </c>
      <c r="X725" s="17">
        <v>88.68</v>
      </c>
      <c r="Y725" s="17">
        <v>40.83</v>
      </c>
      <c r="Z725" s="17">
        <v>96.71</v>
      </c>
      <c r="AA725" s="17">
        <v>82.07</v>
      </c>
      <c r="AB725" s="17">
        <v>75.77</v>
      </c>
      <c r="AC725" s="17">
        <v>3.44</v>
      </c>
      <c r="AD725" s="17">
        <v>53</v>
      </c>
      <c r="AE725" s="17">
        <v>29.32</v>
      </c>
      <c r="AF725" s="17">
        <v>42.84</v>
      </c>
      <c r="AG725" s="17">
        <v>31.27</v>
      </c>
      <c r="AH725" s="17">
        <v>43.7</v>
      </c>
      <c r="AI725" s="17">
        <v>1.1559999999999999</v>
      </c>
      <c r="AJ725" s="17">
        <v>44.49</v>
      </c>
      <c r="AK725" s="17"/>
      <c r="AL725"/>
      <c r="AM725"/>
      <c r="AN725" s="17">
        <v>114</v>
      </c>
      <c r="AO725"/>
      <c r="AP725"/>
      <c r="AQ725"/>
      <c r="AR725"/>
      <c r="AS725"/>
      <c r="AT725" s="17" t="s">
        <v>708</v>
      </c>
      <c r="AU725" s="17"/>
    </row>
    <row r="726" spans="1:47" x14ac:dyDescent="0.2">
      <c r="A726" s="115">
        <v>725.00000000000136</v>
      </c>
      <c r="B726" s="3">
        <v>48</v>
      </c>
      <c r="C726" s="3">
        <v>21.725000000000001</v>
      </c>
      <c r="D726" s="139" t="s">
        <v>179</v>
      </c>
      <c r="E726" t="s">
        <v>180</v>
      </c>
      <c r="F726" s="17" t="s">
        <v>181</v>
      </c>
      <c r="G726" s="3">
        <v>259</v>
      </c>
      <c r="H726" s="17"/>
      <c r="I726" s="82">
        <v>44451</v>
      </c>
      <c r="J726" s="17" t="s">
        <v>142</v>
      </c>
      <c r="K726" s="17" t="s">
        <v>235</v>
      </c>
      <c r="L726"/>
      <c r="M726" s="17">
        <v>270</v>
      </c>
      <c r="N726" s="17">
        <v>272.83999999999997</v>
      </c>
      <c r="O726" s="17">
        <v>192.05</v>
      </c>
      <c r="P726" s="17">
        <v>204.12</v>
      </c>
      <c r="Q726" s="17">
        <v>44.61</v>
      </c>
      <c r="R726" s="17">
        <v>20.41</v>
      </c>
      <c r="S726" s="17">
        <v>132.6</v>
      </c>
      <c r="T726" s="17">
        <v>105.56</v>
      </c>
      <c r="U726" s="17">
        <v>59.85</v>
      </c>
      <c r="V726" s="17">
        <v>46.78</v>
      </c>
      <c r="W726" s="17">
        <v>68.94</v>
      </c>
      <c r="X726" s="17">
        <v>87.21</v>
      </c>
      <c r="Y726" s="17">
        <v>39.67</v>
      </c>
      <c r="Z726" s="17">
        <v>96.2</v>
      </c>
      <c r="AA726" s="17">
        <v>80.78</v>
      </c>
      <c r="AB726" s="17">
        <v>70.989999999999995</v>
      </c>
      <c r="AC726" s="17">
        <v>7.62</v>
      </c>
      <c r="AD726" s="17">
        <v>52.05</v>
      </c>
      <c r="AE726" s="17">
        <v>30.32</v>
      </c>
      <c r="AF726" s="17">
        <v>42</v>
      </c>
      <c r="AG726" s="17">
        <v>31.55</v>
      </c>
      <c r="AH726" s="17">
        <v>39.549999999999997</v>
      </c>
      <c r="AI726" s="17">
        <v>1.0489999999999999</v>
      </c>
      <c r="AJ726" s="17">
        <v>43.28</v>
      </c>
      <c r="AK726" s="17"/>
      <c r="AL726"/>
      <c r="AM726"/>
      <c r="AN726" s="17">
        <v>128</v>
      </c>
      <c r="AO726"/>
      <c r="AP726"/>
      <c r="AQ726"/>
      <c r="AR726"/>
      <c r="AS726"/>
      <c r="AT726" s="17" t="s">
        <v>708</v>
      </c>
      <c r="AU726" s="17"/>
    </row>
    <row r="727" spans="1:47" x14ac:dyDescent="0.2">
      <c r="A727" s="115">
        <v>725.99999999999909</v>
      </c>
      <c r="B727" s="3">
        <v>32</v>
      </c>
      <c r="C727" s="3">
        <v>21.725999999999999</v>
      </c>
      <c r="D727" s="139" t="s">
        <v>179</v>
      </c>
      <c r="E727" t="s">
        <v>180</v>
      </c>
      <c r="F727" s="17" t="s">
        <v>181</v>
      </c>
      <c r="G727" s="3">
        <v>259</v>
      </c>
      <c r="H727" s="17"/>
      <c r="I727" s="82">
        <v>44436</v>
      </c>
      <c r="J727" s="17" t="s">
        <v>142</v>
      </c>
      <c r="K727" s="17" t="s">
        <v>235</v>
      </c>
      <c r="L727"/>
      <c r="M727" s="148">
        <v>270</v>
      </c>
      <c r="N727" s="17">
        <v>269.39999999999998</v>
      </c>
      <c r="O727" s="17">
        <v>189.84</v>
      </c>
      <c r="P727" s="17">
        <v>199.96</v>
      </c>
      <c r="Q727" s="17">
        <v>41.77</v>
      </c>
      <c r="R727" s="17">
        <v>20.309999999999999</v>
      </c>
      <c r="S727" s="17">
        <v>131.59</v>
      </c>
      <c r="T727" s="17">
        <v>104.75</v>
      </c>
      <c r="U727" s="17">
        <v>58.18</v>
      </c>
      <c r="V727" s="17">
        <v>45.38</v>
      </c>
      <c r="W727" s="17">
        <v>64.569999999999993</v>
      </c>
      <c r="X727" s="17">
        <v>84.73</v>
      </c>
      <c r="Y727" s="17">
        <v>40.159999999999997</v>
      </c>
      <c r="Z727" s="17">
        <v>95.34</v>
      </c>
      <c r="AA727" s="17">
        <v>80.010000000000005</v>
      </c>
      <c r="AB727" s="17">
        <v>69.400000000000006</v>
      </c>
      <c r="AC727" s="17">
        <v>2</v>
      </c>
      <c r="AD727" s="17">
        <v>52.62</v>
      </c>
      <c r="AE727" s="17">
        <v>30.97</v>
      </c>
      <c r="AF727" s="17">
        <v>40.020000000000003</v>
      </c>
      <c r="AG727" s="17">
        <v>26.4</v>
      </c>
      <c r="AH727" s="17">
        <v>43.58</v>
      </c>
      <c r="AI727" s="17">
        <v>1.034</v>
      </c>
      <c r="AJ727" s="17">
        <v>42.55</v>
      </c>
      <c r="AK727" s="17"/>
      <c r="AL727"/>
      <c r="AM727"/>
      <c r="AN727" s="17">
        <v>118</v>
      </c>
      <c r="AO727"/>
      <c r="AP727"/>
      <c r="AQ727"/>
      <c r="AR727"/>
      <c r="AS727"/>
      <c r="AT727" s="17" t="s">
        <v>708</v>
      </c>
      <c r="AU727" s="17"/>
    </row>
    <row r="728" spans="1:47" x14ac:dyDescent="0.2">
      <c r="A728" s="115">
        <v>727.00000000000034</v>
      </c>
      <c r="B728" s="3">
        <v>35</v>
      </c>
      <c r="C728" s="3">
        <v>21.727</v>
      </c>
      <c r="D728" s="139" t="s">
        <v>179</v>
      </c>
      <c r="E728" t="s">
        <v>180</v>
      </c>
      <c r="F728" s="17" t="s">
        <v>181</v>
      </c>
      <c r="G728"/>
      <c r="H728" s="3" t="s">
        <v>268</v>
      </c>
      <c r="I728" s="82">
        <v>44436</v>
      </c>
      <c r="J728" s="17" t="s">
        <v>142</v>
      </c>
      <c r="K728" s="17" t="s">
        <v>235</v>
      </c>
      <c r="L728"/>
      <c r="M728" s="148">
        <v>270</v>
      </c>
      <c r="N728" s="17">
        <v>270.79000000000002</v>
      </c>
      <c r="O728" s="17">
        <v>189.11</v>
      </c>
      <c r="P728" s="17">
        <v>199.69</v>
      </c>
      <c r="Q728" s="17">
        <v>42.36</v>
      </c>
      <c r="R728" s="17">
        <v>23.8</v>
      </c>
      <c r="S728" s="17">
        <v>131.25</v>
      </c>
      <c r="T728" s="17">
        <v>105.09</v>
      </c>
      <c r="U728" s="17">
        <v>60.49</v>
      </c>
      <c r="V728" s="17">
        <v>45.41</v>
      </c>
      <c r="W728" s="17">
        <v>65.45</v>
      </c>
      <c r="X728" s="17">
        <v>83.24</v>
      </c>
      <c r="Y728" s="17">
        <v>39.65</v>
      </c>
      <c r="Z728" s="17">
        <v>94.01</v>
      </c>
      <c r="AA728" s="17">
        <v>80.260000000000005</v>
      </c>
      <c r="AB728" s="17">
        <v>70.5</v>
      </c>
      <c r="AC728" s="17">
        <v>5.97</v>
      </c>
      <c r="AD728" s="17">
        <v>52.52</v>
      </c>
      <c r="AE728" s="17">
        <v>30.83</v>
      </c>
      <c r="AF728" s="17">
        <v>42.69</v>
      </c>
      <c r="AG728" s="17">
        <v>29.45</v>
      </c>
      <c r="AH728" s="17">
        <v>40.22</v>
      </c>
      <c r="AI728" s="17">
        <v>1.171</v>
      </c>
      <c r="AJ728" s="17">
        <v>35.01</v>
      </c>
      <c r="AK728" s="17"/>
      <c r="AL728"/>
      <c r="AM728"/>
      <c r="AN728" s="17">
        <v>140</v>
      </c>
      <c r="AO728"/>
      <c r="AP728"/>
      <c r="AQ728"/>
      <c r="AR728"/>
      <c r="AS728"/>
      <c r="AT728" s="17" t="s">
        <v>708</v>
      </c>
      <c r="AU728" s="17"/>
    </row>
    <row r="729" spans="1:47" x14ac:dyDescent="0.2">
      <c r="A729" s="115">
        <v>728.00000000000159</v>
      </c>
      <c r="B729" s="3">
        <v>36</v>
      </c>
      <c r="C729" s="3">
        <v>21.728000000000002</v>
      </c>
      <c r="D729" s="139" t="s">
        <v>179</v>
      </c>
      <c r="E729" t="s">
        <v>180</v>
      </c>
      <c r="F729" s="17" t="s">
        <v>181</v>
      </c>
      <c r="G729"/>
      <c r="H729" s="3" t="s">
        <v>268</v>
      </c>
      <c r="I729" s="82">
        <v>44436</v>
      </c>
      <c r="J729" s="17" t="s">
        <v>142</v>
      </c>
      <c r="K729" s="17" t="s">
        <v>235</v>
      </c>
      <c r="L729"/>
      <c r="M729" s="148">
        <v>265</v>
      </c>
      <c r="N729" s="17">
        <v>268.08</v>
      </c>
      <c r="O729" s="17">
        <v>193.87</v>
      </c>
      <c r="P729" s="17">
        <v>200.09</v>
      </c>
      <c r="Q729" s="17">
        <v>46.38</v>
      </c>
      <c r="R729" s="17">
        <v>25.24</v>
      </c>
      <c r="S729" s="17">
        <v>131.83000000000001</v>
      </c>
      <c r="T729" s="17">
        <v>102.46</v>
      </c>
      <c r="U729" s="17">
        <v>62.38</v>
      </c>
      <c r="V729" s="17">
        <v>46.4</v>
      </c>
      <c r="W729" s="17">
        <v>66.94</v>
      </c>
      <c r="X729" s="17">
        <v>85.03</v>
      </c>
      <c r="Y729" s="17">
        <v>39.17</v>
      </c>
      <c r="Z729" s="17">
        <v>94.3</v>
      </c>
      <c r="AA729" s="17">
        <v>79.72</v>
      </c>
      <c r="AB729" s="17">
        <v>74.27</v>
      </c>
      <c r="AC729" s="17">
        <v>3.76</v>
      </c>
      <c r="AD729" s="17">
        <v>52.28</v>
      </c>
      <c r="AE729" s="17">
        <v>30.76</v>
      </c>
      <c r="AF729" s="17">
        <v>39.93</v>
      </c>
      <c r="AG729" s="17">
        <v>31.27</v>
      </c>
      <c r="AH729" s="17">
        <v>43.91</v>
      </c>
      <c r="AI729" s="17">
        <v>1.032</v>
      </c>
      <c r="AJ729" s="17">
        <v>36.06</v>
      </c>
      <c r="AK729" s="17"/>
      <c r="AL729"/>
      <c r="AM729"/>
      <c r="AN729" s="17">
        <v>125</v>
      </c>
      <c r="AO729"/>
      <c r="AP729"/>
      <c r="AQ729"/>
      <c r="AR729"/>
      <c r="AS729"/>
      <c r="AT729" s="17" t="s">
        <v>708</v>
      </c>
      <c r="AU729" s="17"/>
    </row>
    <row r="730" spans="1:47" x14ac:dyDescent="0.2">
      <c r="A730" s="115">
        <v>728.9999999999992</v>
      </c>
      <c r="B730" s="3">
        <v>37</v>
      </c>
      <c r="C730" s="3">
        <v>21.728999999999999</v>
      </c>
      <c r="D730" s="139" t="s">
        <v>179</v>
      </c>
      <c r="E730" t="s">
        <v>180</v>
      </c>
      <c r="F730" s="17" t="s">
        <v>181</v>
      </c>
      <c r="G730"/>
      <c r="H730" s="3" t="s">
        <v>268</v>
      </c>
      <c r="I730" s="82">
        <v>44436</v>
      </c>
      <c r="J730" s="17" t="s">
        <v>142</v>
      </c>
      <c r="K730" s="17" t="s">
        <v>235</v>
      </c>
      <c r="L730"/>
      <c r="M730" s="148">
        <v>270</v>
      </c>
      <c r="N730" s="17">
        <v>270.85000000000002</v>
      </c>
      <c r="O730" s="17">
        <v>193.99</v>
      </c>
      <c r="P730" s="17">
        <v>203.63</v>
      </c>
      <c r="Q730" s="17">
        <v>42.19</v>
      </c>
      <c r="R730" s="17">
        <v>27.27</v>
      </c>
      <c r="S730" s="17">
        <v>130.24</v>
      </c>
      <c r="T730" s="17">
        <v>101.62</v>
      </c>
      <c r="U730" s="17">
        <v>64.48</v>
      </c>
      <c r="V730" s="17">
        <v>48.8</v>
      </c>
      <c r="W730" s="17">
        <v>71.17</v>
      </c>
      <c r="X730" s="17">
        <v>88.1</v>
      </c>
      <c r="Y730" s="17">
        <v>41.2</v>
      </c>
      <c r="Z730" s="17">
        <v>94.65</v>
      </c>
      <c r="AA730" s="17">
        <v>81.53</v>
      </c>
      <c r="AB730" s="17">
        <v>74.14</v>
      </c>
      <c r="AC730" s="17">
        <v>5.51</v>
      </c>
      <c r="AD730" s="17">
        <v>51.71</v>
      </c>
      <c r="AE730" s="17">
        <v>30</v>
      </c>
      <c r="AF730" s="17">
        <v>38.35</v>
      </c>
      <c r="AG730" s="17">
        <v>34.840000000000003</v>
      </c>
      <c r="AH730" s="17">
        <v>42.54</v>
      </c>
      <c r="AI730" s="17">
        <v>1.2210000000000001</v>
      </c>
      <c r="AJ730" s="17">
        <v>36.85</v>
      </c>
      <c r="AK730" s="17"/>
      <c r="AL730"/>
      <c r="AM730"/>
      <c r="AN730" s="17">
        <v>130</v>
      </c>
      <c r="AO730"/>
      <c r="AP730"/>
      <c r="AQ730"/>
      <c r="AR730"/>
      <c r="AS730"/>
      <c r="AT730" s="17" t="s">
        <v>708</v>
      </c>
      <c r="AU730" s="17"/>
    </row>
    <row r="731" spans="1:47" x14ac:dyDescent="0.2">
      <c r="A731" s="115">
        <v>730.00000000000045</v>
      </c>
      <c r="B731" s="3">
        <v>38</v>
      </c>
      <c r="C731" s="2" t="s">
        <v>37</v>
      </c>
      <c r="D731" s="139" t="s">
        <v>179</v>
      </c>
      <c r="E731" t="s">
        <v>180</v>
      </c>
      <c r="F731" s="17" t="s">
        <v>181</v>
      </c>
      <c r="G731" s="3">
        <v>259</v>
      </c>
      <c r="H731"/>
      <c r="I731" s="82">
        <v>44436</v>
      </c>
      <c r="J731" s="17" t="s">
        <v>142</v>
      </c>
      <c r="K731" s="17" t="s">
        <v>235</v>
      </c>
      <c r="L731"/>
      <c r="M731" s="148">
        <v>260</v>
      </c>
      <c r="N731" s="17">
        <v>263.33</v>
      </c>
      <c r="O731" s="17">
        <v>198.75</v>
      </c>
      <c r="P731" s="17">
        <v>207.23</v>
      </c>
      <c r="Q731" s="17">
        <v>47.53</v>
      </c>
      <c r="R731" s="17">
        <v>25.44</v>
      </c>
      <c r="S731" s="17">
        <v>133.33000000000001</v>
      </c>
      <c r="T731" s="17">
        <v>105.78</v>
      </c>
      <c r="U731" s="17">
        <v>57.65</v>
      </c>
      <c r="V731" s="17">
        <v>43.35</v>
      </c>
      <c r="W731" s="17">
        <v>65.790000000000006</v>
      </c>
      <c r="X731" s="17">
        <v>85.52</v>
      </c>
      <c r="Y731" s="17">
        <v>39.69</v>
      </c>
      <c r="Z731" s="17">
        <v>94.99</v>
      </c>
      <c r="AA731" s="17">
        <v>81.849999999999994</v>
      </c>
      <c r="AB731" s="17">
        <v>69.290000000000006</v>
      </c>
      <c r="AC731" s="17">
        <v>5.63</v>
      </c>
      <c r="AD731" s="17">
        <v>52.55</v>
      </c>
      <c r="AE731" s="17">
        <v>34.58</v>
      </c>
      <c r="AF731" s="17">
        <v>4.13</v>
      </c>
      <c r="AG731" s="17">
        <v>30.32</v>
      </c>
      <c r="AH731" s="17">
        <v>43.09</v>
      </c>
      <c r="AI731" s="17">
        <v>0.97099999999999997</v>
      </c>
      <c r="AJ731" s="17">
        <v>41.79</v>
      </c>
      <c r="AK731" s="17"/>
      <c r="AL731"/>
      <c r="AM731"/>
      <c r="AN731" s="17">
        <v>117</v>
      </c>
      <c r="AO731"/>
      <c r="AP731"/>
      <c r="AQ731"/>
      <c r="AR731"/>
      <c r="AS731"/>
      <c r="AT731" s="17" t="s">
        <v>708</v>
      </c>
      <c r="AU731" s="17"/>
    </row>
    <row r="732" spans="1:47" x14ac:dyDescent="0.2">
      <c r="A732" s="115">
        <v>731.00000000000159</v>
      </c>
      <c r="B732" s="14" t="s">
        <v>693</v>
      </c>
      <c r="C732" s="14">
        <v>21.731000000000002</v>
      </c>
      <c r="D732" s="155" t="s">
        <v>151</v>
      </c>
      <c r="E732" s="18" t="s">
        <v>162</v>
      </c>
      <c r="F732" s="14" t="s">
        <v>88</v>
      </c>
      <c r="G732" s="14" t="s">
        <v>88</v>
      </c>
      <c r="H732"/>
      <c r="I732" s="143">
        <v>44524</v>
      </c>
      <c r="J732" s="14" t="s">
        <v>142</v>
      </c>
      <c r="K732" s="14" t="s">
        <v>203</v>
      </c>
      <c r="L732" s="14"/>
      <c r="M732" s="14"/>
      <c r="N732" s="14">
        <v>248.61</v>
      </c>
      <c r="O732" s="14">
        <v>167.37</v>
      </c>
      <c r="P732" s="14">
        <v>181.42</v>
      </c>
      <c r="Q732" s="14">
        <v>37.630000000000003</v>
      </c>
      <c r="R732" s="14">
        <v>15.62</v>
      </c>
      <c r="S732" s="14">
        <v>116.24</v>
      </c>
      <c r="T732" s="14">
        <v>95.38</v>
      </c>
      <c r="U732" s="25">
        <v>65.86</v>
      </c>
      <c r="V732" s="25">
        <v>51.28</v>
      </c>
      <c r="W732" s="25">
        <v>76.86</v>
      </c>
      <c r="X732" s="25">
        <v>94.41</v>
      </c>
      <c r="Y732" s="25">
        <v>43.35</v>
      </c>
      <c r="Z732" s="25">
        <v>102.57</v>
      </c>
      <c r="AA732" s="25">
        <v>79.98</v>
      </c>
      <c r="AB732" s="25">
        <v>80.150000000000006</v>
      </c>
      <c r="AC732" s="25">
        <v>13.57</v>
      </c>
      <c r="AD732" s="25">
        <v>50.16</v>
      </c>
      <c r="AE732" s="14">
        <v>27.68</v>
      </c>
      <c r="AF732" s="14">
        <v>40.67</v>
      </c>
      <c r="AG732" s="14">
        <v>30.25</v>
      </c>
      <c r="AH732" s="14">
        <v>43.11</v>
      </c>
      <c r="AI732" s="14">
        <v>1.8440000000000001</v>
      </c>
      <c r="AJ732" s="14"/>
      <c r="AK732" s="14"/>
      <c r="AL732" s="14">
        <v>6</v>
      </c>
      <c r="AM732" s="14"/>
      <c r="AN732" s="14"/>
      <c r="AO732" s="14">
        <f>16.29-3.08</f>
        <v>13.209999999999999</v>
      </c>
      <c r="AP732" s="14">
        <f>116.41-13.21</f>
        <v>103.19999999999999</v>
      </c>
      <c r="AQ732" s="14">
        <f>77.17-13.17</f>
        <v>64</v>
      </c>
      <c r="AR732" s="14">
        <v>49.63</v>
      </c>
      <c r="AS732" s="14">
        <v>23.6</v>
      </c>
      <c r="AT732" s="17" t="s">
        <v>147</v>
      </c>
      <c r="AU732" s="17" t="s">
        <v>147</v>
      </c>
    </row>
    <row r="733" spans="1:47" x14ac:dyDescent="0.2">
      <c r="A733" s="115">
        <v>731.99999999999932</v>
      </c>
      <c r="B733" s="14" t="s">
        <v>694</v>
      </c>
      <c r="C733" s="14">
        <v>21.731999999999999</v>
      </c>
      <c r="D733" s="155" t="s">
        <v>151</v>
      </c>
      <c r="E733" s="18" t="s">
        <v>162</v>
      </c>
      <c r="F733" s="14" t="s">
        <v>88</v>
      </c>
      <c r="G733" s="14" t="s">
        <v>88</v>
      </c>
      <c r="I733" s="143">
        <v>44528</v>
      </c>
      <c r="J733" s="14" t="s">
        <v>142</v>
      </c>
      <c r="K733" s="14" t="s">
        <v>203</v>
      </c>
      <c r="L733" s="14"/>
      <c r="M733" s="14"/>
      <c r="N733" s="14">
        <v>221.27</v>
      </c>
      <c r="O733" s="14">
        <v>182.83</v>
      </c>
      <c r="P733" s="14">
        <v>196.07</v>
      </c>
      <c r="Q733" s="14">
        <v>45.7</v>
      </c>
      <c r="R733" s="14">
        <v>22.53</v>
      </c>
      <c r="S733" s="14">
        <v>121.29</v>
      </c>
      <c r="T733" s="14">
        <v>96.04</v>
      </c>
      <c r="U733" s="25">
        <v>62</v>
      </c>
      <c r="V733" s="25">
        <v>48.61</v>
      </c>
      <c r="W733" s="25">
        <v>72.91</v>
      </c>
      <c r="X733" s="25">
        <v>93.77</v>
      </c>
      <c r="Y733" s="25">
        <v>43.43</v>
      </c>
      <c r="Z733" s="25">
        <v>101.5</v>
      </c>
      <c r="AA733" s="25">
        <v>77.05</v>
      </c>
      <c r="AB733" s="25">
        <v>75.290000000000006</v>
      </c>
      <c r="AC733" s="25">
        <v>11.76</v>
      </c>
      <c r="AD733" s="25">
        <v>44.18</v>
      </c>
      <c r="AE733" s="14">
        <v>30.17</v>
      </c>
      <c r="AF733" s="14">
        <v>40.01</v>
      </c>
      <c r="AG733" s="14">
        <v>39.71</v>
      </c>
      <c r="AH733" s="14">
        <v>42.2</v>
      </c>
      <c r="AI733" s="14">
        <v>2.1619999999999999</v>
      </c>
      <c r="AJ733" s="14"/>
      <c r="AK733" s="14"/>
      <c r="AL733" s="14"/>
      <c r="AM733" s="14"/>
      <c r="AN733" s="14"/>
      <c r="AO733" s="14">
        <f>18.97-3.04</f>
        <v>15.93</v>
      </c>
      <c r="AP733" s="14">
        <f>111.83-13.03</f>
        <v>98.8</v>
      </c>
      <c r="AQ733" s="14">
        <f>57.92-13.73</f>
        <v>44.19</v>
      </c>
      <c r="AR733" s="14">
        <v>53.49</v>
      </c>
      <c r="AS733" s="14">
        <v>25.41</v>
      </c>
      <c r="AT733" s="17" t="s">
        <v>147</v>
      </c>
      <c r="AU733" s="17" t="s">
        <v>147</v>
      </c>
    </row>
    <row r="734" spans="1:47" x14ac:dyDescent="0.2">
      <c r="A734" s="115">
        <v>733.00000000000057</v>
      </c>
      <c r="B734" s="14" t="s">
        <v>695</v>
      </c>
      <c r="C734" s="14">
        <v>21.733000000000001</v>
      </c>
      <c r="D734" s="155" t="s">
        <v>151</v>
      </c>
      <c r="E734" s="18" t="s">
        <v>162</v>
      </c>
      <c r="F734" s="14" t="s">
        <v>88</v>
      </c>
      <c r="G734" s="14" t="s">
        <v>88</v>
      </c>
      <c r="I734" s="143">
        <v>44528</v>
      </c>
      <c r="J734" s="14" t="s">
        <v>142</v>
      </c>
      <c r="K734" s="14" t="s">
        <v>203</v>
      </c>
      <c r="L734" s="14"/>
      <c r="M734" s="14"/>
      <c r="N734" s="14">
        <v>244.01</v>
      </c>
      <c r="O734" s="14">
        <v>157</v>
      </c>
      <c r="P734" s="14">
        <v>179.59</v>
      </c>
      <c r="Q734" s="14">
        <v>34.11</v>
      </c>
      <c r="R734" s="14">
        <v>12.18</v>
      </c>
      <c r="S734" s="14">
        <v>117.11</v>
      </c>
      <c r="T734" s="14">
        <v>91.57</v>
      </c>
      <c r="U734" s="25">
        <v>65.84</v>
      </c>
      <c r="V734" s="25">
        <v>50.85</v>
      </c>
      <c r="W734" s="25">
        <v>75.88</v>
      </c>
      <c r="X734" s="25">
        <v>95.22</v>
      </c>
      <c r="Y734" s="25">
        <v>45.07</v>
      </c>
      <c r="Z734" s="25">
        <v>104.24</v>
      </c>
      <c r="AA734" s="25">
        <v>80.959999999999994</v>
      </c>
      <c r="AB734" s="25">
        <v>83.08</v>
      </c>
      <c r="AC734" s="25">
        <v>26.59</v>
      </c>
      <c r="AD734" s="25">
        <v>48.11</v>
      </c>
      <c r="AE734" s="14">
        <v>24.81</v>
      </c>
      <c r="AF734" s="14">
        <v>31.44</v>
      </c>
      <c r="AG734" s="14">
        <v>28.81</v>
      </c>
      <c r="AH734" s="14">
        <v>45.25</v>
      </c>
      <c r="AI734" s="14">
        <v>1.754</v>
      </c>
      <c r="AJ734" s="14"/>
      <c r="AK734" s="14"/>
      <c r="AL734" s="14"/>
      <c r="AM734" s="14"/>
      <c r="AN734" s="14"/>
      <c r="AO734" s="14">
        <f>15.15-3.02</f>
        <v>12.13</v>
      </c>
      <c r="AP734" s="14">
        <f>109.41-14.18</f>
        <v>95.22999999999999</v>
      </c>
      <c r="AQ734" s="14">
        <f>91.27-13.37</f>
        <v>77.899999999999991</v>
      </c>
      <c r="AR734" s="14">
        <v>51.23</v>
      </c>
      <c r="AS734" s="14">
        <v>23.6</v>
      </c>
      <c r="AT734" s="17" t="s">
        <v>147</v>
      </c>
      <c r="AU734" s="17" t="s">
        <v>147</v>
      </c>
    </row>
    <row r="735" spans="1:47" x14ac:dyDescent="0.2">
      <c r="A735" s="115">
        <v>734.00000000000182</v>
      </c>
      <c r="B735" s="14" t="s">
        <v>696</v>
      </c>
      <c r="C735" s="23">
        <v>21.734000000000002</v>
      </c>
      <c r="D735" s="155" t="s">
        <v>151</v>
      </c>
      <c r="E735" s="18" t="s">
        <v>152</v>
      </c>
      <c r="F735" s="14" t="s">
        <v>153</v>
      </c>
      <c r="I735" s="143">
        <v>44536</v>
      </c>
      <c r="J735" s="14" t="s">
        <v>142</v>
      </c>
      <c r="K735" s="14" t="s">
        <v>203</v>
      </c>
      <c r="L735" s="14"/>
      <c r="M735" s="14"/>
      <c r="N735" s="14">
        <v>220.24</v>
      </c>
      <c r="O735" s="14">
        <v>170.08</v>
      </c>
      <c r="P735" s="14">
        <v>181.06</v>
      </c>
      <c r="Q735" s="14">
        <v>41.99</v>
      </c>
      <c r="R735" s="14">
        <v>24.04</v>
      </c>
      <c r="S735" s="14">
        <v>109.62</v>
      </c>
      <c r="T735" s="14">
        <v>86.75</v>
      </c>
      <c r="U735" s="25">
        <v>68.23</v>
      </c>
      <c r="V735" s="25">
        <v>56.9</v>
      </c>
      <c r="W735" s="25">
        <v>74.41</v>
      </c>
      <c r="X735" s="25">
        <v>91.34</v>
      </c>
      <c r="Y735" s="25">
        <v>41.07</v>
      </c>
      <c r="Z735" s="25">
        <v>100.34</v>
      </c>
      <c r="AA735" s="25">
        <v>77.52</v>
      </c>
      <c r="AB735" s="25">
        <v>79.11</v>
      </c>
      <c r="AC735" s="25">
        <v>21.36</v>
      </c>
      <c r="AD735" s="25">
        <v>47.04</v>
      </c>
      <c r="AE735" s="14">
        <v>26.3</v>
      </c>
      <c r="AF735" s="14">
        <v>40.86</v>
      </c>
      <c r="AG735" s="14">
        <v>31.66</v>
      </c>
      <c r="AH735" s="14">
        <v>40.01</v>
      </c>
      <c r="AI735" s="14">
        <v>2.1269999999999998</v>
      </c>
      <c r="AJ735" s="14"/>
      <c r="AK735" s="14"/>
      <c r="AL735" s="14">
        <v>10</v>
      </c>
      <c r="AM735" s="14"/>
      <c r="AN735" s="14"/>
      <c r="AO735" s="14">
        <f>19.12-3.06</f>
        <v>16.060000000000002</v>
      </c>
      <c r="AP735" s="14">
        <f>102.23-14.18</f>
        <v>88.050000000000011</v>
      </c>
      <c r="AQ735" s="14">
        <f>57.83-13.94</f>
        <v>43.89</v>
      </c>
      <c r="AR735" s="14">
        <v>57.4</v>
      </c>
      <c r="AS735" s="14">
        <v>27.01</v>
      </c>
      <c r="AT735" s="17" t="s">
        <v>147</v>
      </c>
      <c r="AU735" s="17" t="s">
        <v>147</v>
      </c>
    </row>
    <row r="736" spans="1:47" x14ac:dyDescent="0.2">
      <c r="A736" s="115">
        <v>734.99999999999943</v>
      </c>
      <c r="B736" s="14" t="s">
        <v>697</v>
      </c>
      <c r="C736" s="14">
        <v>21.734999999999999</v>
      </c>
      <c r="D736" s="155" t="s">
        <v>151</v>
      </c>
      <c r="E736" s="18" t="s">
        <v>152</v>
      </c>
      <c r="F736" s="14" t="s">
        <v>153</v>
      </c>
      <c r="I736" s="143">
        <v>44536</v>
      </c>
      <c r="J736" s="14" t="s">
        <v>142</v>
      </c>
      <c r="K736" s="14" t="s">
        <v>203</v>
      </c>
      <c r="L736" s="14"/>
      <c r="M736" s="14"/>
      <c r="N736" s="14">
        <v>219.08</v>
      </c>
      <c r="O736" s="14">
        <v>162.9</v>
      </c>
      <c r="P736" s="14">
        <v>175.81</v>
      </c>
      <c r="Q736" s="14">
        <v>40.64</v>
      </c>
      <c r="R736" s="14">
        <v>19.66</v>
      </c>
      <c r="S736" s="14">
        <v>112.82</v>
      </c>
      <c r="T736" s="14">
        <v>89.28</v>
      </c>
      <c r="U736" s="25">
        <v>65.98</v>
      </c>
      <c r="V736" s="25">
        <v>53.94</v>
      </c>
      <c r="W736" s="25">
        <v>73.28</v>
      </c>
      <c r="X736" s="25">
        <v>87.18</v>
      </c>
      <c r="Y736" s="25">
        <v>40.85</v>
      </c>
      <c r="Z736" s="25">
        <v>97.57</v>
      </c>
      <c r="AA736" s="25">
        <v>74.02</v>
      </c>
      <c r="AB736" s="25">
        <v>76.209999999999994</v>
      </c>
      <c r="AC736" s="25">
        <v>29.64</v>
      </c>
      <c r="AD736" s="25">
        <v>45.61</v>
      </c>
      <c r="AE736" s="14">
        <v>28.08</v>
      </c>
      <c r="AF736" s="14">
        <v>39.75</v>
      </c>
      <c r="AG736" s="14">
        <v>28.75</v>
      </c>
      <c r="AH736" s="14">
        <v>36.54</v>
      </c>
      <c r="AI736" s="14">
        <v>2.2250000000000001</v>
      </c>
      <c r="AJ736" s="14"/>
      <c r="AK736" s="14"/>
      <c r="AL736" s="14">
        <v>3</v>
      </c>
      <c r="AM736" s="14"/>
      <c r="AN736" s="14"/>
      <c r="AO736" s="14">
        <f>16.29-3.06</f>
        <v>13.229999999999999</v>
      </c>
      <c r="AP736" s="14">
        <f>100.35-13.6</f>
        <v>86.75</v>
      </c>
      <c r="AQ736" s="14">
        <f>70.51-13.36</f>
        <v>57.150000000000006</v>
      </c>
      <c r="AR736" s="14">
        <v>56.19</v>
      </c>
      <c r="AS736" s="14">
        <v>26.33</v>
      </c>
      <c r="AT736" s="17" t="s">
        <v>147</v>
      </c>
      <c r="AU736" s="17" t="s">
        <v>147</v>
      </c>
    </row>
    <row r="737" spans="1:47" x14ac:dyDescent="0.2">
      <c r="A737" s="115">
        <v>736.00000000000068</v>
      </c>
      <c r="B737" s="14" t="s">
        <v>698</v>
      </c>
      <c r="C737" s="14">
        <v>21.736000000000001</v>
      </c>
      <c r="D737" s="155" t="s">
        <v>151</v>
      </c>
      <c r="E737" s="18" t="s">
        <v>152</v>
      </c>
      <c r="F737" s="14" t="s">
        <v>153</v>
      </c>
      <c r="I737" s="143">
        <v>44537</v>
      </c>
      <c r="J737" s="14" t="s">
        <v>142</v>
      </c>
      <c r="K737" s="14" t="s">
        <v>203</v>
      </c>
      <c r="L737" s="14"/>
      <c r="M737" s="14"/>
      <c r="N737" s="14">
        <v>218.6</v>
      </c>
      <c r="O737" s="14">
        <v>167.03</v>
      </c>
      <c r="P737" s="14">
        <v>186.72</v>
      </c>
      <c r="Q737" s="14">
        <v>43.74</v>
      </c>
      <c r="R737" s="14">
        <v>23.91</v>
      </c>
      <c r="S737" s="14">
        <v>110.59</v>
      </c>
      <c r="T737" s="14">
        <v>90.45</v>
      </c>
      <c r="U737" s="25">
        <v>66.97</v>
      </c>
      <c r="V737" s="25">
        <v>56.54</v>
      </c>
      <c r="W737" s="25">
        <v>75.58</v>
      </c>
      <c r="X737" s="25">
        <v>87.66</v>
      </c>
      <c r="Y737" s="25">
        <v>43.3</v>
      </c>
      <c r="Z737" s="25">
        <v>99.51</v>
      </c>
      <c r="AA737" s="25">
        <v>78.31</v>
      </c>
      <c r="AB737" s="25">
        <v>79.510000000000005</v>
      </c>
      <c r="AC737" s="25">
        <v>20.97</v>
      </c>
      <c r="AD737" s="25">
        <v>46.87</v>
      </c>
      <c r="AE737" s="14">
        <v>24.59</v>
      </c>
      <c r="AF737" s="14">
        <v>42.96</v>
      </c>
      <c r="AG737" s="14">
        <v>31.71</v>
      </c>
      <c r="AH737" s="14">
        <v>41.38</v>
      </c>
      <c r="AI737" s="14">
        <v>2.2559999999999998</v>
      </c>
      <c r="AJ737" s="14"/>
      <c r="AK737" s="14"/>
      <c r="AL737" s="14">
        <v>5</v>
      </c>
      <c r="AM737" s="14"/>
      <c r="AN737" s="14"/>
      <c r="AO737" s="14">
        <f>17.13-3.01</f>
        <v>14.12</v>
      </c>
      <c r="AP737" s="14">
        <f>104.14-12.15</f>
        <v>91.99</v>
      </c>
      <c r="AQ737" s="14">
        <f>61.65-12.18</f>
        <v>49.47</v>
      </c>
      <c r="AR737" s="14">
        <v>56.56</v>
      </c>
      <c r="AS737" s="14">
        <v>26.79</v>
      </c>
      <c r="AT737" s="17" t="s">
        <v>147</v>
      </c>
      <c r="AU737" s="17" t="s">
        <v>147</v>
      </c>
    </row>
    <row r="738" spans="1:47" x14ac:dyDescent="0.2">
      <c r="A738" s="115">
        <v>736.99999999999829</v>
      </c>
      <c r="B738" s="14" t="s">
        <v>699</v>
      </c>
      <c r="C738" s="14">
        <v>21.736999999999998</v>
      </c>
      <c r="D738" s="155" t="s">
        <v>151</v>
      </c>
      <c r="E738" s="18" t="s">
        <v>152</v>
      </c>
      <c r="F738" s="14" t="s">
        <v>153</v>
      </c>
      <c r="I738" s="143">
        <v>44536</v>
      </c>
      <c r="J738" s="14" t="s">
        <v>142</v>
      </c>
      <c r="K738" s="14" t="s">
        <v>203</v>
      </c>
      <c r="L738" s="14"/>
      <c r="M738" s="14"/>
      <c r="N738" s="14">
        <v>245.41</v>
      </c>
      <c r="O738" s="14">
        <v>176.99</v>
      </c>
      <c r="P738" s="14">
        <v>183.51</v>
      </c>
      <c r="Q738" s="14">
        <v>36.86</v>
      </c>
      <c r="R738" s="14">
        <v>16.02</v>
      </c>
      <c r="S738" s="14">
        <v>127.83</v>
      </c>
      <c r="T738" s="14">
        <v>98.77</v>
      </c>
      <c r="U738" s="25">
        <v>59.31</v>
      </c>
      <c r="V738" s="25">
        <v>46.44</v>
      </c>
      <c r="W738" s="25">
        <v>65.03</v>
      </c>
      <c r="X738" s="25">
        <v>92.38</v>
      </c>
      <c r="Y738" s="25">
        <v>38.020000000000003</v>
      </c>
      <c r="Z738" s="25">
        <v>99.75</v>
      </c>
      <c r="AA738" s="25">
        <v>79.89</v>
      </c>
      <c r="AB738" s="25">
        <v>75.760000000000005</v>
      </c>
      <c r="AC738" s="25">
        <v>22.82</v>
      </c>
      <c r="AD738" s="25">
        <v>50.03</v>
      </c>
      <c r="AE738" s="14">
        <v>32.79</v>
      </c>
      <c r="AF738" s="14">
        <v>35.86</v>
      </c>
      <c r="AG738" s="14">
        <v>37.19</v>
      </c>
      <c r="AH738" s="14">
        <v>39.25</v>
      </c>
      <c r="AI738" s="14">
        <v>1.7010000000000001</v>
      </c>
      <c r="AJ738" s="14"/>
      <c r="AK738" s="14"/>
      <c r="AL738" s="14">
        <v>3</v>
      </c>
      <c r="AM738" s="14"/>
      <c r="AN738" s="14"/>
      <c r="AO738" s="14">
        <f>19.56-3.03</f>
        <v>16.529999999999998</v>
      </c>
      <c r="AP738" s="14">
        <f>124.34-12.12</f>
        <v>112.22</v>
      </c>
      <c r="AQ738" s="14">
        <f>69.59-12.08</f>
        <v>57.510000000000005</v>
      </c>
      <c r="AR738" s="14">
        <v>52.64</v>
      </c>
      <c r="AS738" s="14">
        <v>24.32</v>
      </c>
      <c r="AT738" s="17" t="s">
        <v>147</v>
      </c>
      <c r="AU738" s="17" t="s">
        <v>147</v>
      </c>
    </row>
    <row r="739" spans="1:47" x14ac:dyDescent="0.2">
      <c r="A739" s="115">
        <v>737.99999999999955</v>
      </c>
      <c r="B739" s="14" t="s">
        <v>700</v>
      </c>
      <c r="C739" s="23">
        <v>21.738</v>
      </c>
      <c r="D739" s="155" t="s">
        <v>151</v>
      </c>
      <c r="E739" s="18" t="s">
        <v>152</v>
      </c>
      <c r="F739" s="14" t="s">
        <v>153</v>
      </c>
      <c r="I739" s="143">
        <v>44537</v>
      </c>
      <c r="J739" s="14" t="s">
        <v>142</v>
      </c>
      <c r="K739" s="14" t="s">
        <v>203</v>
      </c>
      <c r="L739" s="14"/>
      <c r="M739" s="14"/>
      <c r="N739" s="14">
        <v>217.13</v>
      </c>
      <c r="O739" s="14">
        <v>169.99</v>
      </c>
      <c r="P739" s="14">
        <v>182.69</v>
      </c>
      <c r="Q739" s="14">
        <v>40.950000000000003</v>
      </c>
      <c r="R739" s="14">
        <v>24.13</v>
      </c>
      <c r="S739" s="14">
        <v>114.33</v>
      </c>
      <c r="T739" s="14">
        <v>90.6</v>
      </c>
      <c r="U739" s="25">
        <v>66.5</v>
      </c>
      <c r="V739" s="25">
        <v>55.84</v>
      </c>
      <c r="W739" s="25">
        <v>74.739999999999995</v>
      </c>
      <c r="X739" s="25">
        <v>87.13</v>
      </c>
      <c r="Y739" s="25">
        <v>41.78</v>
      </c>
      <c r="Z739" s="25">
        <v>98.29</v>
      </c>
      <c r="AA739" s="25">
        <v>76.989999999999995</v>
      </c>
      <c r="AB739" s="25">
        <v>78.8</v>
      </c>
      <c r="AC739" s="25">
        <v>24.67</v>
      </c>
      <c r="AD739" s="25">
        <v>45.28</v>
      </c>
      <c r="AE739" s="14">
        <v>29.85</v>
      </c>
      <c r="AF739" s="14">
        <v>41.21</v>
      </c>
      <c r="AG739" s="14">
        <v>31.18</v>
      </c>
      <c r="AH739" s="14">
        <v>43.11</v>
      </c>
      <c r="AI739" s="14">
        <v>2.11</v>
      </c>
      <c r="AJ739" s="14"/>
      <c r="AK739" s="14"/>
      <c r="AL739" s="14"/>
      <c r="AM739" s="14"/>
      <c r="AN739" s="14"/>
      <c r="AO739" s="14">
        <f>17.79-3.02</f>
        <v>14.77</v>
      </c>
      <c r="AP739" s="14">
        <f>105.04-12.13</f>
        <v>92.910000000000011</v>
      </c>
      <c r="AQ739" s="14">
        <f>63.18-12.38</f>
        <v>50.8</v>
      </c>
      <c r="AR739" s="14">
        <v>54.01</v>
      </c>
      <c r="AS739" s="14">
        <v>25.5</v>
      </c>
      <c r="AT739" s="17" t="s">
        <v>147</v>
      </c>
      <c r="AU739" s="17" t="s">
        <v>147</v>
      </c>
    </row>
    <row r="740" spans="1:47" x14ac:dyDescent="0.2">
      <c r="A740" s="115">
        <v>739.0000000000008</v>
      </c>
      <c r="B740" s="14" t="s">
        <v>701</v>
      </c>
      <c r="C740" s="14">
        <v>21.739000000000001</v>
      </c>
      <c r="D740" s="155" t="s">
        <v>151</v>
      </c>
      <c r="E740" s="18" t="s">
        <v>152</v>
      </c>
      <c r="F740" s="14" t="s">
        <v>153</v>
      </c>
      <c r="I740" s="143">
        <v>44535</v>
      </c>
      <c r="J740" s="14" t="s">
        <v>142</v>
      </c>
      <c r="K740" s="14" t="s">
        <v>203</v>
      </c>
      <c r="L740" s="14"/>
      <c r="M740" s="14"/>
      <c r="N740" s="14">
        <v>247.17</v>
      </c>
      <c r="O740" s="14">
        <v>172.27</v>
      </c>
      <c r="P740" s="14">
        <v>181.78</v>
      </c>
      <c r="Q740" s="14">
        <v>35.799999999999997</v>
      </c>
      <c r="R740" s="14">
        <v>14.17</v>
      </c>
      <c r="S740" s="14">
        <v>122.88</v>
      </c>
      <c r="T740" s="14">
        <v>93.76</v>
      </c>
      <c r="U740" s="25">
        <v>60.66</v>
      </c>
      <c r="V740" s="25">
        <v>47.05</v>
      </c>
      <c r="W740" s="25">
        <v>63.92</v>
      </c>
      <c r="X740" s="25">
        <v>84.44</v>
      </c>
      <c r="Y740" s="25">
        <v>35.520000000000003</v>
      </c>
      <c r="Z740" s="25">
        <v>100.79</v>
      </c>
      <c r="AA740" s="25">
        <v>79.69</v>
      </c>
      <c r="AB740" s="25">
        <v>73.09</v>
      </c>
      <c r="AC740" s="25">
        <v>19.010000000000002</v>
      </c>
      <c r="AD740" s="25">
        <v>51.32</v>
      </c>
      <c r="AE740" s="14">
        <v>33.549999999999997</v>
      </c>
      <c r="AF740" s="14">
        <v>39.520000000000003</v>
      </c>
      <c r="AG740" s="14">
        <v>37.64</v>
      </c>
      <c r="AH740" s="14">
        <v>39.54</v>
      </c>
      <c r="AI740" s="14">
        <v>1.7</v>
      </c>
      <c r="AJ740" s="14"/>
      <c r="AK740" s="14"/>
      <c r="AL740" s="14">
        <v>5</v>
      </c>
      <c r="AM740" s="14"/>
      <c r="AN740" s="14"/>
      <c r="AO740" s="14">
        <f>18.08-3.06</f>
        <v>15.019999999999998</v>
      </c>
      <c r="AP740" s="14">
        <f>132.94-12.31</f>
        <v>120.63</v>
      </c>
      <c r="AQ740" s="14">
        <f>59.08-12.19</f>
        <v>46.89</v>
      </c>
      <c r="AR740" s="14">
        <v>55.92</v>
      </c>
      <c r="AS740" s="14">
        <v>25.98</v>
      </c>
      <c r="AT740" s="17" t="s">
        <v>147</v>
      </c>
      <c r="AU740" s="17" t="s">
        <v>147</v>
      </c>
    </row>
    <row r="741" spans="1:47" x14ac:dyDescent="0.2">
      <c r="A741" s="115">
        <v>739.99999999999841</v>
      </c>
      <c r="B741" s="14" t="s">
        <v>703</v>
      </c>
      <c r="C741" s="26" t="s">
        <v>710</v>
      </c>
      <c r="D741" s="155" t="s">
        <v>151</v>
      </c>
      <c r="E741" s="18" t="s">
        <v>152</v>
      </c>
      <c r="F741" s="14" t="s">
        <v>153</v>
      </c>
      <c r="I741" s="143">
        <v>44535</v>
      </c>
      <c r="J741" s="14" t="s">
        <v>142</v>
      </c>
      <c r="K741" s="14" t="s">
        <v>203</v>
      </c>
      <c r="L741" s="14"/>
      <c r="M741" s="14"/>
      <c r="N741" s="14">
        <v>232.14</v>
      </c>
      <c r="O741" s="14">
        <v>174.29</v>
      </c>
      <c r="P741" s="14">
        <v>177.43</v>
      </c>
      <c r="Q741" s="14">
        <v>38.020000000000003</v>
      </c>
      <c r="R741" s="14">
        <v>19.329999999999998</v>
      </c>
      <c r="S741" s="14">
        <v>114.51</v>
      </c>
      <c r="T741" s="14">
        <v>92.73</v>
      </c>
      <c r="U741" s="25">
        <v>60.17</v>
      </c>
      <c r="V741" s="25">
        <v>47.07</v>
      </c>
      <c r="W741" s="25">
        <v>69.2</v>
      </c>
      <c r="X741" s="25">
        <v>92.31</v>
      </c>
      <c r="Y741" s="25">
        <v>37.28</v>
      </c>
      <c r="Z741" s="25">
        <v>102.1</v>
      </c>
      <c r="AA741" s="25">
        <v>80.209999999999994</v>
      </c>
      <c r="AB741" s="25">
        <v>74.11</v>
      </c>
      <c r="AC741" s="25">
        <v>17.2</v>
      </c>
      <c r="AD741" s="25">
        <v>49.92</v>
      </c>
      <c r="AE741" s="14">
        <v>29.76</v>
      </c>
      <c r="AF741" s="14">
        <v>40.700000000000003</v>
      </c>
      <c r="AG741" s="14">
        <v>33.47</v>
      </c>
      <c r="AH741" s="14">
        <v>42.63</v>
      </c>
      <c r="AI741" s="14">
        <v>1.9870000000000001</v>
      </c>
      <c r="AJ741" s="14"/>
      <c r="AK741" s="14"/>
      <c r="AL741" s="14">
        <v>3</v>
      </c>
      <c r="AM741" s="14"/>
      <c r="AN741" s="14"/>
      <c r="AO741" s="14">
        <f>23.04-3.05</f>
        <v>19.989999999999998</v>
      </c>
      <c r="AP741" s="14">
        <f>115.78-13.6</f>
        <v>102.18</v>
      </c>
      <c r="AQ741" s="14">
        <f>63.27-13.38</f>
        <v>49.89</v>
      </c>
      <c r="AR741" s="14">
        <v>51.79</v>
      </c>
      <c r="AS741" s="14">
        <v>24.72</v>
      </c>
      <c r="AT741" s="17" t="s">
        <v>147</v>
      </c>
      <c r="AU741" s="17" t="s">
        <v>147</v>
      </c>
    </row>
    <row r="742" spans="1:47" x14ac:dyDescent="0.2">
      <c r="A742" s="115">
        <v>740.99999999999966</v>
      </c>
      <c r="B742" s="14">
        <v>210</v>
      </c>
      <c r="C742" s="14">
        <v>21.741</v>
      </c>
      <c r="D742" s="156" t="s">
        <v>168</v>
      </c>
      <c r="E742" t="s">
        <v>169</v>
      </c>
      <c r="F742" s="3" t="s">
        <v>170</v>
      </c>
      <c r="H742" s="9" t="s">
        <v>234</v>
      </c>
      <c r="I742" s="81">
        <v>44507</v>
      </c>
      <c r="J742" s="28" t="s">
        <v>142</v>
      </c>
      <c r="K742" s="28" t="s">
        <v>203</v>
      </c>
      <c r="L742" s="28"/>
      <c r="M742" s="28"/>
      <c r="N742" s="28">
        <v>251.1</v>
      </c>
      <c r="O742" s="28">
        <v>161.38999999999999</v>
      </c>
      <c r="P742" s="28">
        <v>171.97</v>
      </c>
      <c r="Q742" s="28">
        <v>35.18</v>
      </c>
      <c r="R742" s="28">
        <v>18.28</v>
      </c>
      <c r="S742" s="28">
        <v>117.52</v>
      </c>
      <c r="T742" s="28">
        <v>94.69</v>
      </c>
      <c r="U742" s="144">
        <v>70.430000000000007</v>
      </c>
      <c r="V742" s="144">
        <v>53.91</v>
      </c>
      <c r="W742" s="144">
        <v>73.73</v>
      </c>
      <c r="X742" s="144">
        <v>80.38</v>
      </c>
      <c r="Y742" s="144">
        <v>40.47</v>
      </c>
      <c r="Z742" s="144">
        <v>93.24</v>
      </c>
      <c r="AA742" s="144">
        <v>77.14</v>
      </c>
      <c r="AB742" s="144">
        <v>78.400000000000006</v>
      </c>
      <c r="AC742" s="144">
        <v>18.22</v>
      </c>
      <c r="AD742" s="144">
        <v>53.42</v>
      </c>
      <c r="AE742" s="28">
        <v>28.48</v>
      </c>
      <c r="AF742" s="28">
        <v>45.68</v>
      </c>
      <c r="AG742" s="28">
        <v>33.93</v>
      </c>
      <c r="AH742" s="28">
        <v>44.38</v>
      </c>
      <c r="AI742" s="28">
        <v>1.9159999999999999</v>
      </c>
      <c r="AJ742" s="28"/>
      <c r="AK742" s="28"/>
      <c r="AL742" s="28">
        <v>25</v>
      </c>
      <c r="AM742" s="28"/>
      <c r="AN742" s="28"/>
      <c r="AO742" s="28">
        <f>24.27-3.07</f>
        <v>21.2</v>
      </c>
      <c r="AP742" s="28">
        <f>98.62-12.8</f>
        <v>85.820000000000007</v>
      </c>
      <c r="AQ742" s="28">
        <f>73.83-13.05</f>
        <v>60.78</v>
      </c>
      <c r="AR742" s="28">
        <v>55.74</v>
      </c>
      <c r="AS742" s="28">
        <v>26.45</v>
      </c>
      <c r="AT742" s="17" t="s">
        <v>147</v>
      </c>
      <c r="AU742" s="17" t="s">
        <v>147</v>
      </c>
    </row>
    <row r="743" spans="1:47" x14ac:dyDescent="0.2">
      <c r="A743" s="115">
        <v>742.00000000000091</v>
      </c>
      <c r="B743" s="14">
        <v>216</v>
      </c>
      <c r="C743" s="23">
        <v>21.742000000000001</v>
      </c>
      <c r="D743" s="156" t="s">
        <v>168</v>
      </c>
      <c r="E743" t="s">
        <v>169</v>
      </c>
      <c r="F743" s="3" t="s">
        <v>170</v>
      </c>
      <c r="H743" s="9" t="s">
        <v>234</v>
      </c>
      <c r="I743" s="81">
        <v>44521</v>
      </c>
      <c r="J743" s="28" t="s">
        <v>142</v>
      </c>
      <c r="K743" s="28" t="s">
        <v>203</v>
      </c>
      <c r="L743" s="28"/>
      <c r="M743" s="28"/>
      <c r="N743" s="28">
        <v>250.45</v>
      </c>
      <c r="O743" s="28">
        <v>163.69999999999999</v>
      </c>
      <c r="P743" s="28">
        <v>175.21</v>
      </c>
      <c r="Q743" s="28">
        <v>36.28</v>
      </c>
      <c r="R743" s="28">
        <v>14.24</v>
      </c>
      <c r="S743" s="28">
        <v>119.62</v>
      </c>
      <c r="T743" s="28">
        <v>94.23</v>
      </c>
      <c r="U743" s="144">
        <v>71.77</v>
      </c>
      <c r="V743" s="144">
        <v>54.46</v>
      </c>
      <c r="W743" s="144">
        <v>75.260000000000005</v>
      </c>
      <c r="X743" s="144">
        <v>88.76</v>
      </c>
      <c r="Y743" s="144">
        <v>42.07</v>
      </c>
      <c r="Z743" s="144">
        <v>96.67</v>
      </c>
      <c r="AA743" s="144">
        <v>80.489999999999995</v>
      </c>
      <c r="AB743" s="144">
        <v>80.7</v>
      </c>
      <c r="AC743" s="144">
        <v>19.239999999999998</v>
      </c>
      <c r="AD743" s="144">
        <v>51.39</v>
      </c>
      <c r="AE743" s="28">
        <v>30.81</v>
      </c>
      <c r="AF743" s="28">
        <v>42.13</v>
      </c>
      <c r="AG743" s="28">
        <v>37.31</v>
      </c>
      <c r="AH743" s="28">
        <v>43.8</v>
      </c>
      <c r="AI743" s="28">
        <v>1.962</v>
      </c>
      <c r="AJ743" s="28"/>
      <c r="AK743" s="28"/>
      <c r="AL743" s="28">
        <v>28</v>
      </c>
      <c r="AM743" s="28"/>
      <c r="AN743" s="28"/>
      <c r="AO743" s="28">
        <f>22.5-3.05</f>
        <v>19.45</v>
      </c>
      <c r="AP743" s="28">
        <f>97.08-12.65</f>
        <v>84.429999999999993</v>
      </c>
      <c r="AQ743" s="28">
        <f>73.67-13.39</f>
        <v>60.28</v>
      </c>
      <c r="AR743" s="28">
        <v>55.55</v>
      </c>
      <c r="AS743" s="28">
        <v>26.33</v>
      </c>
      <c r="AT743" s="17" t="s">
        <v>147</v>
      </c>
      <c r="AU743" s="17" t="s">
        <v>147</v>
      </c>
    </row>
    <row r="744" spans="1:47" x14ac:dyDescent="0.2">
      <c r="A744" s="115">
        <v>742.99999999999852</v>
      </c>
      <c r="B744" s="14">
        <v>212</v>
      </c>
      <c r="C744" s="14">
        <v>21.742999999999999</v>
      </c>
      <c r="D744" s="156" t="s">
        <v>168</v>
      </c>
      <c r="E744" t="s">
        <v>169</v>
      </c>
      <c r="F744" s="3" t="s">
        <v>170</v>
      </c>
      <c r="H744" s="9" t="s">
        <v>234</v>
      </c>
      <c r="I744" s="81">
        <v>44518</v>
      </c>
      <c r="J744" s="28" t="s">
        <v>142</v>
      </c>
      <c r="K744" s="28" t="s">
        <v>203</v>
      </c>
      <c r="L744" s="28"/>
      <c r="M744" s="28"/>
      <c r="N744" s="28">
        <v>236.64</v>
      </c>
      <c r="O744" s="28">
        <v>162.91999999999999</v>
      </c>
      <c r="P744" s="28">
        <v>164.95</v>
      </c>
      <c r="Q744" s="28">
        <v>37.119999999999997</v>
      </c>
      <c r="R744" s="28">
        <v>13.41</v>
      </c>
      <c r="S744" s="28">
        <v>115.13</v>
      </c>
      <c r="T744" s="28">
        <v>89.83</v>
      </c>
      <c r="U744" s="144">
        <v>70.180000000000007</v>
      </c>
      <c r="V744" s="144">
        <v>53.21</v>
      </c>
      <c r="W744" s="144">
        <v>75.94</v>
      </c>
      <c r="X744" s="144">
        <v>85.8</v>
      </c>
      <c r="Y744" s="144">
        <v>42.56</v>
      </c>
      <c r="Z744" s="144">
        <v>94.54</v>
      </c>
      <c r="AA744" s="144">
        <v>79.39</v>
      </c>
      <c r="AB744" s="144">
        <v>78.040000000000006</v>
      </c>
      <c r="AC744" s="144">
        <v>15.59</v>
      </c>
      <c r="AD744" s="144">
        <v>51.26</v>
      </c>
      <c r="AE744" s="28">
        <v>30.34</v>
      </c>
      <c r="AF744" s="28">
        <v>44.16</v>
      </c>
      <c r="AG744" s="28">
        <v>29.3</v>
      </c>
      <c r="AH744" s="28">
        <v>44.95</v>
      </c>
      <c r="AI744" s="28">
        <v>1.8720000000000001</v>
      </c>
      <c r="AJ744" s="28"/>
      <c r="AK744" s="28"/>
      <c r="AL744" s="28">
        <v>35</v>
      </c>
      <c r="AM744" s="28"/>
      <c r="AN744" s="28"/>
      <c r="AO744" s="28">
        <f>18.8-3.07</f>
        <v>15.73</v>
      </c>
      <c r="AP744" s="28">
        <f>96.88-13.09</f>
        <v>83.789999999999992</v>
      </c>
      <c r="AQ744" s="28">
        <f>58.35-12.84</f>
        <v>45.510000000000005</v>
      </c>
      <c r="AR744" s="28">
        <v>53.65</v>
      </c>
      <c r="AS744" s="28">
        <v>25.27</v>
      </c>
      <c r="AT744" s="17" t="s">
        <v>147</v>
      </c>
      <c r="AU744" s="17" t="s">
        <v>147</v>
      </c>
    </row>
    <row r="745" spans="1:47" x14ac:dyDescent="0.2">
      <c r="A745" s="115">
        <v>743.99999999999977</v>
      </c>
      <c r="B745" s="14">
        <v>211</v>
      </c>
      <c r="C745" s="14">
        <v>21.744</v>
      </c>
      <c r="D745" s="156" t="s">
        <v>168</v>
      </c>
      <c r="E745" t="s">
        <v>169</v>
      </c>
      <c r="F745" s="3" t="s">
        <v>170</v>
      </c>
      <c r="H745" s="9" t="s">
        <v>234</v>
      </c>
      <c r="I745" s="81">
        <v>44518</v>
      </c>
      <c r="J745" s="28" t="s">
        <v>142</v>
      </c>
      <c r="K745" s="28" t="s">
        <v>203</v>
      </c>
      <c r="L745" s="28"/>
      <c r="M745" s="28"/>
      <c r="N745" s="28">
        <v>232.23</v>
      </c>
      <c r="O745" s="28">
        <v>162.71</v>
      </c>
      <c r="P745" s="28">
        <v>170.39</v>
      </c>
      <c r="Q745" s="28">
        <v>34.479999999999997</v>
      </c>
      <c r="R745" s="28">
        <v>16.71</v>
      </c>
      <c r="S745" s="28">
        <v>116.23</v>
      </c>
      <c r="T745" s="28">
        <v>92.65</v>
      </c>
      <c r="U745" s="144">
        <v>68.91</v>
      </c>
      <c r="V745" s="144">
        <v>49.88</v>
      </c>
      <c r="W745" s="144">
        <v>74.069999999999993</v>
      </c>
      <c r="X745" s="144">
        <v>86.47</v>
      </c>
      <c r="Y745" s="144">
        <v>41.3</v>
      </c>
      <c r="Z745" s="144">
        <v>96.06</v>
      </c>
      <c r="AA745" s="144">
        <v>81.209999999999994</v>
      </c>
      <c r="AB745" s="144">
        <v>80</v>
      </c>
      <c r="AC745" s="144">
        <v>18.899999999999999</v>
      </c>
      <c r="AD745" s="144">
        <v>49.12</v>
      </c>
      <c r="AE745" s="28">
        <v>29.55</v>
      </c>
      <c r="AF745" s="28">
        <v>47.95</v>
      </c>
      <c r="AG745" s="28">
        <v>34.99</v>
      </c>
      <c r="AH745" s="28">
        <v>38.72</v>
      </c>
      <c r="AI745" s="28">
        <v>1.744</v>
      </c>
      <c r="AJ745" s="28"/>
      <c r="AK745" s="28"/>
      <c r="AL745" s="28">
        <v>27</v>
      </c>
      <c r="AM745" s="28"/>
      <c r="AN745" s="28"/>
      <c r="AO745" s="28">
        <f>18.85-3.08</f>
        <v>15.770000000000001</v>
      </c>
      <c r="AP745" s="28">
        <f>88.14-12.76</f>
        <v>75.38</v>
      </c>
      <c r="AQ745" s="28">
        <f>74.16-12.82</f>
        <v>61.339999999999996</v>
      </c>
      <c r="AR745" s="28">
        <v>48.93</v>
      </c>
      <c r="AS745" s="28">
        <v>22.99</v>
      </c>
      <c r="AT745" s="17" t="s">
        <v>147</v>
      </c>
      <c r="AU745" s="17" t="s">
        <v>147</v>
      </c>
    </row>
    <row r="746" spans="1:47" x14ac:dyDescent="0.2">
      <c r="A746" s="115">
        <v>745.00000000000102</v>
      </c>
      <c r="B746" s="14">
        <v>232</v>
      </c>
      <c r="C746" s="14">
        <v>21.745000000000001</v>
      </c>
      <c r="D746" s="156" t="s">
        <v>168</v>
      </c>
      <c r="E746" t="s">
        <v>232</v>
      </c>
      <c r="F746" s="3" t="s">
        <v>251</v>
      </c>
      <c r="H746" s="3" t="s">
        <v>498</v>
      </c>
      <c r="I746" s="81">
        <v>44512</v>
      </c>
      <c r="J746" s="28" t="s">
        <v>142</v>
      </c>
      <c r="K746" s="28" t="s">
        <v>203</v>
      </c>
      <c r="L746" s="28"/>
      <c r="M746" s="28"/>
      <c r="N746" s="28">
        <v>210.14</v>
      </c>
      <c r="O746" s="28">
        <v>201.02</v>
      </c>
      <c r="P746" s="28">
        <v>205.61</v>
      </c>
      <c r="Q746" s="28">
        <v>45.65</v>
      </c>
      <c r="R746" s="28">
        <v>28.07</v>
      </c>
      <c r="S746" s="28">
        <v>130.41</v>
      </c>
      <c r="T746" s="28">
        <v>98.69</v>
      </c>
      <c r="U746" s="144">
        <v>73.03</v>
      </c>
      <c r="V746" s="144">
        <v>49.04</v>
      </c>
      <c r="W746" s="144">
        <v>78.33</v>
      </c>
      <c r="X746" s="144">
        <v>95.23</v>
      </c>
      <c r="Y746" s="144">
        <v>40.75</v>
      </c>
      <c r="Z746" s="144">
        <v>100.35</v>
      </c>
      <c r="AA746" s="144">
        <v>78.25</v>
      </c>
      <c r="AB746" s="144">
        <v>72.88</v>
      </c>
      <c r="AC746" s="144">
        <v>7.12</v>
      </c>
      <c r="AD746" s="144">
        <v>43.86</v>
      </c>
      <c r="AE746" s="28">
        <v>45.16</v>
      </c>
      <c r="AF746" s="28">
        <v>49.11</v>
      </c>
      <c r="AG746" s="28">
        <v>45.78</v>
      </c>
      <c r="AH746" s="28">
        <v>49.69</v>
      </c>
      <c r="AI746" s="28">
        <v>1.4750000000000001</v>
      </c>
      <c r="AJ746" s="28"/>
      <c r="AK746" s="28"/>
      <c r="AL746" s="28">
        <v>8</v>
      </c>
      <c r="AM746" s="28"/>
      <c r="AN746" s="28"/>
      <c r="AO746" s="28">
        <f>22.18-3.09</f>
        <v>19.09</v>
      </c>
      <c r="AP746" s="28">
        <f>101.23-13.18</f>
        <v>88.050000000000011</v>
      </c>
      <c r="AQ746" s="28">
        <f>64.32-13.55</f>
        <v>50.769999999999996</v>
      </c>
      <c r="AR746" s="28">
        <v>40.75</v>
      </c>
      <c r="AS746" s="28">
        <v>18.829999999999998</v>
      </c>
      <c r="AT746" s="17" t="s">
        <v>147</v>
      </c>
      <c r="AU746" s="17" t="s">
        <v>147</v>
      </c>
    </row>
    <row r="747" spans="1:47" x14ac:dyDescent="0.2">
      <c r="A747" s="115">
        <v>745.99999999999864</v>
      </c>
      <c r="B747" s="14">
        <v>234</v>
      </c>
      <c r="C747" s="23">
        <v>21.745999999999999</v>
      </c>
      <c r="D747" s="156" t="s">
        <v>168</v>
      </c>
      <c r="E747" t="s">
        <v>232</v>
      </c>
      <c r="F747" s="3" t="s">
        <v>251</v>
      </c>
      <c r="H747" s="3" t="s">
        <v>498</v>
      </c>
      <c r="I747" s="81">
        <v>44512</v>
      </c>
      <c r="J747" s="28" t="s">
        <v>142</v>
      </c>
      <c r="K747" s="28" t="s">
        <v>203</v>
      </c>
      <c r="L747" s="28"/>
      <c r="M747" s="28"/>
      <c r="N747" s="28">
        <v>206.29</v>
      </c>
      <c r="O747" s="28">
        <v>183.9</v>
      </c>
      <c r="P747" s="28">
        <v>201.43</v>
      </c>
      <c r="Q747" s="28">
        <v>42.97</v>
      </c>
      <c r="R747" s="28">
        <v>23.01</v>
      </c>
      <c r="S747" s="28">
        <v>127.24</v>
      </c>
      <c r="T747" s="28">
        <v>99.32</v>
      </c>
      <c r="U747" s="144">
        <v>71.87</v>
      </c>
      <c r="V747" s="144">
        <v>50.27</v>
      </c>
      <c r="W747" s="144">
        <v>75.67</v>
      </c>
      <c r="X747" s="144">
        <v>92.05</v>
      </c>
      <c r="Y747" s="144">
        <v>39.520000000000003</v>
      </c>
      <c r="Z747" s="144">
        <v>97.24</v>
      </c>
      <c r="AA747" s="144">
        <v>74.13</v>
      </c>
      <c r="AB747" s="144">
        <v>71.75</v>
      </c>
      <c r="AC747" s="144">
        <v>10.39</v>
      </c>
      <c r="AD747" s="144">
        <v>43.07</v>
      </c>
      <c r="AE747" s="28">
        <v>39.979999999999997</v>
      </c>
      <c r="AF747" s="28">
        <v>48.49</v>
      </c>
      <c r="AG747" s="28">
        <v>48.45</v>
      </c>
      <c r="AH747" s="28">
        <v>49.69</v>
      </c>
      <c r="AI747" s="28">
        <v>1.496</v>
      </c>
      <c r="AJ747" s="28"/>
      <c r="AK747" s="28"/>
      <c r="AL747" s="28">
        <v>10</v>
      </c>
      <c r="AM747" s="28"/>
      <c r="AN747" s="28"/>
      <c r="AO747" s="28">
        <f>19.77-3.05</f>
        <v>16.72</v>
      </c>
      <c r="AP747" s="28">
        <f>96.63-12.89</f>
        <v>83.74</v>
      </c>
      <c r="AQ747" s="28">
        <f>66.31-13.65</f>
        <v>52.660000000000004</v>
      </c>
      <c r="AR747" s="28">
        <v>41.43</v>
      </c>
      <c r="AS747" s="28">
        <v>19.149999999999999</v>
      </c>
      <c r="AT747" s="17" t="s">
        <v>147</v>
      </c>
      <c r="AU747" s="17" t="s">
        <v>147</v>
      </c>
    </row>
    <row r="748" spans="1:47" x14ac:dyDescent="0.2">
      <c r="A748" s="115">
        <v>746.99999999999989</v>
      </c>
      <c r="B748" s="14">
        <v>233</v>
      </c>
      <c r="C748" s="14">
        <v>21.747</v>
      </c>
      <c r="D748" s="156" t="s">
        <v>168</v>
      </c>
      <c r="E748" t="s">
        <v>232</v>
      </c>
      <c r="F748" s="3" t="s">
        <v>251</v>
      </c>
      <c r="H748" s="3" t="s">
        <v>498</v>
      </c>
      <c r="I748" s="81">
        <v>44512</v>
      </c>
      <c r="J748" s="28" t="s">
        <v>142</v>
      </c>
      <c r="K748" s="28" t="s">
        <v>203</v>
      </c>
      <c r="L748" s="28"/>
      <c r="M748" s="28"/>
      <c r="N748" s="28">
        <v>225.21</v>
      </c>
      <c r="O748" s="28">
        <v>203.06</v>
      </c>
      <c r="P748" s="28">
        <v>206.68</v>
      </c>
      <c r="Q748" s="28">
        <v>44.35</v>
      </c>
      <c r="R748" s="28">
        <v>24.88</v>
      </c>
      <c r="S748" s="28">
        <v>133.59</v>
      </c>
      <c r="T748" s="28">
        <v>106.2</v>
      </c>
      <c r="U748" s="144">
        <v>71.319999999999993</v>
      </c>
      <c r="V748" s="144">
        <v>52.52</v>
      </c>
      <c r="W748" s="144">
        <v>76.02</v>
      </c>
      <c r="X748" s="144">
        <v>99.31</v>
      </c>
      <c r="Y748" s="144">
        <v>40.44</v>
      </c>
      <c r="Z748" s="144">
        <v>101.86</v>
      </c>
      <c r="AA748" s="144">
        <v>78.12</v>
      </c>
      <c r="AB748" s="144">
        <v>72.72</v>
      </c>
      <c r="AC748" s="144">
        <v>6.75</v>
      </c>
      <c r="AD748" s="144">
        <v>43.59</v>
      </c>
      <c r="AE748" s="28">
        <v>40.89</v>
      </c>
      <c r="AF748" s="28">
        <v>43.83</v>
      </c>
      <c r="AG748" s="28">
        <v>43.09</v>
      </c>
      <c r="AH748" s="28">
        <v>49.87</v>
      </c>
      <c r="AI748" s="28">
        <v>1.4339999999999999</v>
      </c>
      <c r="AJ748" s="28"/>
      <c r="AK748" s="28"/>
      <c r="AL748" s="28">
        <v>6</v>
      </c>
      <c r="AM748" s="28"/>
      <c r="AN748" s="28"/>
      <c r="AO748" s="28">
        <f>20.9-3.05</f>
        <v>17.849999999999998</v>
      </c>
      <c r="AP748" s="28">
        <f>108.85-13.41</f>
        <v>95.44</v>
      </c>
      <c r="AQ748" s="28">
        <f>72.48-13.35</f>
        <v>59.13</v>
      </c>
      <c r="AR748" s="28">
        <v>44.78</v>
      </c>
      <c r="AS748" s="28">
        <v>20.67</v>
      </c>
      <c r="AT748" s="17" t="s">
        <v>147</v>
      </c>
      <c r="AU748" s="17" t="s">
        <v>147</v>
      </c>
    </row>
    <row r="749" spans="1:47" x14ac:dyDescent="0.2">
      <c r="A749" s="115">
        <v>748.00000000000114</v>
      </c>
      <c r="B749" s="14">
        <v>251</v>
      </c>
      <c r="C749" s="14">
        <v>21.748000000000001</v>
      </c>
      <c r="D749" s="156" t="s">
        <v>168</v>
      </c>
      <c r="E749" t="s">
        <v>169</v>
      </c>
      <c r="F749" s="3" t="s">
        <v>170</v>
      </c>
      <c r="H749" s="9" t="s">
        <v>234</v>
      </c>
      <c r="I749" s="81">
        <v>44528</v>
      </c>
      <c r="J749" s="28" t="s">
        <v>142</v>
      </c>
      <c r="K749" s="28" t="s">
        <v>203</v>
      </c>
      <c r="L749" s="28"/>
      <c r="M749" s="28"/>
      <c r="N749" s="28">
        <v>258.12</v>
      </c>
      <c r="O749" s="28">
        <v>164.26</v>
      </c>
      <c r="P749" s="28">
        <v>171.58</v>
      </c>
      <c r="Q749" s="28">
        <v>33.409999999999997</v>
      </c>
      <c r="R749" s="28">
        <v>18.059999999999999</v>
      </c>
      <c r="S749" s="28">
        <v>117.58</v>
      </c>
      <c r="T749" s="28">
        <v>93.85</v>
      </c>
      <c r="U749" s="144">
        <v>74.37</v>
      </c>
      <c r="V749" s="144">
        <v>54.61</v>
      </c>
      <c r="W749" s="144">
        <v>77.27</v>
      </c>
      <c r="X749" s="144">
        <v>88.88</v>
      </c>
      <c r="Y749" s="144">
        <v>43.09</v>
      </c>
      <c r="Z749" s="144">
        <v>97.15</v>
      </c>
      <c r="AA749" s="144">
        <v>81.290000000000006</v>
      </c>
      <c r="AB749" s="144">
        <v>79.58</v>
      </c>
      <c r="AC749" s="144">
        <v>17.28</v>
      </c>
      <c r="AD749" s="144">
        <v>52.95</v>
      </c>
      <c r="AE749" s="28">
        <v>30.43</v>
      </c>
      <c r="AF749" s="28">
        <v>43.08</v>
      </c>
      <c r="AG749" s="28">
        <v>30.45</v>
      </c>
      <c r="AH749" s="28">
        <v>40.56</v>
      </c>
      <c r="AI749" s="28">
        <v>1.5149999999999999</v>
      </c>
      <c r="AJ749" s="28"/>
      <c r="AK749" s="28"/>
      <c r="AL749" s="28">
        <v>26</v>
      </c>
      <c r="AM749" s="28"/>
      <c r="AN749" s="28"/>
      <c r="AO749" s="28">
        <f>17.85-3.14</f>
        <v>14.71</v>
      </c>
      <c r="AP749" s="28">
        <f>100.91-13.06</f>
        <v>87.85</v>
      </c>
      <c r="AQ749" s="28">
        <f>86-13.16</f>
        <v>72.84</v>
      </c>
      <c r="AR749" s="28">
        <v>52.53</v>
      </c>
      <c r="AS749" s="28">
        <v>23.95</v>
      </c>
      <c r="AT749" s="17" t="s">
        <v>147</v>
      </c>
      <c r="AU749" s="17" t="s">
        <v>147</v>
      </c>
    </row>
    <row r="750" spans="1:47" x14ac:dyDescent="0.2">
      <c r="A750" s="115">
        <v>748.99999999999875</v>
      </c>
      <c r="B750" s="14">
        <v>254</v>
      </c>
      <c r="C750" s="14">
        <v>21.748999999999999</v>
      </c>
      <c r="D750" s="156" t="s">
        <v>168</v>
      </c>
      <c r="E750" t="s">
        <v>169</v>
      </c>
      <c r="F750" s="3" t="s">
        <v>170</v>
      </c>
      <c r="H750" s="9" t="s">
        <v>234</v>
      </c>
      <c r="I750" s="81">
        <v>44528</v>
      </c>
      <c r="J750" s="28" t="s">
        <v>142</v>
      </c>
      <c r="K750" s="28" t="s">
        <v>203</v>
      </c>
      <c r="L750" s="28"/>
      <c r="M750" s="28"/>
      <c r="N750" s="28">
        <v>242.01</v>
      </c>
      <c r="O750" s="28">
        <v>161.34</v>
      </c>
      <c r="P750" s="28">
        <v>174.39</v>
      </c>
      <c r="Q750" s="28">
        <v>35.4</v>
      </c>
      <c r="R750" s="28">
        <v>14.62</v>
      </c>
      <c r="S750" s="28">
        <v>118.97</v>
      </c>
      <c r="T750" s="28">
        <v>92.28</v>
      </c>
      <c r="U750" s="144">
        <v>70.540000000000006</v>
      </c>
      <c r="V750" s="144">
        <v>53.76</v>
      </c>
      <c r="W750" s="144">
        <v>72.75</v>
      </c>
      <c r="X750" s="144">
        <v>87.59</v>
      </c>
      <c r="Y750" s="144">
        <v>42.69</v>
      </c>
      <c r="Z750" s="144">
        <v>98.69</v>
      </c>
      <c r="AA750" s="144">
        <v>82.07</v>
      </c>
      <c r="AB750" s="144">
        <v>82.32</v>
      </c>
      <c r="AC750" s="144">
        <v>27.49</v>
      </c>
      <c r="AD750" s="144">
        <v>48.75</v>
      </c>
      <c r="AE750" s="28">
        <v>30.95</v>
      </c>
      <c r="AF750" s="28">
        <v>37.15</v>
      </c>
      <c r="AG750" s="28">
        <v>39.76</v>
      </c>
      <c r="AH750" s="28">
        <v>37.53</v>
      </c>
      <c r="AI750" s="28">
        <v>1.575</v>
      </c>
      <c r="AJ750" s="28"/>
      <c r="AK750" s="28"/>
      <c r="AL750" s="28">
        <v>15</v>
      </c>
      <c r="AM750" s="28"/>
      <c r="AN750" s="28"/>
      <c r="AO750" s="28">
        <f>19.92-3.14</f>
        <v>16.78</v>
      </c>
      <c r="AP750" s="28">
        <f>94.44-12.29</f>
        <v>82.15</v>
      </c>
      <c r="AQ750" s="28">
        <f>86.54-12.24</f>
        <v>74.300000000000011</v>
      </c>
      <c r="AR750" s="28">
        <v>49.37</v>
      </c>
      <c r="AS750" s="28">
        <v>25.81</v>
      </c>
      <c r="AT750" s="17" t="s">
        <v>147</v>
      </c>
      <c r="AU750" s="17" t="s">
        <v>147</v>
      </c>
    </row>
    <row r="751" spans="1:47" x14ac:dyDescent="0.2">
      <c r="A751" s="115">
        <v>750</v>
      </c>
      <c r="B751" s="14">
        <v>250</v>
      </c>
      <c r="C751" s="24" t="s">
        <v>711</v>
      </c>
      <c r="D751" s="156" t="s">
        <v>168</v>
      </c>
      <c r="E751" t="s">
        <v>169</v>
      </c>
      <c r="F751" s="3" t="s">
        <v>170</v>
      </c>
      <c r="H751" s="9" t="s">
        <v>234</v>
      </c>
      <c r="I751" s="81">
        <v>44525</v>
      </c>
      <c r="J751" s="28" t="s">
        <v>142</v>
      </c>
      <c r="K751" s="28" t="s">
        <v>203</v>
      </c>
      <c r="L751" s="28"/>
      <c r="M751" s="28"/>
      <c r="N751" s="28">
        <v>268.39999999999998</v>
      </c>
      <c r="O751" s="28">
        <v>163.87</v>
      </c>
      <c r="P751" s="28">
        <v>184.91</v>
      </c>
      <c r="Q751" s="28">
        <v>34.159999999999997</v>
      </c>
      <c r="R751" s="28">
        <v>15.35</v>
      </c>
      <c r="S751" s="28">
        <v>125.03</v>
      </c>
      <c r="T751" s="28">
        <v>99.86</v>
      </c>
      <c r="U751" s="144">
        <v>69.11</v>
      </c>
      <c r="V751" s="144">
        <v>54.26</v>
      </c>
      <c r="W751" s="144">
        <v>74.3</v>
      </c>
      <c r="X751" s="144">
        <v>87.73</v>
      </c>
      <c r="Y751" s="144">
        <v>43.45</v>
      </c>
      <c r="Z751" s="144">
        <v>99.09</v>
      </c>
      <c r="AA751" s="144">
        <v>83.05</v>
      </c>
      <c r="AB751" s="144">
        <v>81.36</v>
      </c>
      <c r="AC751" s="144">
        <v>25.41</v>
      </c>
      <c r="AD751" s="144">
        <v>52.4</v>
      </c>
      <c r="AE751" s="28">
        <v>26.79</v>
      </c>
      <c r="AF751" s="28">
        <v>39.4</v>
      </c>
      <c r="AG751" s="28">
        <v>33.04</v>
      </c>
      <c r="AH751" s="28">
        <v>42.37</v>
      </c>
      <c r="AI751" s="28">
        <v>1.8009999999999999</v>
      </c>
      <c r="AJ751" s="28"/>
      <c r="AK751" s="28"/>
      <c r="AL751" s="28">
        <v>25</v>
      </c>
      <c r="AM751" s="28"/>
      <c r="AN751" s="28"/>
      <c r="AO751" s="28">
        <f>17.03-3.19</f>
        <v>13.840000000000002</v>
      </c>
      <c r="AP751" s="28">
        <f>98.33-12.56</f>
        <v>85.77</v>
      </c>
      <c r="AQ751" s="28">
        <f>99.62-12.56</f>
        <v>87.06</v>
      </c>
      <c r="AR751" s="28">
        <v>54.81</v>
      </c>
      <c r="AS751" s="28">
        <v>23.28</v>
      </c>
      <c r="AT751" s="17" t="s">
        <v>147</v>
      </c>
      <c r="AU751" s="17" t="s">
        <v>147</v>
      </c>
    </row>
    <row r="752" spans="1:47" x14ac:dyDescent="0.2">
      <c r="A752" s="115">
        <v>751.00000000000125</v>
      </c>
      <c r="B752" s="14">
        <v>253</v>
      </c>
      <c r="C752" s="14">
        <v>21.751000000000001</v>
      </c>
      <c r="D752" s="156" t="s">
        <v>168</v>
      </c>
      <c r="E752" t="s">
        <v>169</v>
      </c>
      <c r="F752" s="3" t="s">
        <v>170</v>
      </c>
      <c r="G752" s="17"/>
      <c r="H752" s="9" t="s">
        <v>234</v>
      </c>
      <c r="I752" s="81">
        <v>44528</v>
      </c>
      <c r="J752" s="28" t="s">
        <v>142</v>
      </c>
      <c r="K752" s="28" t="s">
        <v>203</v>
      </c>
      <c r="L752" s="28"/>
      <c r="M752" s="28"/>
      <c r="N752" s="28">
        <v>229.72</v>
      </c>
      <c r="O752" s="28">
        <v>162.75</v>
      </c>
      <c r="P752" s="28">
        <v>168.46</v>
      </c>
      <c r="Q752" s="28">
        <v>35.96</v>
      </c>
      <c r="R752" s="28">
        <v>16.04</v>
      </c>
      <c r="S752" s="28">
        <v>118.14</v>
      </c>
      <c r="T752" s="28">
        <v>88.91</v>
      </c>
      <c r="U752" s="144">
        <v>71.260000000000005</v>
      </c>
      <c r="V752" s="144">
        <v>54.5</v>
      </c>
      <c r="W752" s="144">
        <v>74.81</v>
      </c>
      <c r="X752" s="144">
        <v>87.13</v>
      </c>
      <c r="Y752" s="144">
        <v>43.2</v>
      </c>
      <c r="Z752" s="144">
        <v>96.57</v>
      </c>
      <c r="AA752" s="144">
        <v>79.56</v>
      </c>
      <c r="AB752" s="144">
        <v>83.2</v>
      </c>
      <c r="AC752" s="144">
        <v>24.82</v>
      </c>
      <c r="AD752" s="144">
        <v>49.06</v>
      </c>
      <c r="AE752" s="28">
        <v>30.67</v>
      </c>
      <c r="AF752" s="28">
        <v>38.49</v>
      </c>
      <c r="AG752" s="28">
        <v>35.549999999999997</v>
      </c>
      <c r="AH752" s="28">
        <v>39.03</v>
      </c>
      <c r="AI752" s="28">
        <v>1.5920000000000001</v>
      </c>
      <c r="AJ752" s="28"/>
      <c r="AK752" s="28"/>
      <c r="AL752" s="28">
        <v>20</v>
      </c>
      <c r="AM752" s="28"/>
      <c r="AN752" s="28"/>
      <c r="AO752" s="28">
        <f>17.37-3.09</f>
        <v>14.280000000000001</v>
      </c>
      <c r="AP752" s="28">
        <f>100.81-13.03</f>
        <v>87.78</v>
      </c>
      <c r="AQ752" s="28">
        <f>68.84-12.97</f>
        <v>55.870000000000005</v>
      </c>
      <c r="AR752" s="28">
        <v>48.1</v>
      </c>
      <c r="AS752" s="28">
        <v>21.81</v>
      </c>
      <c r="AT752" s="17" t="s">
        <v>147</v>
      </c>
      <c r="AU752" s="17" t="s">
        <v>147</v>
      </c>
    </row>
    <row r="753" spans="1:47" x14ac:dyDescent="0.2">
      <c r="A753" s="115">
        <v>751.99999999999886</v>
      </c>
      <c r="B753" s="14">
        <v>252</v>
      </c>
      <c r="C753" s="14">
        <v>21.751999999999999</v>
      </c>
      <c r="D753" s="156" t="s">
        <v>168</v>
      </c>
      <c r="E753" t="s">
        <v>169</v>
      </c>
      <c r="F753" s="3" t="s">
        <v>170</v>
      </c>
      <c r="G753" s="17"/>
      <c r="H753" s="9" t="s">
        <v>234</v>
      </c>
      <c r="I753" s="81">
        <v>44528</v>
      </c>
      <c r="J753" s="28" t="s">
        <v>142</v>
      </c>
      <c r="K753" s="28" t="s">
        <v>203</v>
      </c>
      <c r="L753" s="28"/>
      <c r="M753" s="28"/>
      <c r="N753" s="28">
        <v>228.24</v>
      </c>
      <c r="O753" s="28">
        <v>170.47</v>
      </c>
      <c r="P753" s="28">
        <v>176.56</v>
      </c>
      <c r="Q753" s="28">
        <v>34.54</v>
      </c>
      <c r="R753" s="28">
        <v>17.36</v>
      </c>
      <c r="S753" s="28">
        <v>120.65</v>
      </c>
      <c r="T753" s="28">
        <v>90.73</v>
      </c>
      <c r="U753" s="144">
        <v>72.13</v>
      </c>
      <c r="V753" s="144">
        <v>53.8</v>
      </c>
      <c r="W753" s="144">
        <v>73.650000000000006</v>
      </c>
      <c r="X753" s="144">
        <v>87.18</v>
      </c>
      <c r="Y753" s="144">
        <v>42.22</v>
      </c>
      <c r="Z753" s="144">
        <v>97.35</v>
      </c>
      <c r="AA753" s="144">
        <v>81.55</v>
      </c>
      <c r="AB753" s="144">
        <v>80.94</v>
      </c>
      <c r="AC753" s="144">
        <v>16.97</v>
      </c>
      <c r="AD753" s="144">
        <v>48.82</v>
      </c>
      <c r="AE753" s="28">
        <v>31.51</v>
      </c>
      <c r="AF753" s="28">
        <v>41.9</v>
      </c>
      <c r="AG753" s="28">
        <v>35.17</v>
      </c>
      <c r="AH753" s="28">
        <v>44.94</v>
      </c>
      <c r="AI753" s="28">
        <v>1.6719999999999999</v>
      </c>
      <c r="AJ753" s="28"/>
      <c r="AK753" s="28"/>
      <c r="AL753" s="28">
        <v>20</v>
      </c>
      <c r="AM753" s="28"/>
      <c r="AN753" s="28"/>
      <c r="AO753" s="28">
        <f>18.31-3.1</f>
        <v>15.209999999999999</v>
      </c>
      <c r="AP753" s="28">
        <f>100.47-12.7</f>
        <v>87.77</v>
      </c>
      <c r="AQ753" s="28">
        <f>67.76-12.63</f>
        <v>55.13</v>
      </c>
      <c r="AR753" s="28">
        <v>47.83</v>
      </c>
      <c r="AS753" s="28">
        <v>21.92</v>
      </c>
      <c r="AT753" s="17" t="s">
        <v>147</v>
      </c>
      <c r="AU753" s="17" t="s">
        <v>147</v>
      </c>
    </row>
    <row r="754" spans="1:47" x14ac:dyDescent="0.2">
      <c r="A754" s="115">
        <v>753.00000000000011</v>
      </c>
      <c r="B754" s="14" t="s">
        <v>712</v>
      </c>
      <c r="C754" s="14">
        <v>21.753</v>
      </c>
      <c r="D754" s="155" t="s">
        <v>151</v>
      </c>
      <c r="E754" t="s">
        <v>162</v>
      </c>
      <c r="F754" s="3" t="s">
        <v>88</v>
      </c>
      <c r="G754" s="3" t="s">
        <v>88</v>
      </c>
      <c r="H754" s="17"/>
      <c r="I754" s="143">
        <v>44539</v>
      </c>
      <c r="J754" s="14" t="s">
        <v>142</v>
      </c>
      <c r="K754" s="14" t="s">
        <v>203</v>
      </c>
      <c r="L754" s="14"/>
      <c r="M754" s="14"/>
      <c r="N754" s="14">
        <v>211.61</v>
      </c>
      <c r="O754" s="14">
        <v>173.89</v>
      </c>
      <c r="P754" s="14">
        <v>187.45</v>
      </c>
      <c r="Q754" s="14">
        <v>42.52</v>
      </c>
      <c r="R754" s="14">
        <v>23.42</v>
      </c>
      <c r="S754" s="14">
        <v>115.14</v>
      </c>
      <c r="T754" s="14">
        <v>93.39</v>
      </c>
      <c r="U754" s="25">
        <v>61.17</v>
      </c>
      <c r="V754" s="25">
        <v>44.14</v>
      </c>
      <c r="W754" s="25">
        <v>70.099999999999994</v>
      </c>
      <c r="X754" s="25">
        <v>86.44</v>
      </c>
      <c r="Y754" s="25">
        <v>42.74</v>
      </c>
      <c r="Z754" s="25">
        <v>99.23</v>
      </c>
      <c r="AA754" s="25">
        <v>76.33</v>
      </c>
      <c r="AB754" s="25">
        <v>80.75</v>
      </c>
      <c r="AC754" s="25">
        <v>16.18</v>
      </c>
      <c r="AD754" s="25">
        <v>44.43</v>
      </c>
      <c r="AE754" s="14">
        <v>33.15</v>
      </c>
      <c r="AF754" s="14">
        <v>48.55</v>
      </c>
      <c r="AG754" s="14">
        <v>36.82</v>
      </c>
      <c r="AH754" s="14">
        <v>43.29</v>
      </c>
      <c r="AI754" s="14">
        <v>1.9450000000000001</v>
      </c>
      <c r="AJ754" s="14"/>
      <c r="AK754" s="14"/>
      <c r="AL754" s="14">
        <v>9</v>
      </c>
      <c r="AM754" s="14"/>
      <c r="AN754" s="14"/>
      <c r="AO754" s="14"/>
      <c r="AP754" s="14">
        <f>103.61-13.41</f>
        <v>90.2</v>
      </c>
      <c r="AQ754" s="14">
        <f>57.69-13.01</f>
        <v>44.68</v>
      </c>
      <c r="AR754" s="14">
        <v>51.61</v>
      </c>
      <c r="AS754" s="14">
        <v>24.79</v>
      </c>
      <c r="AT754" s="17" t="s">
        <v>147</v>
      </c>
      <c r="AU754" s="17" t="s">
        <v>147</v>
      </c>
    </row>
    <row r="755" spans="1:47" x14ac:dyDescent="0.2">
      <c r="A755" s="115">
        <v>754.00000000000136</v>
      </c>
      <c r="B755" s="14" t="s">
        <v>713</v>
      </c>
      <c r="C755" s="23">
        <v>21.754000000000001</v>
      </c>
      <c r="D755" s="155" t="s">
        <v>151</v>
      </c>
      <c r="E755" t="s">
        <v>162</v>
      </c>
      <c r="F755" s="3" t="s">
        <v>88</v>
      </c>
      <c r="G755" s="3" t="s">
        <v>88</v>
      </c>
      <c r="H755" s="17"/>
      <c r="I755" s="143">
        <v>44539</v>
      </c>
      <c r="J755" s="14" t="s">
        <v>142</v>
      </c>
      <c r="K755" s="14" t="s">
        <v>203</v>
      </c>
      <c r="L755" s="14"/>
      <c r="M755" s="14"/>
      <c r="N755" s="14">
        <v>201.91</v>
      </c>
      <c r="O755" s="14">
        <v>178</v>
      </c>
      <c r="P755" s="14">
        <v>188.04</v>
      </c>
      <c r="Q755" s="14">
        <v>52.29</v>
      </c>
      <c r="R755" s="14">
        <v>20.39</v>
      </c>
      <c r="S755" s="14">
        <v>111.98</v>
      </c>
      <c r="T755" s="14">
        <v>90.69</v>
      </c>
      <c r="U755" s="25">
        <v>60.19</v>
      </c>
      <c r="V755" s="25">
        <v>45.65</v>
      </c>
      <c r="W755" s="25">
        <v>67.59</v>
      </c>
      <c r="X755" s="25">
        <v>87.02</v>
      </c>
      <c r="Y755" s="25">
        <v>40.1</v>
      </c>
      <c r="Z755" s="25">
        <v>97.97</v>
      </c>
      <c r="AA755" s="25">
        <v>74.13</v>
      </c>
      <c r="AB755" s="25">
        <v>74.63</v>
      </c>
      <c r="AC755" s="25">
        <v>16.170000000000002</v>
      </c>
      <c r="AD755" s="25">
        <v>45.91</v>
      </c>
      <c r="AE755" s="14">
        <v>28.19</v>
      </c>
      <c r="AF755" s="14">
        <v>45.48</v>
      </c>
      <c r="AG755" s="14">
        <v>31.28</v>
      </c>
      <c r="AH755" s="14">
        <v>46.8</v>
      </c>
      <c r="AI755" s="14">
        <v>1.877</v>
      </c>
      <c r="AJ755" s="14"/>
      <c r="AK755" s="14"/>
      <c r="AL755" s="14">
        <v>33</v>
      </c>
      <c r="AM755" s="14"/>
      <c r="AN755" s="14"/>
      <c r="AO755" s="14">
        <f>15.69-3.17</f>
        <v>12.52</v>
      </c>
      <c r="AP755" s="14">
        <f>92.6-12.87</f>
        <v>79.72999999999999</v>
      </c>
      <c r="AQ755" s="14">
        <f>43.41-12.9</f>
        <v>30.509999999999998</v>
      </c>
      <c r="AR755" s="14">
        <v>44.43</v>
      </c>
      <c r="AS755" s="14">
        <v>21.12</v>
      </c>
      <c r="AT755" s="17" t="s">
        <v>147</v>
      </c>
      <c r="AU755" s="17" t="s">
        <v>147</v>
      </c>
    </row>
    <row r="756" spans="1:47" x14ac:dyDescent="0.2">
      <c r="A756" s="115">
        <v>754.99999999999898</v>
      </c>
      <c r="B756" s="14" t="s">
        <v>714</v>
      </c>
      <c r="C756" s="14">
        <v>21.754999999999999</v>
      </c>
      <c r="D756" s="155" t="s">
        <v>151</v>
      </c>
      <c r="E756" s="18" t="s">
        <v>152</v>
      </c>
      <c r="F756" s="14" t="s">
        <v>153</v>
      </c>
      <c r="G756" s="17"/>
      <c r="H756" s="14" t="s">
        <v>90</v>
      </c>
      <c r="I756" s="143">
        <v>44550</v>
      </c>
      <c r="J756" s="14" t="s">
        <v>142</v>
      </c>
      <c r="K756" s="14" t="s">
        <v>203</v>
      </c>
      <c r="L756" s="14"/>
      <c r="M756" s="14"/>
      <c r="N756" s="14">
        <v>211.45</v>
      </c>
      <c r="O756" s="14">
        <v>177.12</v>
      </c>
      <c r="P756" s="14">
        <v>192.41</v>
      </c>
      <c r="Q756" s="14">
        <v>44.49</v>
      </c>
      <c r="R756" s="14">
        <v>32.659999999999997</v>
      </c>
      <c r="S756" s="14">
        <v>116.54</v>
      </c>
      <c r="T756" s="14">
        <v>91.28</v>
      </c>
      <c r="U756" s="25">
        <v>68.84</v>
      </c>
      <c r="V756" s="25">
        <v>53.1</v>
      </c>
      <c r="W756" s="25">
        <v>72.319999999999993</v>
      </c>
      <c r="X756" s="25">
        <v>91.78</v>
      </c>
      <c r="Y756" s="25">
        <v>43.51</v>
      </c>
      <c r="Z756" s="25">
        <v>101.09</v>
      </c>
      <c r="AA756" s="25">
        <v>80.33</v>
      </c>
      <c r="AB756" s="25">
        <v>83.78</v>
      </c>
      <c r="AC756" s="25">
        <v>27.72</v>
      </c>
      <c r="AD756" s="25">
        <v>43.91</v>
      </c>
      <c r="AE756" s="14">
        <v>37.020000000000003</v>
      </c>
      <c r="AF756" s="14">
        <v>45.98</v>
      </c>
      <c r="AG756" s="14">
        <v>39.5</v>
      </c>
      <c r="AH756" s="14">
        <v>44.75</v>
      </c>
      <c r="AI756" s="14">
        <v>1.492</v>
      </c>
      <c r="AJ756" s="14"/>
      <c r="AK756" s="14"/>
      <c r="AL756" s="14"/>
      <c r="AM756" s="14"/>
      <c r="AN756" s="14"/>
      <c r="AO756" s="14">
        <f>18.77-3.16</f>
        <v>15.61</v>
      </c>
      <c r="AP756" s="14">
        <f>95.48-13.24</f>
        <v>82.240000000000009</v>
      </c>
      <c r="AQ756" s="14">
        <f>77.87-13.42</f>
        <v>64.45</v>
      </c>
      <c r="AR756" s="14">
        <v>46.03</v>
      </c>
      <c r="AS756" s="14">
        <v>21.47</v>
      </c>
      <c r="AT756" s="17" t="s">
        <v>147</v>
      </c>
      <c r="AU756" s="17" t="s">
        <v>147</v>
      </c>
    </row>
    <row r="757" spans="1:47" x14ac:dyDescent="0.2">
      <c r="A757" s="115">
        <v>756.00000000000023</v>
      </c>
      <c r="B757" s="14" t="s">
        <v>715</v>
      </c>
      <c r="C757" s="14">
        <v>21.756</v>
      </c>
      <c r="D757" s="155" t="s">
        <v>151</v>
      </c>
      <c r="E757" s="18" t="s">
        <v>152</v>
      </c>
      <c r="F757" s="14" t="s">
        <v>153</v>
      </c>
      <c r="G757" s="17"/>
      <c r="H757" s="17"/>
      <c r="I757" s="143">
        <v>44551</v>
      </c>
      <c r="J757" s="14" t="s">
        <v>142</v>
      </c>
      <c r="K757" s="14" t="s">
        <v>203</v>
      </c>
      <c r="L757" s="14"/>
      <c r="M757" s="14"/>
      <c r="N757" s="14">
        <v>217.21</v>
      </c>
      <c r="O757" s="14">
        <v>176.44</v>
      </c>
      <c r="P757" s="14">
        <v>193.54</v>
      </c>
      <c r="Q757" s="14">
        <v>44.09</v>
      </c>
      <c r="R757" s="14">
        <v>26.14</v>
      </c>
      <c r="S757" s="14">
        <v>116.75</v>
      </c>
      <c r="T757" s="14">
        <v>94.83</v>
      </c>
      <c r="U757" s="25">
        <v>67.88</v>
      </c>
      <c r="V757" s="25">
        <v>53.13</v>
      </c>
      <c r="W757" s="25">
        <v>72.84</v>
      </c>
      <c r="X757" s="25">
        <v>89.77</v>
      </c>
      <c r="Y757" s="25">
        <v>42.4</v>
      </c>
      <c r="Z757" s="25">
        <v>99.24</v>
      </c>
      <c r="AA757" s="25">
        <v>78.12</v>
      </c>
      <c r="AB757" s="25">
        <v>80.36</v>
      </c>
      <c r="AC757" s="25">
        <v>25.28</v>
      </c>
      <c r="AD757" s="25">
        <v>45.45</v>
      </c>
      <c r="AE757" s="14">
        <v>29.94</v>
      </c>
      <c r="AF757" s="14">
        <v>43.26</v>
      </c>
      <c r="AG757" s="14">
        <v>34.4</v>
      </c>
      <c r="AH757" s="14">
        <v>47.13</v>
      </c>
      <c r="AI757" s="14">
        <v>1.821</v>
      </c>
      <c r="AJ757" s="14"/>
      <c r="AK757" s="14"/>
      <c r="AL757" s="14">
        <v>4</v>
      </c>
      <c r="AM757" s="14"/>
      <c r="AN757" s="14"/>
      <c r="AO757" s="14">
        <f>15.25-3.15</f>
        <v>12.1</v>
      </c>
      <c r="AP757" s="14">
        <f>113.82-12.88</f>
        <v>100.94</v>
      </c>
      <c r="AQ757" s="14">
        <f>60.62-14.08</f>
        <v>46.54</v>
      </c>
      <c r="AR757" s="14">
        <v>51.33</v>
      </c>
      <c r="AS757" s="14">
        <v>24.84</v>
      </c>
      <c r="AT757" s="17" t="s">
        <v>147</v>
      </c>
      <c r="AU757" s="17" t="s">
        <v>147</v>
      </c>
    </row>
    <row r="758" spans="1:47" x14ac:dyDescent="0.2">
      <c r="A758" s="115">
        <v>757.00000000000148</v>
      </c>
      <c r="B758" s="14" t="s">
        <v>716</v>
      </c>
      <c r="C758" s="14">
        <v>21.757000000000001</v>
      </c>
      <c r="D758" s="155" t="s">
        <v>151</v>
      </c>
      <c r="E758" t="s">
        <v>162</v>
      </c>
      <c r="F758" s="3" t="s">
        <v>88</v>
      </c>
      <c r="G758" s="3" t="s">
        <v>88</v>
      </c>
      <c r="I758" s="143">
        <v>44539</v>
      </c>
      <c r="J758" s="14" t="s">
        <v>142</v>
      </c>
      <c r="K758" s="14" t="s">
        <v>203</v>
      </c>
      <c r="L758" s="14"/>
      <c r="M758" s="14"/>
      <c r="N758" s="14">
        <v>201.62</v>
      </c>
      <c r="O758" s="14">
        <v>173.87</v>
      </c>
      <c r="P758" s="14">
        <v>173.98</v>
      </c>
      <c r="Q758" s="14">
        <v>47.97</v>
      </c>
      <c r="R758" s="14">
        <v>18.93</v>
      </c>
      <c r="S758" s="14">
        <v>113.06</v>
      </c>
      <c r="T758" s="14">
        <v>87.97</v>
      </c>
      <c r="U758" s="25">
        <v>64.430000000000007</v>
      </c>
      <c r="V758" s="25">
        <v>48.63</v>
      </c>
      <c r="W758" s="25">
        <v>72.709999999999994</v>
      </c>
      <c r="X758" s="25">
        <v>90.38</v>
      </c>
      <c r="Y758" s="25">
        <v>40.090000000000003</v>
      </c>
      <c r="Z758" s="25">
        <v>99.83</v>
      </c>
      <c r="AA758" s="25">
        <v>75.540000000000006</v>
      </c>
      <c r="AB758" s="25">
        <v>79.31</v>
      </c>
      <c r="AC758" s="25">
        <v>15.22</v>
      </c>
      <c r="AD758" s="25">
        <v>44.03</v>
      </c>
      <c r="AE758" s="14">
        <v>27.46</v>
      </c>
      <c r="AF758" s="14">
        <v>43.5</v>
      </c>
      <c r="AG758" s="14">
        <v>33.49</v>
      </c>
      <c r="AH758" s="14">
        <v>39.57</v>
      </c>
      <c r="AI758" s="14">
        <v>1.863</v>
      </c>
      <c r="AJ758" s="14"/>
      <c r="AK758" s="14"/>
      <c r="AL758" s="14">
        <v>6</v>
      </c>
      <c r="AM758" s="14"/>
      <c r="AN758" s="14"/>
      <c r="AO758" s="14">
        <f>16.23-3.14</f>
        <v>13.09</v>
      </c>
      <c r="AP758" s="14">
        <f>82.83-13.45</f>
        <v>69.38</v>
      </c>
      <c r="AQ758" s="14">
        <f>79.13-13.38</f>
        <v>65.75</v>
      </c>
      <c r="AR758" s="14">
        <v>44.86</v>
      </c>
      <c r="AS758" s="14">
        <v>21.27</v>
      </c>
      <c r="AT758" s="17" t="s">
        <v>147</v>
      </c>
      <c r="AU758" s="17" t="s">
        <v>147</v>
      </c>
    </row>
    <row r="759" spans="1:47" x14ac:dyDescent="0.2">
      <c r="A759" s="115">
        <v>757.99999999999909</v>
      </c>
      <c r="B759" s="14" t="s">
        <v>717</v>
      </c>
      <c r="C759" s="23">
        <v>21.757999999999999</v>
      </c>
      <c r="D759" s="155" t="s">
        <v>151</v>
      </c>
      <c r="E759" s="18" t="s">
        <v>152</v>
      </c>
      <c r="F759" s="14" t="s">
        <v>153</v>
      </c>
      <c r="G759" s="14"/>
      <c r="H759" s="157" t="s">
        <v>89</v>
      </c>
      <c r="I759" s="143">
        <v>44544</v>
      </c>
      <c r="J759" s="14" t="s">
        <v>142</v>
      </c>
      <c r="K759" s="14" t="s">
        <v>203</v>
      </c>
      <c r="L759" s="14"/>
      <c r="M759" s="14"/>
      <c r="N759" s="14">
        <v>248.83</v>
      </c>
      <c r="O759" s="14">
        <v>182.23</v>
      </c>
      <c r="P759" s="14">
        <v>184.67</v>
      </c>
      <c r="Q759" s="14">
        <v>38.450000000000003</v>
      </c>
      <c r="R759" s="14">
        <v>19.34</v>
      </c>
      <c r="S759" s="14">
        <v>127.21</v>
      </c>
      <c r="T759" s="14">
        <v>99.46</v>
      </c>
      <c r="U759" s="25">
        <v>60.61</v>
      </c>
      <c r="V759" s="25">
        <v>47.94</v>
      </c>
      <c r="W759" s="25">
        <v>67.11</v>
      </c>
      <c r="X759" s="25">
        <v>90.99</v>
      </c>
      <c r="Y759" s="25">
        <v>38.04</v>
      </c>
      <c r="Z759" s="25">
        <v>99.96</v>
      </c>
      <c r="AA759" s="25">
        <v>81.86</v>
      </c>
      <c r="AB759" s="25">
        <v>78.180000000000007</v>
      </c>
      <c r="AC759" s="25">
        <v>18.38</v>
      </c>
      <c r="AD759" s="25">
        <v>51.69</v>
      </c>
      <c r="AE759" s="14">
        <v>40.67</v>
      </c>
      <c r="AF759" s="14">
        <v>36.369999999999997</v>
      </c>
      <c r="AG759" s="14">
        <v>39.29</v>
      </c>
      <c r="AH759" s="14">
        <v>37.14</v>
      </c>
      <c r="AI759" s="14">
        <v>1.8140000000000001</v>
      </c>
      <c r="AJ759" s="14"/>
      <c r="AK759" s="14"/>
      <c r="AL759" s="14">
        <v>4</v>
      </c>
      <c r="AM759" s="14"/>
      <c r="AN759" s="14"/>
      <c r="AO759" s="14">
        <f>20.97-3.12</f>
        <v>17.849999999999998</v>
      </c>
      <c r="AP759" s="14">
        <f>123.06-12.66</f>
        <v>110.4</v>
      </c>
      <c r="AQ759" s="14">
        <f>70.86-13.02</f>
        <v>57.84</v>
      </c>
      <c r="AR759" s="14">
        <v>56.05</v>
      </c>
      <c r="AS759" s="14">
        <v>26.2</v>
      </c>
      <c r="AT759" s="17" t="s">
        <v>147</v>
      </c>
      <c r="AU759" s="17" t="s">
        <v>147</v>
      </c>
    </row>
    <row r="760" spans="1:47" x14ac:dyDescent="0.2">
      <c r="A760" s="115">
        <v>759.00000000000034</v>
      </c>
      <c r="B760" s="14" t="s">
        <v>718</v>
      </c>
      <c r="C760" s="14">
        <v>21.759</v>
      </c>
      <c r="D760" s="155" t="s">
        <v>151</v>
      </c>
      <c r="E760" s="18" t="s">
        <v>152</v>
      </c>
      <c r="F760" s="14" t="s">
        <v>153</v>
      </c>
      <c r="H760" s="157" t="s">
        <v>89</v>
      </c>
      <c r="I760" s="143">
        <v>44544</v>
      </c>
      <c r="J760" s="14" t="s">
        <v>142</v>
      </c>
      <c r="K760" s="14" t="s">
        <v>203</v>
      </c>
      <c r="L760" s="14"/>
      <c r="M760" s="14"/>
      <c r="N760" s="14">
        <v>182.21</v>
      </c>
      <c r="O760" s="14">
        <v>171.37</v>
      </c>
      <c r="P760" s="14">
        <v>181.26</v>
      </c>
      <c r="Q760" s="14">
        <v>37.94</v>
      </c>
      <c r="R760" s="14">
        <v>16.78</v>
      </c>
      <c r="S760" s="14">
        <v>117.16</v>
      </c>
      <c r="T760" s="14">
        <v>101.92</v>
      </c>
      <c r="U760" s="25">
        <v>58.06</v>
      </c>
      <c r="V760" s="25">
        <v>45.44</v>
      </c>
      <c r="W760" s="25">
        <v>65.09</v>
      </c>
      <c r="X760" s="25">
        <v>84.13</v>
      </c>
      <c r="Y760" s="25">
        <v>38.9</v>
      </c>
      <c r="Z760" s="25">
        <v>100.14</v>
      </c>
      <c r="AA760" s="25">
        <v>79.510000000000005</v>
      </c>
      <c r="AB760" s="25">
        <v>74.88</v>
      </c>
      <c r="AC760" s="25">
        <v>17.57</v>
      </c>
      <c r="AD760" s="25">
        <v>50.35</v>
      </c>
      <c r="AE760" s="14">
        <v>32.93</v>
      </c>
      <c r="AF760" s="14">
        <v>37.94</v>
      </c>
      <c r="AG760" s="14">
        <v>27.81</v>
      </c>
      <c r="AH760" s="14">
        <v>37.450000000000003</v>
      </c>
      <c r="AI760" s="14">
        <v>1.756</v>
      </c>
      <c r="AJ760" s="14"/>
      <c r="AK760" s="14"/>
      <c r="AL760" s="14"/>
      <c r="AM760" s="14"/>
      <c r="AN760" s="14"/>
      <c r="AO760" s="14">
        <f>21.32-3.11</f>
        <v>18.21</v>
      </c>
      <c r="AP760" s="14">
        <f>65.35-12.54</f>
        <v>52.809999999999995</v>
      </c>
      <c r="AQ760" s="14">
        <f>72.53-13.21</f>
        <v>59.32</v>
      </c>
      <c r="AR760" s="14">
        <v>47.58</v>
      </c>
      <c r="AS760" s="14">
        <v>23.08</v>
      </c>
      <c r="AT760" s="17" t="s">
        <v>147</v>
      </c>
      <c r="AU760" s="17" t="s">
        <v>147</v>
      </c>
    </row>
    <row r="761" spans="1:47" x14ac:dyDescent="0.2">
      <c r="A761" s="115">
        <v>760.00000000000159</v>
      </c>
      <c r="B761" s="14" t="s">
        <v>719</v>
      </c>
      <c r="C761" s="24" t="s">
        <v>720</v>
      </c>
      <c r="D761" s="155" t="s">
        <v>151</v>
      </c>
      <c r="E761" s="18" t="s">
        <v>152</v>
      </c>
      <c r="F761" s="14" t="s">
        <v>153</v>
      </c>
      <c r="H761" s="157" t="s">
        <v>89</v>
      </c>
      <c r="I761" s="143">
        <v>44544</v>
      </c>
      <c r="J761" s="14" t="s">
        <v>142</v>
      </c>
      <c r="K761" s="14" t="s">
        <v>203</v>
      </c>
      <c r="L761" s="14"/>
      <c r="M761" s="14"/>
      <c r="N761" s="14">
        <v>240.13</v>
      </c>
      <c r="O761" s="14">
        <v>174.36</v>
      </c>
      <c r="P761" s="14">
        <v>179.87</v>
      </c>
      <c r="Q761" s="14">
        <v>37.090000000000003</v>
      </c>
      <c r="R761" s="14">
        <v>13.01</v>
      </c>
      <c r="S761" s="14">
        <v>124.12</v>
      </c>
      <c r="T761" s="14">
        <v>98.13</v>
      </c>
      <c r="U761" s="25">
        <v>60.63</v>
      </c>
      <c r="V761" s="25">
        <v>47.16</v>
      </c>
      <c r="W761" s="25">
        <v>67.59</v>
      </c>
      <c r="X761" s="25">
        <v>95.09</v>
      </c>
      <c r="Y761" s="25">
        <v>39.590000000000003</v>
      </c>
      <c r="Z761" s="25">
        <v>99.69</v>
      </c>
      <c r="AA761" s="25">
        <v>80.760000000000005</v>
      </c>
      <c r="AB761" s="25">
        <v>76.010000000000005</v>
      </c>
      <c r="AC761" s="25">
        <v>14.18</v>
      </c>
      <c r="AD761" s="25">
        <v>50.93</v>
      </c>
      <c r="AE761" s="14">
        <v>30.38</v>
      </c>
      <c r="AF761" s="14">
        <v>35.57</v>
      </c>
      <c r="AG761" s="14">
        <v>32.369999999999997</v>
      </c>
      <c r="AH761" s="14">
        <v>41.54</v>
      </c>
      <c r="AI761" s="14">
        <v>1.722</v>
      </c>
      <c r="AJ761" s="14"/>
      <c r="AK761" s="14"/>
      <c r="AL761" s="14">
        <v>2</v>
      </c>
      <c r="AM761" s="14"/>
      <c r="AN761" s="14"/>
      <c r="AO761" s="14">
        <f>23.44-3.09</f>
        <v>20.350000000000001</v>
      </c>
      <c r="AP761" s="14">
        <f>115-12.99</f>
        <v>102.01</v>
      </c>
      <c r="AQ761" s="14">
        <f>72.66-12.95</f>
        <v>59.709999999999994</v>
      </c>
      <c r="AR761" s="14">
        <v>53.25</v>
      </c>
      <c r="AS761" s="14">
        <v>25.69</v>
      </c>
      <c r="AT761" s="17" t="s">
        <v>147</v>
      </c>
      <c r="AU761" s="17" t="s">
        <v>147</v>
      </c>
    </row>
    <row r="762" spans="1:47" x14ac:dyDescent="0.2">
      <c r="A762" s="115">
        <v>760.9999999999992</v>
      </c>
      <c r="B762" s="14" t="s">
        <v>721</v>
      </c>
      <c r="C762" s="14">
        <v>21.760999999999999</v>
      </c>
      <c r="D762" s="155" t="s">
        <v>151</v>
      </c>
      <c r="E762" s="18" t="s">
        <v>152</v>
      </c>
      <c r="F762" s="14" t="s">
        <v>153</v>
      </c>
      <c r="H762" s="14" t="s">
        <v>90</v>
      </c>
      <c r="I762" s="143">
        <v>44550</v>
      </c>
      <c r="J762" s="14" t="s">
        <v>142</v>
      </c>
      <c r="K762" s="14" t="s">
        <v>206</v>
      </c>
      <c r="L762" s="14"/>
      <c r="M762" s="14"/>
      <c r="N762" s="14">
        <v>249.84</v>
      </c>
      <c r="O762" s="14">
        <v>176.03</v>
      </c>
      <c r="P762" s="14">
        <v>185.27</v>
      </c>
      <c r="Q762" s="14">
        <v>41.17</v>
      </c>
      <c r="R762" s="14">
        <v>24.72</v>
      </c>
      <c r="S762" s="14">
        <v>117.19</v>
      </c>
      <c r="T762" s="14">
        <v>94.7</v>
      </c>
      <c r="U762" s="25">
        <v>67.260000000000005</v>
      </c>
      <c r="V762" s="25">
        <v>55.28</v>
      </c>
      <c r="W762" s="25">
        <v>77.58</v>
      </c>
      <c r="X762" s="25">
        <v>94.68</v>
      </c>
      <c r="Y762" s="25">
        <v>40.64</v>
      </c>
      <c r="Z762" s="25">
        <v>101.58</v>
      </c>
      <c r="AA762" s="25">
        <v>83.18</v>
      </c>
      <c r="AB762" s="25">
        <v>80.81</v>
      </c>
      <c r="AC762" s="25">
        <v>25.48</v>
      </c>
      <c r="AD762" s="25">
        <v>47.9</v>
      </c>
      <c r="AE762" s="14">
        <v>28.93</v>
      </c>
      <c r="AF762" s="14">
        <v>41.94</v>
      </c>
      <c r="AG762" s="14">
        <v>34.409999999999997</v>
      </c>
      <c r="AH762" s="14">
        <v>43.63</v>
      </c>
      <c r="AI762" s="14">
        <v>1.8580000000000001</v>
      </c>
      <c r="AJ762" s="14"/>
      <c r="AK762" s="14"/>
      <c r="AL762" s="14"/>
      <c r="AM762" s="14"/>
      <c r="AN762" s="14"/>
      <c r="AO762" s="14">
        <f>21.23-3.11</f>
        <v>18.12</v>
      </c>
      <c r="AP762" s="14">
        <f>53.74-12.06</f>
        <v>41.68</v>
      </c>
      <c r="AQ762" s="14">
        <f>142.18-12.13</f>
        <v>130.05000000000001</v>
      </c>
      <c r="AR762" s="14">
        <v>58.12</v>
      </c>
      <c r="AS762" s="14">
        <v>28.69</v>
      </c>
      <c r="AT762" s="17" t="s">
        <v>147</v>
      </c>
      <c r="AU762" s="17" t="s">
        <v>147</v>
      </c>
    </row>
    <row r="763" spans="1:47" x14ac:dyDescent="0.2">
      <c r="A763" s="115">
        <v>762.00000000000045</v>
      </c>
      <c r="B763" s="14" t="s">
        <v>359</v>
      </c>
      <c r="C763" s="23">
        <v>21.762</v>
      </c>
      <c r="D763" s="155" t="s">
        <v>151</v>
      </c>
      <c r="E763" s="18" t="s">
        <v>152</v>
      </c>
      <c r="F763" s="14" t="s">
        <v>153</v>
      </c>
      <c r="I763" s="143">
        <v>44523</v>
      </c>
      <c r="J763" s="3" t="s">
        <v>142</v>
      </c>
      <c r="K763" s="14" t="s">
        <v>203</v>
      </c>
      <c r="L763" s="14"/>
      <c r="M763" s="14"/>
      <c r="N763" s="14">
        <v>301.25</v>
      </c>
      <c r="O763" s="14">
        <v>178.59</v>
      </c>
      <c r="P763" s="14">
        <v>185.58</v>
      </c>
      <c r="Q763" s="14">
        <v>36.549999999999997</v>
      </c>
      <c r="R763" s="14">
        <v>18.48</v>
      </c>
      <c r="S763" s="14">
        <v>125.4</v>
      </c>
      <c r="T763" s="14">
        <v>103.12</v>
      </c>
      <c r="U763" s="25">
        <v>61.1</v>
      </c>
      <c r="V763" s="25">
        <v>45.55</v>
      </c>
      <c r="W763" s="25">
        <v>68.47</v>
      </c>
      <c r="X763" s="25">
        <v>93.05</v>
      </c>
      <c r="Y763" s="25">
        <v>38.06</v>
      </c>
      <c r="Z763" s="25">
        <v>104.64</v>
      </c>
      <c r="AA763" s="25">
        <v>86.74</v>
      </c>
      <c r="AB763" s="25">
        <v>75.010000000000005</v>
      </c>
      <c r="AC763" s="25">
        <v>18.63</v>
      </c>
      <c r="AD763" s="25">
        <v>55.97</v>
      </c>
      <c r="AE763" s="14">
        <v>29.44</v>
      </c>
      <c r="AF763" s="14">
        <v>39.880000000000003</v>
      </c>
      <c r="AG763" s="14">
        <v>28.62</v>
      </c>
      <c r="AH763" s="14">
        <v>41.48</v>
      </c>
      <c r="AI763" s="14">
        <v>1.4490000000000001</v>
      </c>
      <c r="AJ763" s="14">
        <v>24.95</v>
      </c>
      <c r="AK763" s="14"/>
      <c r="AL763" s="14"/>
      <c r="AM763" s="14"/>
      <c r="AN763" s="14"/>
      <c r="AO763" s="14">
        <f>17.08-3.13</f>
        <v>13.95</v>
      </c>
      <c r="AP763" s="14">
        <f>64.18-12.5</f>
        <v>51.680000000000007</v>
      </c>
      <c r="AQ763" s="14">
        <f>179.56-13.65</f>
        <v>165.91</v>
      </c>
      <c r="AR763" s="14">
        <v>53.03</v>
      </c>
      <c r="AS763" s="14"/>
      <c r="AT763" s="17" t="s">
        <v>147</v>
      </c>
      <c r="AU763" s="17" t="s">
        <v>147</v>
      </c>
    </row>
    <row r="764" spans="1:47" x14ac:dyDescent="0.2">
      <c r="A764" s="115">
        <v>763.00000000000171</v>
      </c>
      <c r="B764" s="14" t="s">
        <v>357</v>
      </c>
      <c r="C764" s="14">
        <v>21.763000000000002</v>
      </c>
      <c r="D764" s="155" t="s">
        <v>151</v>
      </c>
      <c r="E764" s="18" t="s">
        <v>152</v>
      </c>
      <c r="F764" s="14" t="s">
        <v>153</v>
      </c>
      <c r="I764" s="143">
        <v>44523</v>
      </c>
      <c r="J764" s="3" t="s">
        <v>142</v>
      </c>
      <c r="K764" s="14" t="s">
        <v>203</v>
      </c>
      <c r="L764" s="14"/>
      <c r="M764" s="14"/>
      <c r="N764" s="14">
        <v>302.86</v>
      </c>
      <c r="O764" s="14">
        <v>179.31</v>
      </c>
      <c r="P764" s="14">
        <v>184.53</v>
      </c>
      <c r="Q764" s="14">
        <v>35.35</v>
      </c>
      <c r="R764" s="14">
        <v>19.309999999999999</v>
      </c>
      <c r="S764" s="14">
        <v>124.33</v>
      </c>
      <c r="T764" s="14">
        <v>102.66</v>
      </c>
      <c r="U764" s="25">
        <v>60.33</v>
      </c>
      <c r="V764" s="25">
        <v>46.34</v>
      </c>
      <c r="W764" s="25">
        <v>72.25</v>
      </c>
      <c r="X764" s="25">
        <v>93.25</v>
      </c>
      <c r="Y764" s="25">
        <v>39.14</v>
      </c>
      <c r="Z764" s="25">
        <v>103.94</v>
      </c>
      <c r="AA764" s="25">
        <v>90.26</v>
      </c>
      <c r="AB764" s="25">
        <v>77.44</v>
      </c>
      <c r="AC764" s="25">
        <v>21.18</v>
      </c>
      <c r="AD764" s="25">
        <v>58.91</v>
      </c>
      <c r="AE764" s="14">
        <v>33.76</v>
      </c>
      <c r="AF764" s="14">
        <v>39.93</v>
      </c>
      <c r="AG764" s="14">
        <v>36.01</v>
      </c>
      <c r="AH764" s="14">
        <v>40.24</v>
      </c>
      <c r="AI764" s="14">
        <v>1.3759999999999999</v>
      </c>
      <c r="AJ764" s="14">
        <v>24.77</v>
      </c>
      <c r="AK764" s="14"/>
      <c r="AL764" s="14"/>
      <c r="AM764" s="14"/>
      <c r="AN764" s="14"/>
      <c r="AO764" s="14">
        <f>20.44-3.14</f>
        <v>17.3</v>
      </c>
      <c r="AP764" s="14">
        <f>63.94-13.39</f>
        <v>50.55</v>
      </c>
      <c r="AQ764" s="14">
        <f>178.7</f>
        <v>178.7</v>
      </c>
      <c r="AR764" s="14">
        <v>52.33</v>
      </c>
      <c r="AS764" s="14"/>
      <c r="AT764" s="17" t="s">
        <v>147</v>
      </c>
      <c r="AU764" s="17" t="s">
        <v>147</v>
      </c>
    </row>
    <row r="765" spans="1:47" x14ac:dyDescent="0.2">
      <c r="A765" s="115">
        <v>763.99999999999932</v>
      </c>
      <c r="B765" s="14" t="s">
        <v>339</v>
      </c>
      <c r="C765" s="14">
        <v>21.763999999999999</v>
      </c>
      <c r="D765" s="155" t="s">
        <v>151</v>
      </c>
      <c r="E765" s="18" t="s">
        <v>152</v>
      </c>
      <c r="F765" s="14" t="s">
        <v>153</v>
      </c>
      <c r="H765" s="14" t="s">
        <v>90</v>
      </c>
      <c r="I765" s="143">
        <v>44550</v>
      </c>
      <c r="J765" s="3" t="s">
        <v>142</v>
      </c>
      <c r="K765" s="14" t="s">
        <v>206</v>
      </c>
      <c r="L765" s="14"/>
      <c r="M765" s="14"/>
      <c r="N765" s="14">
        <v>244.09</v>
      </c>
      <c r="O765" s="14">
        <v>171.99</v>
      </c>
      <c r="P765" s="14">
        <v>184.09</v>
      </c>
      <c r="Q765" s="14">
        <v>43</v>
      </c>
      <c r="R765" s="14">
        <v>24.91</v>
      </c>
      <c r="S765" s="14">
        <v>118.55</v>
      </c>
      <c r="T765" s="14">
        <v>96.44</v>
      </c>
      <c r="U765" s="25">
        <v>69.05</v>
      </c>
      <c r="V765" s="25">
        <v>53.98</v>
      </c>
      <c r="W765" s="25">
        <v>74.790000000000006</v>
      </c>
      <c r="X765" s="25">
        <v>89.66</v>
      </c>
      <c r="Y765" s="25">
        <v>42.34</v>
      </c>
      <c r="Z765" s="25">
        <v>99.9</v>
      </c>
      <c r="AA765" s="25">
        <v>80.36</v>
      </c>
      <c r="AB765" s="25">
        <v>79.930000000000007</v>
      </c>
      <c r="AC765" s="25">
        <v>25.97</v>
      </c>
      <c r="AD765" s="25">
        <v>48.56</v>
      </c>
      <c r="AE765" s="14">
        <v>26.8</v>
      </c>
      <c r="AF765" s="14">
        <v>41.89</v>
      </c>
      <c r="AG765" s="14">
        <v>42.16</v>
      </c>
      <c r="AH765" s="14">
        <v>42.19</v>
      </c>
      <c r="AI765" s="14">
        <v>1.96</v>
      </c>
      <c r="AJ765" s="14">
        <v>27.09</v>
      </c>
      <c r="AK765" s="14"/>
      <c r="AL765" s="14"/>
      <c r="AM765" s="14"/>
      <c r="AN765" s="14"/>
      <c r="AO765" s="14">
        <f>13.65-3.15</f>
        <v>10.5</v>
      </c>
      <c r="AP765" s="14">
        <f>62.77-12.29</f>
        <v>50.480000000000004</v>
      </c>
      <c r="AQ765" s="14">
        <f>121.77</f>
        <v>121.77</v>
      </c>
      <c r="AR765" s="14">
        <v>58.69</v>
      </c>
      <c r="AS765" s="14"/>
      <c r="AT765" s="17" t="s">
        <v>147</v>
      </c>
      <c r="AU765" s="17" t="s">
        <v>147</v>
      </c>
    </row>
    <row r="766" spans="1:47" x14ac:dyDescent="0.2">
      <c r="A766" s="115">
        <v>765.1</v>
      </c>
      <c r="B766" s="14" t="s">
        <v>355</v>
      </c>
      <c r="C766" s="158">
        <v>21.765000000000001</v>
      </c>
      <c r="D766" s="155" t="s">
        <v>151</v>
      </c>
      <c r="E766" s="18" t="s">
        <v>152</v>
      </c>
      <c r="F766" s="14" t="s">
        <v>153</v>
      </c>
      <c r="H766" s="14" t="s">
        <v>90</v>
      </c>
      <c r="I766" s="143">
        <v>44550</v>
      </c>
      <c r="J766" s="3" t="s">
        <v>142</v>
      </c>
      <c r="K766" s="14" t="s">
        <v>203</v>
      </c>
      <c r="L766" s="14"/>
      <c r="M766" s="14"/>
      <c r="N766" s="14">
        <v>250.82</v>
      </c>
      <c r="O766" s="14">
        <v>174.22</v>
      </c>
      <c r="P766" s="14">
        <v>187.13</v>
      </c>
      <c r="Q766" s="14">
        <v>40.85</v>
      </c>
      <c r="R766" s="14">
        <v>27.05</v>
      </c>
      <c r="S766" s="14">
        <v>120.05</v>
      </c>
      <c r="T766" s="14">
        <v>95.45</v>
      </c>
      <c r="U766" s="25">
        <v>67.27</v>
      </c>
      <c r="V766" s="25">
        <v>52.82</v>
      </c>
      <c r="W766" s="25">
        <v>74.34</v>
      </c>
      <c r="X766" s="25">
        <v>89.84</v>
      </c>
      <c r="Y766" s="25">
        <v>43.17</v>
      </c>
      <c r="Z766" s="25">
        <v>102.47</v>
      </c>
      <c r="AA766" s="25">
        <v>83.59</v>
      </c>
      <c r="AB766" s="25">
        <v>81.64</v>
      </c>
      <c r="AC766" s="25">
        <v>28.58</v>
      </c>
      <c r="AD766" s="25">
        <v>48.43</v>
      </c>
      <c r="AE766" s="14">
        <v>34.57</v>
      </c>
      <c r="AF766" s="14">
        <v>40</v>
      </c>
      <c r="AG766" s="14">
        <v>33.909999999999997</v>
      </c>
      <c r="AH766" s="14">
        <v>39.15</v>
      </c>
      <c r="AI766" s="14">
        <v>1.9279999999999999</v>
      </c>
      <c r="AJ766" s="14">
        <v>26.58</v>
      </c>
      <c r="AK766" s="14"/>
      <c r="AL766" s="14"/>
      <c r="AM766" s="14"/>
      <c r="AN766" s="14"/>
      <c r="AO766" s="14">
        <f>15.68-3.15</f>
        <v>12.53</v>
      </c>
      <c r="AP766" s="14">
        <f>39.1-12.61</f>
        <v>26.490000000000002</v>
      </c>
      <c r="AQ766" s="14">
        <f>63.64-12.33</f>
        <v>51.31</v>
      </c>
      <c r="AR766" s="14">
        <v>57.03</v>
      </c>
      <c r="AS766" s="14"/>
      <c r="AT766" s="17" t="s">
        <v>147</v>
      </c>
      <c r="AU766" s="17" t="s">
        <v>147</v>
      </c>
    </row>
    <row r="767" spans="1:47" x14ac:dyDescent="0.2">
      <c r="A767" s="115">
        <v>765.2</v>
      </c>
      <c r="B767" s="3">
        <v>141</v>
      </c>
      <c r="C767" s="158">
        <v>21.765000000000001</v>
      </c>
      <c r="D767" s="65" t="s">
        <v>148</v>
      </c>
      <c r="E767" t="s">
        <v>229</v>
      </c>
      <c r="F767" s="3" t="s">
        <v>74</v>
      </c>
      <c r="G767" s="3" t="s">
        <v>74</v>
      </c>
      <c r="I767" s="153">
        <v>44560</v>
      </c>
      <c r="J767" s="17" t="s">
        <v>142</v>
      </c>
      <c r="K767" s="28" t="s">
        <v>203</v>
      </c>
      <c r="L767" s="17"/>
      <c r="M767" s="17" t="s">
        <v>47</v>
      </c>
      <c r="N767" s="17">
        <v>209.5</v>
      </c>
      <c r="O767" s="17">
        <v>164.58</v>
      </c>
      <c r="P767" s="17">
        <v>171.93</v>
      </c>
      <c r="Q767" s="17">
        <v>35.53</v>
      </c>
      <c r="R767" s="17">
        <v>16.93</v>
      </c>
      <c r="S767" s="17">
        <v>116.81</v>
      </c>
      <c r="T767" s="17">
        <v>92.75</v>
      </c>
      <c r="U767" s="17">
        <v>61.52</v>
      </c>
      <c r="V767" s="17">
        <v>48.43</v>
      </c>
      <c r="W767" s="17">
        <v>68.44</v>
      </c>
      <c r="X767" s="17">
        <v>83.1</v>
      </c>
      <c r="Y767" s="17">
        <v>40.840000000000003</v>
      </c>
      <c r="Z767" s="17">
        <v>96.19</v>
      </c>
      <c r="AA767" s="17">
        <v>77.31</v>
      </c>
      <c r="AB767" s="17">
        <v>75.45</v>
      </c>
      <c r="AC767" s="17">
        <v>17.649999999999999</v>
      </c>
      <c r="AD767" s="17">
        <v>48.56</v>
      </c>
      <c r="AE767" s="17">
        <v>33.700000000000003</v>
      </c>
      <c r="AF767" s="17">
        <v>33.71</v>
      </c>
      <c r="AG767" s="17">
        <v>32.369999999999997</v>
      </c>
      <c r="AH767" s="17">
        <v>36.270000000000003</v>
      </c>
      <c r="AI767" s="17">
        <v>1.857</v>
      </c>
      <c r="AJ767" s="17"/>
      <c r="AK767" s="17"/>
      <c r="AL767" s="17">
        <v>12</v>
      </c>
      <c r="AM767" s="17"/>
      <c r="AN767" s="17"/>
      <c r="AO767" s="17">
        <f>19.8-3.2</f>
        <v>16.600000000000001</v>
      </c>
      <c r="AP767" s="17">
        <f>92.6-9.1</f>
        <v>83.5</v>
      </c>
      <c r="AQ767" s="17">
        <f>55-10.7</f>
        <v>44.3</v>
      </c>
      <c r="AR767" s="17">
        <v>49.5</v>
      </c>
      <c r="AS767" s="17">
        <v>21.6</v>
      </c>
      <c r="AT767" s="17" t="s">
        <v>147</v>
      </c>
      <c r="AU767" s="17" t="s">
        <v>147</v>
      </c>
    </row>
    <row r="768" spans="1:47" x14ac:dyDescent="0.2">
      <c r="A768" s="115">
        <v>765.99999999999818</v>
      </c>
      <c r="B768" s="3" t="s">
        <v>722</v>
      </c>
      <c r="C768" s="3">
        <v>21.765999999999998</v>
      </c>
      <c r="D768" s="85" t="s">
        <v>187</v>
      </c>
      <c r="E768" t="s">
        <v>188</v>
      </c>
      <c r="F768" s="3">
        <v>262</v>
      </c>
      <c r="G768" s="3">
        <v>262</v>
      </c>
      <c r="I768" s="82">
        <v>44545</v>
      </c>
      <c r="J768" s="17" t="s">
        <v>142</v>
      </c>
      <c r="K768" s="28" t="s">
        <v>203</v>
      </c>
      <c r="L768" s="17">
        <v>156.13</v>
      </c>
      <c r="M768" s="17"/>
      <c r="N768" s="17"/>
      <c r="O768" s="17">
        <v>176.4</v>
      </c>
      <c r="P768" s="17">
        <v>175.25</v>
      </c>
      <c r="Q768" s="17">
        <v>41.88</v>
      </c>
      <c r="R768" s="17">
        <v>14.74</v>
      </c>
      <c r="S768" s="17">
        <v>111.5</v>
      </c>
      <c r="T768" s="17">
        <v>94.24</v>
      </c>
      <c r="U768" s="17">
        <v>58.17</v>
      </c>
      <c r="V768" s="17">
        <v>47.51</v>
      </c>
      <c r="W768" s="17">
        <v>65.040000000000006</v>
      </c>
      <c r="X768" s="17">
        <v>75.069999999999993</v>
      </c>
      <c r="Y768" s="17">
        <v>35.9</v>
      </c>
      <c r="Z768" s="17">
        <v>82.02</v>
      </c>
      <c r="AA768" s="17">
        <v>69.7</v>
      </c>
      <c r="AB768" s="17">
        <v>61.46</v>
      </c>
      <c r="AC768" s="17">
        <v>18.88</v>
      </c>
      <c r="AD768" s="17">
        <v>37.33</v>
      </c>
      <c r="AE768" s="17">
        <v>36.15</v>
      </c>
      <c r="AF768" s="17">
        <v>40.99</v>
      </c>
      <c r="AG768" s="17">
        <v>34.24</v>
      </c>
      <c r="AH768" s="17">
        <v>37.99</v>
      </c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 t="s">
        <v>147</v>
      </c>
      <c r="AU768" s="17" t="s">
        <v>147</v>
      </c>
    </row>
    <row r="769" spans="1:47" x14ac:dyDescent="0.2">
      <c r="A769" s="115">
        <v>766.99999999999943</v>
      </c>
      <c r="B769" s="3">
        <v>221</v>
      </c>
      <c r="C769" s="14">
        <v>21.766999999999999</v>
      </c>
      <c r="D769" s="64" t="s">
        <v>223</v>
      </c>
      <c r="E769" s="11" t="s">
        <v>223</v>
      </c>
      <c r="F769" s="3" t="s">
        <v>73</v>
      </c>
      <c r="G769" s="3" t="s">
        <v>73</v>
      </c>
      <c r="I769" s="68">
        <v>44384</v>
      </c>
      <c r="J769" s="17" t="s">
        <v>142</v>
      </c>
      <c r="K769" s="17" t="s">
        <v>235</v>
      </c>
      <c r="L769"/>
      <c r="M769"/>
      <c r="N769" s="28">
        <v>268.38</v>
      </c>
      <c r="O769" s="28">
        <v>163.46</v>
      </c>
      <c r="P769" s="28">
        <v>167.66</v>
      </c>
      <c r="Q769" s="28">
        <v>40.65</v>
      </c>
      <c r="R769" s="28">
        <v>13.06</v>
      </c>
      <c r="S769" s="28">
        <v>110.28</v>
      </c>
      <c r="T769" s="28">
        <v>92.17</v>
      </c>
      <c r="U769" s="28">
        <v>74.180000000000007</v>
      </c>
      <c r="V769" s="28">
        <v>53.54</v>
      </c>
      <c r="W769" s="28">
        <v>76.790000000000006</v>
      </c>
      <c r="X769" s="28">
        <v>91.91</v>
      </c>
      <c r="Y769" s="28">
        <v>40.74</v>
      </c>
      <c r="Z769" s="28">
        <v>103.08</v>
      </c>
      <c r="AA769" s="28">
        <v>81.760000000000005</v>
      </c>
      <c r="AB769" s="28">
        <v>79.19</v>
      </c>
      <c r="AC769" s="28">
        <v>23.28</v>
      </c>
      <c r="AD769" s="28">
        <v>56.54</v>
      </c>
      <c r="AE769" s="28">
        <v>31.92</v>
      </c>
      <c r="AF769" s="28">
        <v>42.06</v>
      </c>
      <c r="AG769" s="28">
        <v>31.35</v>
      </c>
      <c r="AH769" s="28">
        <v>32.79</v>
      </c>
      <c r="AI769" s="28">
        <v>1.2569999999999999</v>
      </c>
      <c r="AJ769" s="28">
        <v>51.71</v>
      </c>
      <c r="AK769" s="28"/>
      <c r="AL769"/>
      <c r="AM769" s="17"/>
      <c r="AN769" s="17">
        <v>113</v>
      </c>
      <c r="AO769"/>
      <c r="AP769"/>
      <c r="AQ769"/>
      <c r="AR769"/>
      <c r="AS769"/>
      <c r="AT769" s="17" t="s">
        <v>708</v>
      </c>
      <c r="AU769" s="17"/>
    </row>
    <row r="770" spans="1:47" x14ac:dyDescent="0.2">
      <c r="A770" s="115">
        <v>768.00000000000068</v>
      </c>
      <c r="B770" s="3">
        <v>222</v>
      </c>
      <c r="C770" s="23">
        <v>21.768000000000001</v>
      </c>
      <c r="D770" s="64" t="s">
        <v>223</v>
      </c>
      <c r="E770" s="11" t="s">
        <v>223</v>
      </c>
      <c r="F770" s="3" t="s">
        <v>73</v>
      </c>
      <c r="G770" s="3" t="s">
        <v>73</v>
      </c>
      <c r="I770" s="68">
        <v>44384</v>
      </c>
      <c r="J770" s="17" t="s">
        <v>142</v>
      </c>
      <c r="K770" s="17" t="s">
        <v>235</v>
      </c>
      <c r="L770"/>
      <c r="M770"/>
      <c r="N770" s="17">
        <v>288.27999999999997</v>
      </c>
      <c r="O770" s="28">
        <v>170.34</v>
      </c>
      <c r="P770" s="28">
        <v>170.29</v>
      </c>
      <c r="Q770" s="28">
        <v>40.93</v>
      </c>
      <c r="R770" s="28">
        <v>15.39</v>
      </c>
      <c r="S770" s="28">
        <v>112.19</v>
      </c>
      <c r="T770" s="28">
        <v>92.3</v>
      </c>
      <c r="U770" s="28">
        <v>73.8</v>
      </c>
      <c r="V770" s="28">
        <v>52.13</v>
      </c>
      <c r="W770" s="50">
        <v>79.58</v>
      </c>
      <c r="X770" s="28">
        <v>92.29</v>
      </c>
      <c r="Y770" s="28">
        <v>42.57</v>
      </c>
      <c r="Z770" s="28">
        <v>103.78</v>
      </c>
      <c r="AA770" s="28">
        <v>83.26</v>
      </c>
      <c r="AB770" s="28">
        <v>80.3</v>
      </c>
      <c r="AC770" s="28">
        <v>22.87</v>
      </c>
      <c r="AD770" s="28">
        <v>58.73</v>
      </c>
      <c r="AE770" s="28">
        <v>31.29</v>
      </c>
      <c r="AF770" s="28">
        <v>37.479999999999997</v>
      </c>
      <c r="AG770" s="28">
        <v>36.25</v>
      </c>
      <c r="AH770" s="28">
        <v>36.24</v>
      </c>
      <c r="AI770" s="28">
        <v>1.4430000000000001</v>
      </c>
      <c r="AJ770" s="28">
        <v>50.12</v>
      </c>
      <c r="AK770" s="28"/>
      <c r="AL770"/>
      <c r="AM770" s="17"/>
      <c r="AN770" s="17">
        <v>127</v>
      </c>
      <c r="AO770"/>
      <c r="AP770"/>
      <c r="AQ770"/>
      <c r="AR770"/>
      <c r="AS770"/>
      <c r="AT770" s="17" t="s">
        <v>708</v>
      </c>
      <c r="AU770" s="17"/>
    </row>
    <row r="771" spans="1:47" x14ac:dyDescent="0.2">
      <c r="A771" s="115">
        <v>768.99999999999841</v>
      </c>
      <c r="B771" s="3">
        <v>223</v>
      </c>
      <c r="C771" s="23">
        <v>21.768999999999998</v>
      </c>
      <c r="D771" s="64" t="s">
        <v>223</v>
      </c>
      <c r="E771" s="11" t="s">
        <v>223</v>
      </c>
      <c r="F771" s="3" t="s">
        <v>73</v>
      </c>
      <c r="G771" s="3" t="s">
        <v>73</v>
      </c>
      <c r="I771" s="68">
        <v>44384</v>
      </c>
      <c r="J771" s="17" t="s">
        <v>142</v>
      </c>
      <c r="K771" s="17" t="s">
        <v>235</v>
      </c>
      <c r="L771" s="17"/>
      <c r="M771"/>
      <c r="N771" s="17">
        <v>274.13</v>
      </c>
      <c r="O771" s="28">
        <v>167.44</v>
      </c>
      <c r="P771" s="28">
        <v>166.28</v>
      </c>
      <c r="Q771" s="28">
        <v>40.79</v>
      </c>
      <c r="R771" s="28">
        <v>14.37</v>
      </c>
      <c r="S771" s="28">
        <v>112.32</v>
      </c>
      <c r="T771" s="28">
        <v>95.87</v>
      </c>
      <c r="U771" s="28">
        <v>73.540000000000006</v>
      </c>
      <c r="V771" s="28">
        <v>53.86</v>
      </c>
      <c r="W771" s="28">
        <v>77.86</v>
      </c>
      <c r="X771" s="28">
        <v>93.03</v>
      </c>
      <c r="Y771" s="28">
        <v>41.36</v>
      </c>
      <c r="Z771" s="28">
        <v>104.22</v>
      </c>
      <c r="AA771" s="28">
        <v>83.48</v>
      </c>
      <c r="AB771" s="28">
        <v>78.5</v>
      </c>
      <c r="AC771" s="28">
        <v>17.73</v>
      </c>
      <c r="AD771" s="28">
        <v>55.36</v>
      </c>
      <c r="AE771" s="28">
        <v>32.450000000000003</v>
      </c>
      <c r="AF771" s="28">
        <v>41.64</v>
      </c>
      <c r="AG771" s="28">
        <v>33.85</v>
      </c>
      <c r="AH771" s="28">
        <v>37.04</v>
      </c>
      <c r="AI771" s="28">
        <v>1.3919999999999999</v>
      </c>
      <c r="AJ771" s="28">
        <v>47.98</v>
      </c>
      <c r="AK771" s="28"/>
      <c r="AL771"/>
      <c r="AM771" s="17">
        <v>27</v>
      </c>
      <c r="AN771" s="17">
        <v>82</v>
      </c>
      <c r="AO771"/>
      <c r="AP771"/>
      <c r="AQ771"/>
      <c r="AR771"/>
      <c r="AS771"/>
      <c r="AT771" s="17" t="s">
        <v>708</v>
      </c>
      <c r="AU771" s="17"/>
    </row>
    <row r="772" spans="1:47" x14ac:dyDescent="0.2">
      <c r="A772" s="115">
        <v>769.99999999999955</v>
      </c>
      <c r="B772" s="3">
        <v>224</v>
      </c>
      <c r="C772" s="24" t="s">
        <v>65</v>
      </c>
      <c r="D772" s="64" t="s">
        <v>223</v>
      </c>
      <c r="E772" s="11" t="s">
        <v>223</v>
      </c>
      <c r="F772" s="3" t="s">
        <v>73</v>
      </c>
      <c r="G772" s="3" t="s">
        <v>73</v>
      </c>
      <c r="I772" s="68">
        <v>44384</v>
      </c>
      <c r="J772" s="17" t="s">
        <v>142</v>
      </c>
      <c r="K772" s="17" t="s">
        <v>235</v>
      </c>
      <c r="L772"/>
      <c r="M772"/>
      <c r="N772" s="17">
        <v>272.39</v>
      </c>
      <c r="O772" s="28">
        <v>161.47</v>
      </c>
      <c r="P772" s="28">
        <v>166.78</v>
      </c>
      <c r="Q772" s="28">
        <v>37.659999999999997</v>
      </c>
      <c r="R772" s="28">
        <v>18.27</v>
      </c>
      <c r="S772" s="28">
        <v>109.62</v>
      </c>
      <c r="T772" s="28">
        <v>92.82</v>
      </c>
      <c r="U772" s="28">
        <v>72.88</v>
      </c>
      <c r="V772" s="28">
        <v>50.2</v>
      </c>
      <c r="W772" s="28">
        <v>76.97</v>
      </c>
      <c r="X772" s="28">
        <v>91.47</v>
      </c>
      <c r="Y772" s="28">
        <v>41.5</v>
      </c>
      <c r="Z772" s="28">
        <v>104.02</v>
      </c>
      <c r="AA772" s="28">
        <v>82.93</v>
      </c>
      <c r="AB772" s="28">
        <v>80.180000000000007</v>
      </c>
      <c r="AC772" s="28">
        <v>24.56</v>
      </c>
      <c r="AD772" s="28">
        <v>56.68</v>
      </c>
      <c r="AE772" s="28">
        <v>24.93</v>
      </c>
      <c r="AF772" s="28">
        <v>37.06</v>
      </c>
      <c r="AG772" s="28">
        <v>33.26</v>
      </c>
      <c r="AH772" s="28">
        <v>36.99</v>
      </c>
      <c r="AI772" s="28">
        <v>1.3660000000000001</v>
      </c>
      <c r="AJ772" s="28">
        <v>50.23</v>
      </c>
      <c r="AK772" s="28"/>
      <c r="AL772"/>
      <c r="AM772" s="17"/>
      <c r="AN772" s="17">
        <v>108</v>
      </c>
      <c r="AO772"/>
      <c r="AP772"/>
      <c r="AQ772"/>
      <c r="AR772"/>
      <c r="AS772"/>
      <c r="AT772" s="17" t="s">
        <v>708</v>
      </c>
      <c r="AU772" s="17"/>
    </row>
    <row r="773" spans="1:47" x14ac:dyDescent="0.2">
      <c r="A773" s="115">
        <v>771.0000000000008</v>
      </c>
      <c r="B773" s="3">
        <v>225</v>
      </c>
      <c r="C773" s="23">
        <v>21.771000000000001</v>
      </c>
      <c r="D773" s="64" t="s">
        <v>223</v>
      </c>
      <c r="E773" s="11" t="s">
        <v>223</v>
      </c>
      <c r="F773" s="3" t="s">
        <v>73</v>
      </c>
      <c r="G773" s="3" t="s">
        <v>73</v>
      </c>
      <c r="I773" s="68">
        <v>44396</v>
      </c>
      <c r="J773" s="17" t="s">
        <v>142</v>
      </c>
      <c r="K773" s="17" t="s">
        <v>235</v>
      </c>
      <c r="L773"/>
      <c r="M773"/>
      <c r="N773" s="17">
        <v>286.51</v>
      </c>
      <c r="O773" s="17">
        <v>167.77</v>
      </c>
      <c r="P773" s="17">
        <v>167.82</v>
      </c>
      <c r="Q773" s="17">
        <v>37.5</v>
      </c>
      <c r="R773" s="17">
        <v>15.74</v>
      </c>
      <c r="S773" s="17">
        <v>112.07</v>
      </c>
      <c r="T773" s="17">
        <v>91.76</v>
      </c>
      <c r="U773" s="50">
        <v>74.349999999999994</v>
      </c>
      <c r="V773" s="50">
        <v>55.51</v>
      </c>
      <c r="W773" s="50">
        <v>78.53</v>
      </c>
      <c r="X773" s="50">
        <v>92.8</v>
      </c>
      <c r="Y773" s="50">
        <v>39.880000000000003</v>
      </c>
      <c r="Z773" s="50">
        <v>104.75</v>
      </c>
      <c r="AA773" s="50">
        <v>83.16</v>
      </c>
      <c r="AB773" s="50">
        <v>82.12</v>
      </c>
      <c r="AC773" s="50">
        <v>22.32</v>
      </c>
      <c r="AD773" s="50">
        <v>57.85</v>
      </c>
      <c r="AE773" s="17">
        <v>31.71</v>
      </c>
      <c r="AF773" s="17">
        <v>37.200000000000003</v>
      </c>
      <c r="AG773" s="17">
        <v>34.86</v>
      </c>
      <c r="AH773" s="17">
        <v>38.93</v>
      </c>
      <c r="AI773" s="130">
        <v>1.4</v>
      </c>
      <c r="AJ773" s="17">
        <v>53.32</v>
      </c>
      <c r="AK773" s="17"/>
      <c r="AL773"/>
      <c r="AM773" s="17"/>
      <c r="AN773" s="17">
        <v>120</v>
      </c>
      <c r="AO773"/>
      <c r="AP773"/>
      <c r="AQ773"/>
      <c r="AR773"/>
      <c r="AS773"/>
      <c r="AT773" s="17" t="s">
        <v>708</v>
      </c>
      <c r="AU773" s="17"/>
    </row>
    <row r="774" spans="1:47" x14ac:dyDescent="0.2">
      <c r="A774" s="115">
        <v>771.99999999999841</v>
      </c>
      <c r="B774" s="3">
        <v>226</v>
      </c>
      <c r="C774" s="23">
        <v>21.771999999999998</v>
      </c>
      <c r="D774" s="64" t="s">
        <v>223</v>
      </c>
      <c r="E774" s="11" t="s">
        <v>223</v>
      </c>
      <c r="F774" s="3" t="s">
        <v>73</v>
      </c>
      <c r="G774" s="3" t="s">
        <v>73</v>
      </c>
      <c r="I774" s="68">
        <v>44396</v>
      </c>
      <c r="J774" s="17" t="s">
        <v>142</v>
      </c>
      <c r="K774" s="17" t="s">
        <v>235</v>
      </c>
      <c r="L774"/>
      <c r="M774"/>
      <c r="N774" s="17">
        <v>261.75</v>
      </c>
      <c r="O774" s="28">
        <v>165.58</v>
      </c>
      <c r="P774" s="28">
        <v>161.78</v>
      </c>
      <c r="Q774" s="28">
        <v>38.11</v>
      </c>
      <c r="R774" s="28">
        <v>18.579999999999998</v>
      </c>
      <c r="S774" s="28">
        <v>107.69</v>
      </c>
      <c r="T774" s="28">
        <v>91.7</v>
      </c>
      <c r="U774" s="28">
        <v>73.52</v>
      </c>
      <c r="V774" s="28">
        <v>49.45</v>
      </c>
      <c r="W774" s="28">
        <v>77.72</v>
      </c>
      <c r="X774" s="28">
        <v>90.13</v>
      </c>
      <c r="Y774" s="28">
        <v>39.86</v>
      </c>
      <c r="Z774" s="28">
        <v>104.46</v>
      </c>
      <c r="AA774" s="28">
        <v>84.25</v>
      </c>
      <c r="AB774" s="28">
        <v>79.41</v>
      </c>
      <c r="AC774" s="28">
        <v>23.64</v>
      </c>
      <c r="AD774" s="50">
        <v>56.47</v>
      </c>
      <c r="AE774" s="28">
        <v>28.85</v>
      </c>
      <c r="AF774" s="28">
        <v>34.53</v>
      </c>
      <c r="AG774" s="28">
        <v>33.01</v>
      </c>
      <c r="AH774" s="28">
        <v>32.270000000000003</v>
      </c>
      <c r="AI774" s="28">
        <v>1.35</v>
      </c>
      <c r="AJ774" s="28">
        <v>48.28</v>
      </c>
      <c r="AK774" s="28"/>
      <c r="AL774"/>
      <c r="AM774" s="28">
        <v>70</v>
      </c>
      <c r="AN774" s="17"/>
      <c r="AO774"/>
      <c r="AP774"/>
      <c r="AQ774"/>
      <c r="AR774"/>
      <c r="AS774"/>
      <c r="AT774" s="17" t="s">
        <v>708</v>
      </c>
      <c r="AU774" s="17"/>
    </row>
    <row r="775" spans="1:47" x14ac:dyDescent="0.2">
      <c r="A775" s="115">
        <v>772.99999999999966</v>
      </c>
      <c r="B775" s="3">
        <v>227</v>
      </c>
      <c r="C775" s="23">
        <v>21.773</v>
      </c>
      <c r="D775" s="64" t="s">
        <v>223</v>
      </c>
      <c r="E775" s="11" t="s">
        <v>223</v>
      </c>
      <c r="F775" s="3" t="s">
        <v>73</v>
      </c>
      <c r="G775" s="3" t="s">
        <v>73</v>
      </c>
      <c r="I775" s="68">
        <v>44399</v>
      </c>
      <c r="J775" s="17" t="s">
        <v>142</v>
      </c>
      <c r="K775" s="17" t="s">
        <v>235</v>
      </c>
      <c r="L775"/>
      <c r="M775"/>
      <c r="N775" s="17">
        <v>256.39</v>
      </c>
      <c r="O775" s="28">
        <v>163.21</v>
      </c>
      <c r="P775" s="28">
        <v>161.03</v>
      </c>
      <c r="Q775" s="28">
        <v>41.68</v>
      </c>
      <c r="R775" s="28">
        <v>15.99</v>
      </c>
      <c r="S775" s="28">
        <v>106.48</v>
      </c>
      <c r="T775" s="28">
        <v>89.14</v>
      </c>
      <c r="U775" s="28">
        <v>72.239999999999995</v>
      </c>
      <c r="V775" s="28">
        <v>52.43</v>
      </c>
      <c r="W775" s="28">
        <v>76.27</v>
      </c>
      <c r="X775" s="28">
        <v>92.08</v>
      </c>
      <c r="Y775" s="28">
        <v>41.45</v>
      </c>
      <c r="Z775" s="28">
        <v>104.52</v>
      </c>
      <c r="AA775" s="28">
        <v>82.19</v>
      </c>
      <c r="AB775" s="28">
        <v>81.36</v>
      </c>
      <c r="AC775" s="28">
        <v>18.63</v>
      </c>
      <c r="AD775" s="28">
        <v>55.49</v>
      </c>
      <c r="AE775" s="28">
        <v>29.82</v>
      </c>
      <c r="AF775" s="28">
        <v>33.75</v>
      </c>
      <c r="AG775" s="28">
        <v>30.69</v>
      </c>
      <c r="AH775" s="28">
        <v>30.69</v>
      </c>
      <c r="AI775" s="28">
        <v>1.264</v>
      </c>
      <c r="AJ775" s="28">
        <v>49.19</v>
      </c>
      <c r="AK775" s="28"/>
      <c r="AL775"/>
      <c r="AM775" s="17">
        <v>117</v>
      </c>
      <c r="AN775" s="28">
        <v>6</v>
      </c>
      <c r="AO775"/>
      <c r="AP775"/>
      <c r="AQ775"/>
      <c r="AR775"/>
      <c r="AS775"/>
      <c r="AT775" s="17" t="s">
        <v>708</v>
      </c>
      <c r="AU775" s="17"/>
    </row>
    <row r="776" spans="1:47" x14ac:dyDescent="0.2">
      <c r="A776" s="115">
        <v>774.00000000000091</v>
      </c>
      <c r="B776" s="3">
        <v>228</v>
      </c>
      <c r="C776" s="23">
        <v>21.774000000000001</v>
      </c>
      <c r="D776" s="64" t="s">
        <v>223</v>
      </c>
      <c r="E776" s="11" t="s">
        <v>223</v>
      </c>
      <c r="F776" s="3" t="s">
        <v>73</v>
      </c>
      <c r="G776" s="3" t="s">
        <v>73</v>
      </c>
      <c r="I776" s="68">
        <v>44402</v>
      </c>
      <c r="J776" s="17" t="s">
        <v>142</v>
      </c>
      <c r="K776" s="17" t="s">
        <v>235</v>
      </c>
      <c r="L776"/>
      <c r="M776"/>
      <c r="N776" s="17">
        <v>274.5</v>
      </c>
      <c r="O776" s="28">
        <v>169.87</v>
      </c>
      <c r="P776" s="28">
        <v>168</v>
      </c>
      <c r="Q776" s="28">
        <v>38.76</v>
      </c>
      <c r="R776" s="28">
        <v>16.489999999999998</v>
      </c>
      <c r="S776" s="28">
        <v>109.98</v>
      </c>
      <c r="T776" s="28">
        <v>91.51</v>
      </c>
      <c r="U776" s="28">
        <v>71.16</v>
      </c>
      <c r="V776" s="28">
        <v>49.71</v>
      </c>
      <c r="W776" s="28">
        <v>74.84</v>
      </c>
      <c r="X776" s="28">
        <v>90.64</v>
      </c>
      <c r="Y776" s="28">
        <v>43.47</v>
      </c>
      <c r="Z776" s="28">
        <v>103.31</v>
      </c>
      <c r="AA776" s="28">
        <v>82.23</v>
      </c>
      <c r="AB776" s="28">
        <v>82.23</v>
      </c>
      <c r="AC776" s="28">
        <v>16.78</v>
      </c>
      <c r="AD776" s="28">
        <v>57.34</v>
      </c>
      <c r="AE776" s="28">
        <v>31.75</v>
      </c>
      <c r="AF776" s="28">
        <v>38.08</v>
      </c>
      <c r="AG776" s="28">
        <v>30.3</v>
      </c>
      <c r="AH776" s="28">
        <v>33.229999999999997</v>
      </c>
      <c r="AI776" s="28">
        <v>1.4219999999999999</v>
      </c>
      <c r="AJ776" s="28">
        <v>43.47</v>
      </c>
      <c r="AK776" s="28"/>
      <c r="AL776"/>
      <c r="AM776" s="17">
        <v>23</v>
      </c>
      <c r="AN776" s="17">
        <v>118</v>
      </c>
      <c r="AO776"/>
      <c r="AP776"/>
      <c r="AQ776"/>
      <c r="AR776"/>
      <c r="AS776"/>
      <c r="AT776" s="17" t="s">
        <v>708</v>
      </c>
      <c r="AU776" s="17"/>
    </row>
    <row r="777" spans="1:47" x14ac:dyDescent="0.2">
      <c r="A777" s="115">
        <v>774.99999999999864</v>
      </c>
      <c r="B777" s="3">
        <v>229</v>
      </c>
      <c r="C777" s="23">
        <v>21.774999999999999</v>
      </c>
      <c r="D777" s="64" t="s">
        <v>223</v>
      </c>
      <c r="E777" s="11" t="s">
        <v>223</v>
      </c>
      <c r="F777" s="3" t="s">
        <v>73</v>
      </c>
      <c r="G777" s="3" t="s">
        <v>73</v>
      </c>
      <c r="I777" s="68">
        <v>44402</v>
      </c>
      <c r="J777" s="17" t="s">
        <v>142</v>
      </c>
      <c r="K777" s="17" t="s">
        <v>235</v>
      </c>
      <c r="L777"/>
      <c r="M777"/>
      <c r="N777" s="17">
        <v>262.49</v>
      </c>
      <c r="O777" s="28">
        <v>172.17</v>
      </c>
      <c r="P777" s="28">
        <v>165.75</v>
      </c>
      <c r="Q777" s="28">
        <v>41.13</v>
      </c>
      <c r="R777" s="28">
        <v>19.95</v>
      </c>
      <c r="S777" s="28">
        <v>111.15</v>
      </c>
      <c r="T777" s="28">
        <v>90.46</v>
      </c>
      <c r="U777" s="28">
        <v>71.180000000000007</v>
      </c>
      <c r="V777" s="28">
        <v>50.2</v>
      </c>
      <c r="W777" s="28">
        <v>76.42</v>
      </c>
      <c r="X777" s="28">
        <v>88.75</v>
      </c>
      <c r="Y777" s="28">
        <v>40.71</v>
      </c>
      <c r="Z777" s="28">
        <v>102.22</v>
      </c>
      <c r="AA777" s="28">
        <v>82.61</v>
      </c>
      <c r="AB777" s="28">
        <v>76.739999999999995</v>
      </c>
      <c r="AC777" s="28">
        <v>18.23</v>
      </c>
      <c r="AD777" s="28">
        <v>56.45</v>
      </c>
      <c r="AE777" s="28">
        <v>34.869999999999997</v>
      </c>
      <c r="AF777" s="28">
        <v>36.22</v>
      </c>
      <c r="AG777" s="28">
        <v>32.51</v>
      </c>
      <c r="AH777" s="28">
        <v>32.97</v>
      </c>
      <c r="AI777" s="28">
        <v>1.37</v>
      </c>
      <c r="AJ777" s="28">
        <v>44.33</v>
      </c>
      <c r="AK777" s="28"/>
      <c r="AL777"/>
      <c r="AM777"/>
      <c r="AN777" s="17">
        <v>116</v>
      </c>
      <c r="AO777"/>
      <c r="AP777"/>
      <c r="AQ777"/>
      <c r="AR777"/>
      <c r="AS777"/>
      <c r="AT777" s="17" t="s">
        <v>708</v>
      </c>
      <c r="AU777" s="17"/>
    </row>
    <row r="778" spans="1:47" x14ac:dyDescent="0.2">
      <c r="A778" s="115">
        <v>775.99999999999977</v>
      </c>
      <c r="B778" s="3">
        <v>230</v>
      </c>
      <c r="C778" s="23">
        <v>21.776</v>
      </c>
      <c r="D778" s="64" t="s">
        <v>223</v>
      </c>
      <c r="E778" s="11" t="s">
        <v>223</v>
      </c>
      <c r="F778" s="3" t="s">
        <v>73</v>
      </c>
      <c r="G778" s="3" t="s">
        <v>73</v>
      </c>
      <c r="I778" s="68">
        <v>44402</v>
      </c>
      <c r="J778" s="17" t="s">
        <v>142</v>
      </c>
      <c r="K778" s="17" t="s">
        <v>235</v>
      </c>
      <c r="L778"/>
      <c r="M778"/>
      <c r="N778" s="17">
        <v>260.32</v>
      </c>
      <c r="O778" s="28">
        <v>165.2</v>
      </c>
      <c r="P778" s="28">
        <v>167.78</v>
      </c>
      <c r="Q778" s="28">
        <v>45.47</v>
      </c>
      <c r="R778" s="28">
        <v>14.5</v>
      </c>
      <c r="S778" s="28">
        <v>109.18</v>
      </c>
      <c r="T778" s="28">
        <v>90.83</v>
      </c>
      <c r="U778" s="28">
        <v>72.27</v>
      </c>
      <c r="V778" s="28">
        <v>49.39</v>
      </c>
      <c r="W778" s="28">
        <v>73.930000000000007</v>
      </c>
      <c r="X778" s="28">
        <v>87.79</v>
      </c>
      <c r="Y778" s="28">
        <v>39.4</v>
      </c>
      <c r="Z778" s="28">
        <v>102.79</v>
      </c>
      <c r="AA778" s="28">
        <v>82.94</v>
      </c>
      <c r="AB778" s="28">
        <v>77.81</v>
      </c>
      <c r="AC778" s="28">
        <v>18.68</v>
      </c>
      <c r="AD778" s="28">
        <v>55.95</v>
      </c>
      <c r="AE778" s="28">
        <v>29.71</v>
      </c>
      <c r="AF778" s="28">
        <v>39.76</v>
      </c>
      <c r="AG778" s="28">
        <v>28.12</v>
      </c>
      <c r="AH778" s="28">
        <v>34</v>
      </c>
      <c r="AI778" s="28">
        <v>1.35</v>
      </c>
      <c r="AJ778" s="28">
        <v>50.9</v>
      </c>
      <c r="AK778" s="28"/>
      <c r="AL778"/>
      <c r="AM778"/>
      <c r="AN778" s="28">
        <v>125</v>
      </c>
      <c r="AO778"/>
      <c r="AP778"/>
      <c r="AQ778"/>
      <c r="AR778"/>
      <c r="AS778"/>
      <c r="AT778" s="17" t="s">
        <v>708</v>
      </c>
      <c r="AU778" s="17"/>
    </row>
    <row r="779" spans="1:47" x14ac:dyDescent="0.2">
      <c r="A779" s="115">
        <v>777.00000000000102</v>
      </c>
      <c r="B779" s="3">
        <v>231</v>
      </c>
      <c r="C779" s="23">
        <v>21.777000000000001</v>
      </c>
      <c r="D779" s="64" t="s">
        <v>223</v>
      </c>
      <c r="E779" s="11" t="s">
        <v>223</v>
      </c>
      <c r="F779" s="3" t="s">
        <v>73</v>
      </c>
      <c r="G779" s="3" t="s">
        <v>73</v>
      </c>
      <c r="H779" s="17"/>
      <c r="I779" s="68">
        <v>44402</v>
      </c>
      <c r="J779" s="17" t="s">
        <v>142</v>
      </c>
      <c r="K779" s="17" t="s">
        <v>235</v>
      </c>
      <c r="L779"/>
      <c r="M779"/>
      <c r="N779" s="17">
        <v>271.52999999999997</v>
      </c>
      <c r="O779" s="28">
        <v>164.54</v>
      </c>
      <c r="P779" s="28">
        <v>167.46</v>
      </c>
      <c r="Q779" s="28">
        <v>40.33</v>
      </c>
      <c r="R779" s="28">
        <v>16.16</v>
      </c>
      <c r="S779" s="28">
        <v>110.98</v>
      </c>
      <c r="T779" s="28">
        <v>91.4</v>
      </c>
      <c r="U779" s="28">
        <v>70.39</v>
      </c>
      <c r="V779" s="28">
        <v>50.55</v>
      </c>
      <c r="W779" s="28">
        <v>75.069999999999993</v>
      </c>
      <c r="X779" s="28">
        <v>92.99</v>
      </c>
      <c r="Y779" s="28">
        <v>41.41</v>
      </c>
      <c r="Z779" s="28">
        <v>104.62</v>
      </c>
      <c r="AA779" s="28">
        <v>83.43</v>
      </c>
      <c r="AB779" s="28">
        <v>80.92</v>
      </c>
      <c r="AC779" s="28">
        <v>20.239999999999998</v>
      </c>
      <c r="AD779" s="28">
        <v>56.55</v>
      </c>
      <c r="AE779" s="28">
        <v>28.58</v>
      </c>
      <c r="AF779" s="28">
        <v>40.54</v>
      </c>
      <c r="AG779" s="28">
        <v>31.52</v>
      </c>
      <c r="AH779" s="28">
        <v>35.549999999999997</v>
      </c>
      <c r="AI779" s="28">
        <v>1.86</v>
      </c>
      <c r="AJ779" s="28">
        <v>51.82</v>
      </c>
      <c r="AK779" s="28"/>
      <c r="AL779"/>
      <c r="AM779"/>
      <c r="AN779" s="17">
        <v>119</v>
      </c>
      <c r="AO779"/>
      <c r="AP779"/>
      <c r="AQ779"/>
      <c r="AR779"/>
      <c r="AS779"/>
      <c r="AT779" s="17" t="s">
        <v>708</v>
      </c>
      <c r="AU779" s="17"/>
    </row>
    <row r="780" spans="1:47" x14ac:dyDescent="0.2">
      <c r="A780" s="115">
        <v>777.99999999999864</v>
      </c>
      <c r="B780" s="3">
        <v>107</v>
      </c>
      <c r="C780" s="3">
        <v>21.777999999999999</v>
      </c>
      <c r="D780" s="65" t="s">
        <v>148</v>
      </c>
      <c r="E780" t="s">
        <v>229</v>
      </c>
      <c r="F780" s="3" t="s">
        <v>688</v>
      </c>
      <c r="G780" s="3" t="s">
        <v>688</v>
      </c>
      <c r="H780"/>
      <c r="I780" s="82">
        <v>44540</v>
      </c>
      <c r="J780" s="17" t="s">
        <v>142</v>
      </c>
      <c r="K780" s="17" t="s">
        <v>235</v>
      </c>
      <c r="L780" s="123">
        <v>233</v>
      </c>
      <c r="M780" s="17"/>
      <c r="N780" s="17">
        <v>237.83</v>
      </c>
      <c r="O780" s="17">
        <v>158.41</v>
      </c>
      <c r="P780" s="17">
        <v>168.56</v>
      </c>
      <c r="Q780" s="17">
        <v>33.090000000000003</v>
      </c>
      <c r="R780" s="17">
        <v>14.88</v>
      </c>
      <c r="S780" s="17">
        <v>112.14</v>
      </c>
      <c r="T780" s="17">
        <v>91.95</v>
      </c>
      <c r="U780" s="17">
        <v>63.64</v>
      </c>
      <c r="V780" s="17">
        <v>50.48</v>
      </c>
      <c r="W780" s="17">
        <v>73.13</v>
      </c>
      <c r="X780" s="17">
        <v>85.62</v>
      </c>
      <c r="Y780" s="17">
        <v>43.3</v>
      </c>
      <c r="Z780" s="17">
        <v>95.67</v>
      </c>
      <c r="AA780" s="17">
        <v>77.41</v>
      </c>
      <c r="AB780" s="17">
        <v>78.69</v>
      </c>
      <c r="AC780" s="17">
        <v>21</v>
      </c>
      <c r="AD780" s="17">
        <v>53.94</v>
      </c>
      <c r="AE780" s="17">
        <v>33.85</v>
      </c>
      <c r="AF780" s="17">
        <v>29.59</v>
      </c>
      <c r="AG780" s="17">
        <v>32.79</v>
      </c>
      <c r="AH780" s="17">
        <v>32.07</v>
      </c>
      <c r="AI780" s="17">
        <v>1.466</v>
      </c>
      <c r="AJ780" s="54"/>
      <c r="AK780" s="54"/>
      <c r="AL780" s="17"/>
      <c r="AM780" s="17"/>
      <c r="AN780" s="17"/>
      <c r="AO780" s="17"/>
      <c r="AP780" s="17"/>
      <c r="AQ780" s="17"/>
      <c r="AR780" s="17"/>
      <c r="AS780" s="17"/>
      <c r="AT780" s="17" t="s">
        <v>708</v>
      </c>
      <c r="AU780" s="17"/>
    </row>
    <row r="781" spans="1:47" x14ac:dyDescent="0.2">
      <c r="A781" s="115">
        <v>778.99999999999989</v>
      </c>
      <c r="B781" s="3">
        <v>113</v>
      </c>
      <c r="C781" s="3">
        <v>21.779</v>
      </c>
      <c r="D781" s="65" t="s">
        <v>148</v>
      </c>
      <c r="E781" t="s">
        <v>229</v>
      </c>
      <c r="F781" s="3" t="s">
        <v>688</v>
      </c>
      <c r="G781" s="3" t="s">
        <v>688</v>
      </c>
      <c r="H781" s="17"/>
      <c r="I781" s="82">
        <v>44535</v>
      </c>
      <c r="J781" s="17" t="s">
        <v>142</v>
      </c>
      <c r="K781" s="17" t="s">
        <v>235</v>
      </c>
      <c r="L781" s="159">
        <v>238</v>
      </c>
      <c r="M781" s="17"/>
      <c r="N781" s="17">
        <v>250.12</v>
      </c>
      <c r="O781" s="17">
        <v>163.35</v>
      </c>
      <c r="P781" s="17">
        <v>173.72</v>
      </c>
      <c r="Q781" s="17">
        <v>34.229999999999997</v>
      </c>
      <c r="R781" s="17">
        <v>14.68</v>
      </c>
      <c r="S781" s="17">
        <v>116.22</v>
      </c>
      <c r="T781" s="17">
        <v>94.82</v>
      </c>
      <c r="U781" s="17">
        <v>61.24</v>
      </c>
      <c r="V781" s="17">
        <v>47.6</v>
      </c>
      <c r="W781" s="17">
        <v>67.97</v>
      </c>
      <c r="X781" s="17">
        <v>83.78</v>
      </c>
      <c r="Y781" s="17">
        <v>40.1</v>
      </c>
      <c r="Z781" s="17">
        <v>96.13</v>
      </c>
      <c r="AA781" s="17">
        <v>80.430000000000007</v>
      </c>
      <c r="AB781" s="17">
        <v>73.260000000000005</v>
      </c>
      <c r="AC781" s="17">
        <v>19.29</v>
      </c>
      <c r="AD781" s="17">
        <v>52.28</v>
      </c>
      <c r="AE781" s="17">
        <v>37.299999999999997</v>
      </c>
      <c r="AF781" s="17">
        <v>31.97</v>
      </c>
      <c r="AG781" s="17">
        <v>38.01</v>
      </c>
      <c r="AH781" s="17">
        <v>38.840000000000003</v>
      </c>
      <c r="AI781" s="17">
        <v>1.5069999999999999</v>
      </c>
      <c r="AJ781" s="17">
        <v>33.85</v>
      </c>
      <c r="AK781" s="17"/>
      <c r="AL781" s="17"/>
      <c r="AM781" s="17"/>
      <c r="AN781" s="17">
        <v>110</v>
      </c>
      <c r="AO781" s="17"/>
      <c r="AP781" s="17"/>
      <c r="AQ781" s="17"/>
      <c r="AR781" s="17"/>
      <c r="AS781" s="17"/>
      <c r="AT781" s="17" t="s">
        <v>708</v>
      </c>
      <c r="AU781" s="17"/>
    </row>
    <row r="782" spans="1:47" x14ac:dyDescent="0.2">
      <c r="A782" s="115">
        <v>780.00000000000114</v>
      </c>
      <c r="B782" s="3">
        <v>119</v>
      </c>
      <c r="C782" s="2" t="s">
        <v>1</v>
      </c>
      <c r="D782" s="65" t="s">
        <v>148</v>
      </c>
      <c r="E782" t="s">
        <v>229</v>
      </c>
      <c r="F782" s="3" t="s">
        <v>688</v>
      </c>
      <c r="G782" s="3" t="s">
        <v>688</v>
      </c>
      <c r="H782" s="17"/>
      <c r="I782" s="82">
        <v>44528</v>
      </c>
      <c r="J782" s="17" t="s">
        <v>142</v>
      </c>
      <c r="K782" s="17" t="s">
        <v>235</v>
      </c>
      <c r="L782" s="123">
        <v>246</v>
      </c>
      <c r="M782" s="17"/>
      <c r="N782" s="17">
        <v>239.92</v>
      </c>
      <c r="O782" s="17">
        <v>166.99</v>
      </c>
      <c r="P782" s="17">
        <v>175.28</v>
      </c>
      <c r="Q782" s="17">
        <v>37.5</v>
      </c>
      <c r="R782" s="17">
        <v>16.59</v>
      </c>
      <c r="S782" s="17">
        <v>118.63</v>
      </c>
      <c r="T782" s="17">
        <v>94.31</v>
      </c>
      <c r="U782" s="17">
        <v>60.64</v>
      </c>
      <c r="V782" s="17">
        <v>43.83</v>
      </c>
      <c r="W782" s="17">
        <v>66.37</v>
      </c>
      <c r="X782" s="17">
        <v>84.59</v>
      </c>
      <c r="Y782" s="17">
        <v>41.45</v>
      </c>
      <c r="Z782" s="17">
        <v>96.13</v>
      </c>
      <c r="AA782" s="17">
        <v>80.94</v>
      </c>
      <c r="AB782" s="17">
        <v>72.459999999999994</v>
      </c>
      <c r="AC782" s="17">
        <v>16.14</v>
      </c>
      <c r="AD782" s="17">
        <v>53.61</v>
      </c>
      <c r="AE782" s="17">
        <v>41.13</v>
      </c>
      <c r="AF782" s="17">
        <v>32.79</v>
      </c>
      <c r="AG782" s="17">
        <v>34.51</v>
      </c>
      <c r="AH782" s="17">
        <v>35.75</v>
      </c>
      <c r="AI782" s="17">
        <v>1.544</v>
      </c>
      <c r="AJ782" s="17">
        <v>34.71</v>
      </c>
      <c r="AK782" s="17"/>
      <c r="AL782" s="17"/>
      <c r="AM782" s="17"/>
      <c r="AN782" s="17">
        <v>97</v>
      </c>
      <c r="AO782" s="17"/>
      <c r="AP782" s="17"/>
      <c r="AQ782" s="17"/>
      <c r="AR782" s="17"/>
      <c r="AS782" s="17"/>
      <c r="AT782" s="17" t="s">
        <v>708</v>
      </c>
      <c r="AU782" s="17"/>
    </row>
    <row r="783" spans="1:47" x14ac:dyDescent="0.2">
      <c r="A783" s="115">
        <v>780.99999999999886</v>
      </c>
      <c r="B783" s="3">
        <v>165</v>
      </c>
      <c r="C783" s="4">
        <v>21.780999999999999</v>
      </c>
      <c r="D783" s="65" t="s">
        <v>148</v>
      </c>
      <c r="E783" t="s">
        <v>229</v>
      </c>
      <c r="F783" s="3" t="s">
        <v>688</v>
      </c>
      <c r="G783" s="3" t="s">
        <v>688</v>
      </c>
      <c r="H783"/>
      <c r="I783" s="82">
        <v>44528</v>
      </c>
      <c r="J783" s="17" t="s">
        <v>142</v>
      </c>
      <c r="K783" s="17" t="s">
        <v>235</v>
      </c>
      <c r="L783" s="123">
        <v>234</v>
      </c>
      <c r="M783" s="17"/>
      <c r="N783" s="17">
        <v>239.9</v>
      </c>
      <c r="O783" s="17">
        <v>159.05000000000001</v>
      </c>
      <c r="P783" s="17">
        <v>170.54</v>
      </c>
      <c r="Q783" s="17">
        <v>36.729999999999997</v>
      </c>
      <c r="R783" s="17">
        <v>18.73</v>
      </c>
      <c r="S783" s="17">
        <v>113.66</v>
      </c>
      <c r="T783" s="17">
        <v>89.93</v>
      </c>
      <c r="U783" s="17">
        <v>64.19</v>
      </c>
      <c r="V783" s="17">
        <v>51</v>
      </c>
      <c r="W783" s="17">
        <v>71.53</v>
      </c>
      <c r="X783" s="17">
        <v>84.76</v>
      </c>
      <c r="Y783" s="17">
        <v>36.630000000000003</v>
      </c>
      <c r="Z783" s="17">
        <v>95.22</v>
      </c>
      <c r="AA783" s="17">
        <v>77.69</v>
      </c>
      <c r="AB783" s="17">
        <v>78.03</v>
      </c>
      <c r="AC783" s="17">
        <v>22.46</v>
      </c>
      <c r="AD783" s="17">
        <v>53.34</v>
      </c>
      <c r="AE783" s="17">
        <v>32.6</v>
      </c>
      <c r="AF783" s="17">
        <v>38.17</v>
      </c>
      <c r="AG783" s="17">
        <v>38.659999999999997</v>
      </c>
      <c r="AH783" s="17">
        <v>29.85</v>
      </c>
      <c r="AI783" s="17">
        <v>1.474</v>
      </c>
      <c r="AJ783" s="17">
        <v>24.13</v>
      </c>
      <c r="AK783" s="17"/>
      <c r="AL783" s="17"/>
      <c r="AM783" s="17"/>
      <c r="AN783" s="17">
        <v>124.32</v>
      </c>
      <c r="AO783" s="17"/>
      <c r="AP783" s="17"/>
      <c r="AQ783" s="17"/>
      <c r="AR783" s="17"/>
      <c r="AS783" s="17"/>
      <c r="AT783" s="17" t="s">
        <v>708</v>
      </c>
      <c r="AU783" s="17"/>
    </row>
    <row r="784" spans="1:47" x14ac:dyDescent="0.2">
      <c r="A784" s="115">
        <v>782</v>
      </c>
      <c r="B784" s="3">
        <v>115</v>
      </c>
      <c r="C784" s="4">
        <v>21.782</v>
      </c>
      <c r="D784" s="65" t="s">
        <v>148</v>
      </c>
      <c r="E784" t="s">
        <v>229</v>
      </c>
      <c r="F784" s="3" t="s">
        <v>688</v>
      </c>
      <c r="G784" s="3" t="s">
        <v>688</v>
      </c>
      <c r="H784"/>
      <c r="I784" s="82">
        <v>44540</v>
      </c>
      <c r="J784" s="17" t="s">
        <v>142</v>
      </c>
      <c r="K784" s="17" t="s">
        <v>235</v>
      </c>
      <c r="L784" s="123">
        <v>237</v>
      </c>
      <c r="M784" s="17"/>
      <c r="N784" s="17">
        <v>240.16</v>
      </c>
      <c r="O784" s="17">
        <v>157.88999999999999</v>
      </c>
      <c r="P784" s="17">
        <v>170.48</v>
      </c>
      <c r="Q784" s="17">
        <v>31.92</v>
      </c>
      <c r="R784" s="17">
        <v>14.7</v>
      </c>
      <c r="S784" s="17">
        <v>114.87</v>
      </c>
      <c r="T784" s="17">
        <v>92.41</v>
      </c>
      <c r="U784" s="17">
        <v>66.09</v>
      </c>
      <c r="V784" s="17">
        <v>48.65</v>
      </c>
      <c r="W784" s="17">
        <v>71.87</v>
      </c>
      <c r="X784" s="17">
        <v>86.03</v>
      </c>
      <c r="Y784" s="17">
        <v>41.04</v>
      </c>
      <c r="Z784" s="17">
        <v>97.67</v>
      </c>
      <c r="AA784" s="17">
        <v>80.97</v>
      </c>
      <c r="AB784" s="17">
        <v>78.760000000000005</v>
      </c>
      <c r="AC784" s="17">
        <v>13.26</v>
      </c>
      <c r="AD784" s="17">
        <v>52.58</v>
      </c>
      <c r="AE784" s="17">
        <v>32.630000000000003</v>
      </c>
      <c r="AF784" s="17">
        <v>34.94</v>
      </c>
      <c r="AG784" s="17">
        <v>38.82</v>
      </c>
      <c r="AH784" s="17">
        <v>33.15</v>
      </c>
      <c r="AI784" s="17">
        <v>1.395</v>
      </c>
      <c r="AJ784" s="17">
        <v>32.75</v>
      </c>
      <c r="AK784" s="17"/>
      <c r="AL784" s="17"/>
      <c r="AM784" s="17"/>
      <c r="AN784" s="17">
        <v>96</v>
      </c>
      <c r="AO784" s="17"/>
      <c r="AP784" s="17"/>
      <c r="AQ784" s="17"/>
      <c r="AR784" s="17"/>
      <c r="AS784" s="17"/>
      <c r="AT784" s="17" t="s">
        <v>708</v>
      </c>
      <c r="AU784" s="17"/>
    </row>
    <row r="785" spans="1:47" x14ac:dyDescent="0.2">
      <c r="A785" s="115">
        <v>783.00000000000125</v>
      </c>
      <c r="B785" s="3">
        <v>184</v>
      </c>
      <c r="C785" s="3">
        <v>21.783000000000001</v>
      </c>
      <c r="D785" s="129" t="s">
        <v>140</v>
      </c>
      <c r="E785" t="s">
        <v>141</v>
      </c>
      <c r="F785" s="3" t="s">
        <v>723</v>
      </c>
      <c r="G785"/>
      <c r="H785" s="3" t="s">
        <v>723</v>
      </c>
      <c r="I785" s="82">
        <v>44526</v>
      </c>
      <c r="J785" s="17" t="s">
        <v>142</v>
      </c>
      <c r="K785" s="17" t="s">
        <v>235</v>
      </c>
      <c r="L785" s="17"/>
      <c r="M785" s="17">
        <v>262.5</v>
      </c>
      <c r="N785" s="17">
        <v>273.95</v>
      </c>
      <c r="O785" s="17">
        <v>199.76</v>
      </c>
      <c r="P785" s="17">
        <v>200.65</v>
      </c>
      <c r="Q785" s="17">
        <v>41.76</v>
      </c>
      <c r="R785" s="17">
        <v>29.3</v>
      </c>
      <c r="S785" s="17">
        <v>130.88999999999999</v>
      </c>
      <c r="T785" s="17">
        <v>105.07</v>
      </c>
      <c r="U785" s="50">
        <v>52.64</v>
      </c>
      <c r="V785" s="50">
        <v>40.36</v>
      </c>
      <c r="W785" s="50">
        <v>67.92</v>
      </c>
      <c r="X785" s="50">
        <v>84.78</v>
      </c>
      <c r="Y785" s="50">
        <v>34.79</v>
      </c>
      <c r="Z785" s="50">
        <v>94.22</v>
      </c>
      <c r="AA785" s="50">
        <v>79.16</v>
      </c>
      <c r="AB785" s="50">
        <v>66.8</v>
      </c>
      <c r="AC785" s="50">
        <v>11.63</v>
      </c>
      <c r="AD785" s="50">
        <v>53.39</v>
      </c>
      <c r="AE785" s="17">
        <v>47.27</v>
      </c>
      <c r="AF785" s="17">
        <v>51.41</v>
      </c>
      <c r="AG785" s="17">
        <v>40.33</v>
      </c>
      <c r="AH785" s="17">
        <v>33.76</v>
      </c>
      <c r="AI785" s="17">
        <v>1.048</v>
      </c>
      <c r="AJ785" s="17">
        <v>50.94</v>
      </c>
      <c r="AK785" s="17"/>
      <c r="AL785" s="17"/>
      <c r="AM785" s="17"/>
      <c r="AN785" s="17">
        <v>120</v>
      </c>
      <c r="AO785" s="17"/>
      <c r="AP785" s="17"/>
      <c r="AQ785" s="17"/>
      <c r="AR785" s="17"/>
      <c r="AS785" s="17"/>
      <c r="AT785" s="17" t="s">
        <v>708</v>
      </c>
      <c r="AU785" s="17"/>
    </row>
    <row r="786" spans="1:47" x14ac:dyDescent="0.2">
      <c r="A786" s="115">
        <v>783.99999999999886</v>
      </c>
      <c r="B786" s="3">
        <v>190</v>
      </c>
      <c r="C786" s="3">
        <v>21.783999999999999</v>
      </c>
      <c r="D786" s="129" t="s">
        <v>140</v>
      </c>
      <c r="E786" t="s">
        <v>141</v>
      </c>
      <c r="F786" s="3" t="s">
        <v>61</v>
      </c>
      <c r="G786"/>
      <c r="H786" s="3" t="s">
        <v>61</v>
      </c>
      <c r="I786" s="82">
        <v>44528</v>
      </c>
      <c r="J786" s="17" t="s">
        <v>142</v>
      </c>
      <c r="K786" s="17" t="s">
        <v>235</v>
      </c>
      <c r="L786" s="17"/>
      <c r="M786" s="17">
        <v>248</v>
      </c>
      <c r="N786" s="17">
        <v>255.67</v>
      </c>
      <c r="O786" s="17">
        <v>179.29</v>
      </c>
      <c r="P786" s="17">
        <v>190.66</v>
      </c>
      <c r="Q786" s="17">
        <v>40.98</v>
      </c>
      <c r="R786" s="17">
        <v>20.99</v>
      </c>
      <c r="S786" s="17">
        <v>123.11</v>
      </c>
      <c r="T786" s="17">
        <v>99.36</v>
      </c>
      <c r="U786" s="50">
        <v>54.97</v>
      </c>
      <c r="V786" s="50">
        <v>40.090000000000003</v>
      </c>
      <c r="W786" s="50">
        <v>65.22</v>
      </c>
      <c r="X786" s="50">
        <v>82.22</v>
      </c>
      <c r="Y786" s="50">
        <v>31.27</v>
      </c>
      <c r="Z786" s="50">
        <v>95.32</v>
      </c>
      <c r="AA786" s="50">
        <v>79.73</v>
      </c>
      <c r="AB786" s="50">
        <v>63.27</v>
      </c>
      <c r="AC786" s="50">
        <v>12.04</v>
      </c>
      <c r="AD786" s="50">
        <v>52.14</v>
      </c>
      <c r="AE786" s="17">
        <v>35.549999999999997</v>
      </c>
      <c r="AF786" s="17">
        <v>36.61</v>
      </c>
      <c r="AG786" s="17">
        <v>34.65</v>
      </c>
      <c r="AH786" s="17">
        <v>38.08</v>
      </c>
      <c r="AI786" s="17">
        <v>1.2090000000000001</v>
      </c>
      <c r="AJ786" s="17">
        <v>48.35</v>
      </c>
      <c r="AK786" s="17"/>
      <c r="AL786" s="17"/>
      <c r="AM786" s="17"/>
      <c r="AN786" s="17">
        <v>111</v>
      </c>
      <c r="AO786" s="17"/>
      <c r="AP786" s="17"/>
      <c r="AQ786" s="17"/>
      <c r="AR786" s="17"/>
      <c r="AS786" s="17"/>
      <c r="AT786" s="17" t="s">
        <v>708</v>
      </c>
      <c r="AU786" s="17"/>
    </row>
    <row r="787" spans="1:47" x14ac:dyDescent="0.2">
      <c r="A787" s="115">
        <v>785.00000000000011</v>
      </c>
      <c r="B787" s="3">
        <v>189</v>
      </c>
      <c r="C787" s="3">
        <v>21.785</v>
      </c>
      <c r="D787" s="129" t="s">
        <v>140</v>
      </c>
      <c r="E787" t="s">
        <v>141</v>
      </c>
      <c r="F787" s="3" t="s">
        <v>61</v>
      </c>
      <c r="G787"/>
      <c r="H787" s="3" t="s">
        <v>61</v>
      </c>
      <c r="I787" s="82">
        <v>44528</v>
      </c>
      <c r="J787" s="17" t="s">
        <v>142</v>
      </c>
      <c r="K787" s="17" t="s">
        <v>235</v>
      </c>
      <c r="L787" s="17"/>
      <c r="M787" s="17">
        <v>237.7</v>
      </c>
      <c r="N787" s="17">
        <v>249.08</v>
      </c>
      <c r="O787" s="17">
        <v>178.04</v>
      </c>
      <c r="P787" s="17">
        <v>193.67</v>
      </c>
      <c r="Q787" s="17">
        <v>39.47</v>
      </c>
      <c r="R787" s="17">
        <v>25.57</v>
      </c>
      <c r="S787" s="17">
        <v>123.08</v>
      </c>
      <c r="T787" s="17">
        <v>104.41</v>
      </c>
      <c r="U787" s="50">
        <v>42.24</v>
      </c>
      <c r="V787" s="50">
        <v>63.07</v>
      </c>
      <c r="W787" s="50">
        <v>75.44</v>
      </c>
      <c r="X787" s="50">
        <v>84.93</v>
      </c>
      <c r="Y787" s="50">
        <v>32.79</v>
      </c>
      <c r="Z787" s="50">
        <v>94.47</v>
      </c>
      <c r="AA787" s="50">
        <v>79.650000000000006</v>
      </c>
      <c r="AB787" s="50">
        <v>65.45</v>
      </c>
      <c r="AC787" s="50">
        <v>13.26</v>
      </c>
      <c r="AD787" s="50">
        <v>50.45</v>
      </c>
      <c r="AE787" s="17">
        <v>40.72</v>
      </c>
      <c r="AF787" s="17">
        <v>38.479999999999997</v>
      </c>
      <c r="AG787" s="17">
        <v>35.64</v>
      </c>
      <c r="AH787" s="17">
        <v>35.56</v>
      </c>
      <c r="AI787" s="17">
        <v>0.98899999999999999</v>
      </c>
      <c r="AJ787" s="17">
        <v>52.35</v>
      </c>
      <c r="AK787" s="17"/>
      <c r="AL787" s="17"/>
      <c r="AM787" s="17"/>
      <c r="AN787" s="17">
        <v>118</v>
      </c>
      <c r="AO787" s="17"/>
      <c r="AP787" s="17"/>
      <c r="AQ787" s="17"/>
      <c r="AR787" s="17"/>
      <c r="AS787" s="17"/>
      <c r="AT787" s="17" t="s">
        <v>708</v>
      </c>
      <c r="AU787" s="17"/>
    </row>
    <row r="788" spans="1:47" x14ac:dyDescent="0.2">
      <c r="A788" s="115">
        <v>786.00000000000136</v>
      </c>
      <c r="B788" s="3">
        <v>183</v>
      </c>
      <c r="C788" s="3">
        <v>21.786000000000001</v>
      </c>
      <c r="D788" s="129" t="s">
        <v>140</v>
      </c>
      <c r="E788" t="s">
        <v>141</v>
      </c>
      <c r="F788" s="3" t="s">
        <v>60</v>
      </c>
      <c r="G788"/>
      <c r="H788" s="3" t="s">
        <v>60</v>
      </c>
      <c r="I788" s="82">
        <v>44525</v>
      </c>
      <c r="J788" s="17" t="s">
        <v>142</v>
      </c>
      <c r="K788" s="17" t="s">
        <v>235</v>
      </c>
      <c r="L788" s="17"/>
      <c r="M788" s="17">
        <v>284.2</v>
      </c>
      <c r="N788" s="17">
        <v>292.44</v>
      </c>
      <c r="O788" s="17">
        <v>165.31</v>
      </c>
      <c r="P788" s="17">
        <v>176.24</v>
      </c>
      <c r="Q788" s="17">
        <v>35.22</v>
      </c>
      <c r="R788" s="17">
        <v>19.34</v>
      </c>
      <c r="S788" s="17">
        <v>119.09</v>
      </c>
      <c r="T788" s="17">
        <v>98.85</v>
      </c>
      <c r="U788" s="50">
        <v>62.78</v>
      </c>
      <c r="V788" s="50">
        <v>53.18</v>
      </c>
      <c r="W788" s="50">
        <v>77.099999999999994</v>
      </c>
      <c r="X788" s="50">
        <v>93.75</v>
      </c>
      <c r="Y788" s="50">
        <v>40.31</v>
      </c>
      <c r="Z788" s="50">
        <v>100.87</v>
      </c>
      <c r="AA788" s="50">
        <v>83.36</v>
      </c>
      <c r="AB788" s="50">
        <v>77.349999999999994</v>
      </c>
      <c r="AC788" s="50">
        <v>11.45</v>
      </c>
      <c r="AD788" s="50">
        <v>54.74</v>
      </c>
      <c r="AE788" s="17">
        <v>24.09</v>
      </c>
      <c r="AF788" s="17">
        <v>26.32</v>
      </c>
      <c r="AG788" s="17">
        <v>30.24</v>
      </c>
      <c r="AH788" s="17">
        <v>35.979999999999997</v>
      </c>
      <c r="AI788" s="17">
        <v>1.9350000000000001</v>
      </c>
      <c r="AJ788" s="17">
        <v>49.79</v>
      </c>
      <c r="AK788" s="17"/>
      <c r="AL788" s="17"/>
      <c r="AM788" s="17"/>
      <c r="AN788" s="17">
        <v>120</v>
      </c>
      <c r="AO788" s="17"/>
      <c r="AP788" s="17"/>
      <c r="AQ788" s="17"/>
      <c r="AR788" s="17"/>
      <c r="AS788" s="17"/>
      <c r="AT788" s="17" t="s">
        <v>708</v>
      </c>
      <c r="AU788" s="17"/>
    </row>
    <row r="789" spans="1:47" x14ac:dyDescent="0.2">
      <c r="A789" s="115">
        <v>786.99999999999909</v>
      </c>
      <c r="B789" s="3">
        <v>59</v>
      </c>
      <c r="C789" s="3">
        <v>21.786999999999999</v>
      </c>
      <c r="D789" s="155" t="s">
        <v>151</v>
      </c>
      <c r="E789" t="s">
        <v>152</v>
      </c>
      <c r="F789" s="3" t="s">
        <v>227</v>
      </c>
      <c r="G789"/>
      <c r="H789" s="3" t="s">
        <v>176</v>
      </c>
      <c r="I789" s="154">
        <v>44523</v>
      </c>
      <c r="J789" s="3" t="s">
        <v>142</v>
      </c>
      <c r="K789" s="3" t="s">
        <v>235</v>
      </c>
      <c r="N789" s="3">
        <v>302.95</v>
      </c>
      <c r="O789" s="3">
        <v>178.98</v>
      </c>
      <c r="P789" s="3">
        <v>182.77</v>
      </c>
      <c r="Q789" s="3">
        <v>35.409999999999997</v>
      </c>
      <c r="R789" s="3">
        <v>16.96</v>
      </c>
      <c r="S789" s="3">
        <v>125.21</v>
      </c>
      <c r="T789" s="3">
        <v>102.17</v>
      </c>
      <c r="U789" s="6">
        <v>61.31</v>
      </c>
      <c r="V789" s="6">
        <v>47.71</v>
      </c>
      <c r="W789" s="6">
        <v>62.95</v>
      </c>
      <c r="X789" s="6">
        <v>92.1</v>
      </c>
      <c r="Y789" s="6">
        <v>40</v>
      </c>
      <c r="Z789" s="6">
        <v>100.7</v>
      </c>
      <c r="AA789" s="6">
        <v>88.38</v>
      </c>
      <c r="AB789" s="6">
        <v>74.349999999999994</v>
      </c>
      <c r="AC789" s="6">
        <v>11.43</v>
      </c>
      <c r="AD789" s="6">
        <v>57.37</v>
      </c>
      <c r="AE789" s="3">
        <v>28.84</v>
      </c>
      <c r="AF789" s="3">
        <v>37.29</v>
      </c>
      <c r="AG789" s="3">
        <v>30.83</v>
      </c>
      <c r="AH789" s="3">
        <v>33.82</v>
      </c>
      <c r="AI789" s="4">
        <v>1.45</v>
      </c>
      <c r="AJ789" s="3">
        <v>58.96</v>
      </c>
      <c r="AN789" s="3">
        <v>110</v>
      </c>
      <c r="AT789" s="17" t="s">
        <v>708</v>
      </c>
      <c r="AU789" s="17"/>
    </row>
    <row r="790" spans="1:47" x14ac:dyDescent="0.2">
      <c r="A790" s="115">
        <v>788.00000000000023</v>
      </c>
      <c r="B790" s="3">
        <v>62</v>
      </c>
      <c r="C790" s="3">
        <v>21.788</v>
      </c>
      <c r="D790" s="155" t="s">
        <v>151</v>
      </c>
      <c r="E790" t="s">
        <v>152</v>
      </c>
      <c r="F790" s="3" t="s">
        <v>227</v>
      </c>
      <c r="G790" t="s">
        <v>89</v>
      </c>
      <c r="H790" s="3" t="s">
        <v>89</v>
      </c>
      <c r="I790" s="154">
        <v>44536</v>
      </c>
      <c r="J790" s="3" t="s">
        <v>142</v>
      </c>
      <c r="K790" s="3" t="s">
        <v>235</v>
      </c>
      <c r="N790" s="3">
        <v>288.25</v>
      </c>
      <c r="O790" s="3">
        <v>177.04</v>
      </c>
      <c r="P790" s="3">
        <v>186.3</v>
      </c>
      <c r="Q790" s="3">
        <v>41.28</v>
      </c>
      <c r="R790" s="3">
        <v>17.66</v>
      </c>
      <c r="S790" s="3">
        <v>124.13</v>
      </c>
      <c r="T790" s="3">
        <v>99.68</v>
      </c>
      <c r="U790" s="6">
        <v>58.44</v>
      </c>
      <c r="V790" s="6">
        <v>47.29</v>
      </c>
      <c r="W790" s="6">
        <v>62.04</v>
      </c>
      <c r="X790" s="6">
        <v>90.83</v>
      </c>
      <c r="Y790" s="6">
        <v>38.92</v>
      </c>
      <c r="Z790" s="6">
        <v>102.46</v>
      </c>
      <c r="AA790" s="6">
        <v>86.5</v>
      </c>
      <c r="AB790" s="6">
        <v>70.84</v>
      </c>
      <c r="AC790" s="6">
        <v>9.76</v>
      </c>
      <c r="AD790" s="6">
        <v>57.43</v>
      </c>
      <c r="AE790" s="3">
        <v>28.98</v>
      </c>
      <c r="AF790" s="3">
        <v>39.14</v>
      </c>
      <c r="AG790" s="3">
        <v>28.62</v>
      </c>
      <c r="AH790" s="3">
        <v>37.590000000000003</v>
      </c>
      <c r="AI790" s="3">
        <v>1.391</v>
      </c>
      <c r="AJ790" s="3">
        <v>48.48</v>
      </c>
      <c r="AN790" s="3">
        <v>64</v>
      </c>
      <c r="AT790" s="17" t="s">
        <v>708</v>
      </c>
      <c r="AU790" s="17"/>
    </row>
    <row r="791" spans="1:47" x14ac:dyDescent="0.2">
      <c r="A791" s="115">
        <v>789.00000000000148</v>
      </c>
      <c r="B791" s="3">
        <v>66</v>
      </c>
      <c r="C791" s="3">
        <v>21.789000000000001</v>
      </c>
      <c r="D791" s="155" t="s">
        <v>151</v>
      </c>
      <c r="E791" t="s">
        <v>152</v>
      </c>
      <c r="F791" s="3" t="s">
        <v>227</v>
      </c>
      <c r="G791" t="s">
        <v>89</v>
      </c>
      <c r="H791" s="3" t="s">
        <v>89</v>
      </c>
      <c r="I791" s="154">
        <v>44544</v>
      </c>
      <c r="J791" s="3" t="s">
        <v>142</v>
      </c>
      <c r="K791" s="3" t="s">
        <v>235</v>
      </c>
      <c r="N791" s="3">
        <v>347</v>
      </c>
      <c r="O791" s="3">
        <v>183.79</v>
      </c>
      <c r="P791" s="3">
        <v>190.92</v>
      </c>
      <c r="Q791" s="3">
        <v>38.06</v>
      </c>
      <c r="R791" s="3">
        <v>15.21</v>
      </c>
      <c r="S791" s="3">
        <v>132.33000000000001</v>
      </c>
      <c r="T791" s="3">
        <v>108.62</v>
      </c>
      <c r="U791" s="6">
        <v>58.42</v>
      </c>
      <c r="V791" s="6">
        <v>48.52</v>
      </c>
      <c r="W791" s="6">
        <v>63.52</v>
      </c>
      <c r="X791" s="6">
        <v>94.23</v>
      </c>
      <c r="Y791" s="6">
        <v>41.54</v>
      </c>
      <c r="Z791" s="6">
        <v>104.49</v>
      </c>
      <c r="AA791" s="6">
        <v>90.02</v>
      </c>
      <c r="AB791" s="6">
        <v>73.52</v>
      </c>
      <c r="AC791" s="6">
        <v>8.2100000000000009</v>
      </c>
      <c r="AD791" s="6">
        <v>63.3</v>
      </c>
      <c r="AE791" s="3">
        <v>26.92</v>
      </c>
      <c r="AF791" s="3">
        <v>38.75</v>
      </c>
      <c r="AG791" s="3">
        <v>31.42</v>
      </c>
      <c r="AH791" s="3">
        <v>40.630000000000003</v>
      </c>
      <c r="AI791" s="3">
        <v>1.2450000000000001</v>
      </c>
      <c r="AJ791" s="3">
        <v>96.59</v>
      </c>
      <c r="AN791" s="3">
        <v>121</v>
      </c>
      <c r="AT791" s="17" t="s">
        <v>708</v>
      </c>
      <c r="AU791" s="17"/>
    </row>
    <row r="792" spans="1:47" x14ac:dyDescent="0.2">
      <c r="A792" s="115">
        <v>789.99999999999909</v>
      </c>
      <c r="B792" s="3">
        <v>65</v>
      </c>
      <c r="C792" s="2" t="s">
        <v>81</v>
      </c>
      <c r="D792" s="155" t="s">
        <v>151</v>
      </c>
      <c r="E792" t="s">
        <v>162</v>
      </c>
      <c r="F792" s="3" t="s">
        <v>88</v>
      </c>
      <c r="G792" s="3" t="s">
        <v>88</v>
      </c>
      <c r="H792" s="17"/>
      <c r="I792" s="154">
        <v>44539</v>
      </c>
      <c r="J792" s="3" t="s">
        <v>142</v>
      </c>
      <c r="K792" s="3" t="s">
        <v>235</v>
      </c>
      <c r="N792" s="3">
        <v>266.56</v>
      </c>
      <c r="O792" s="14">
        <v>179.56</v>
      </c>
      <c r="P792" s="14">
        <v>189.86</v>
      </c>
      <c r="Q792" s="14">
        <v>41.5</v>
      </c>
      <c r="R792" s="14">
        <v>24.91</v>
      </c>
      <c r="S792" s="14">
        <v>119.83</v>
      </c>
      <c r="T792" s="14">
        <v>100.48</v>
      </c>
      <c r="U792" s="14">
        <v>63.31</v>
      </c>
      <c r="V792" s="14">
        <v>50.47</v>
      </c>
      <c r="W792" s="14">
        <v>72.83</v>
      </c>
      <c r="X792" s="14">
        <v>92.63</v>
      </c>
      <c r="Y792" s="14">
        <v>42.03</v>
      </c>
      <c r="Z792" s="14">
        <v>103.86</v>
      </c>
      <c r="AA792" s="14">
        <v>87.08</v>
      </c>
      <c r="AB792" s="14">
        <v>81.540000000000006</v>
      </c>
      <c r="AC792" s="14">
        <v>11.05</v>
      </c>
      <c r="AD792" s="14">
        <v>50.89</v>
      </c>
      <c r="AE792" s="14">
        <v>32.340000000000003</v>
      </c>
      <c r="AF792" s="14">
        <v>38.99</v>
      </c>
      <c r="AG792" s="14">
        <v>39</v>
      </c>
      <c r="AH792" s="14">
        <v>42.53</v>
      </c>
      <c r="AI792" s="14">
        <v>1.4570000000000001</v>
      </c>
      <c r="AJ792" s="14">
        <v>45.27</v>
      </c>
      <c r="AK792" s="14"/>
      <c r="AN792" s="3">
        <v>92</v>
      </c>
      <c r="AT792" s="17" t="s">
        <v>708</v>
      </c>
      <c r="AU792" s="17"/>
    </row>
    <row r="793" spans="1:47" x14ac:dyDescent="0.2">
      <c r="A793" s="115">
        <v>791.00000000000034</v>
      </c>
      <c r="B793" s="3">
        <v>61</v>
      </c>
      <c r="C793" s="3">
        <v>21.791</v>
      </c>
      <c r="D793" s="155" t="s">
        <v>151</v>
      </c>
      <c r="E793" t="s">
        <v>162</v>
      </c>
      <c r="F793" s="3" t="s">
        <v>88</v>
      </c>
      <c r="G793" s="3" t="s">
        <v>88</v>
      </c>
      <c r="H793" s="17"/>
      <c r="I793" s="154">
        <v>44528</v>
      </c>
      <c r="J793" s="3" t="s">
        <v>142</v>
      </c>
      <c r="K793" s="3" t="s">
        <v>235</v>
      </c>
      <c r="N793" s="3">
        <v>287.60000000000002</v>
      </c>
      <c r="O793" s="3">
        <v>182.55</v>
      </c>
      <c r="P793" s="3">
        <v>193.14</v>
      </c>
      <c r="Q793" s="3">
        <v>39.89</v>
      </c>
      <c r="R793" s="3">
        <v>17.37</v>
      </c>
      <c r="S793" s="3">
        <v>125.32</v>
      </c>
      <c r="T793" s="3">
        <v>101.7</v>
      </c>
      <c r="U793" s="3">
        <v>64.3</v>
      </c>
      <c r="V793" s="3">
        <v>52.34</v>
      </c>
      <c r="W793" s="3">
        <v>71.75</v>
      </c>
      <c r="X793" s="3">
        <v>96.08</v>
      </c>
      <c r="Y793" s="3">
        <v>46.08</v>
      </c>
      <c r="Z793" s="3">
        <v>104.83</v>
      </c>
      <c r="AA793" s="3">
        <v>85.78</v>
      </c>
      <c r="AB793" s="3">
        <v>80.180000000000007</v>
      </c>
      <c r="AC793" s="3">
        <v>6.52</v>
      </c>
      <c r="AD793" s="3">
        <v>50.71</v>
      </c>
      <c r="AE793" s="3">
        <v>31.61</v>
      </c>
      <c r="AF793" s="3">
        <v>41.84</v>
      </c>
      <c r="AG793" s="3">
        <v>36.520000000000003</v>
      </c>
      <c r="AH793" s="3">
        <v>43.75</v>
      </c>
      <c r="AI793" s="3">
        <v>1.4850000000000001</v>
      </c>
      <c r="AJ793" s="3">
        <v>49.47</v>
      </c>
      <c r="AN793" s="3">
        <v>78</v>
      </c>
      <c r="AT793" s="17" t="s">
        <v>708</v>
      </c>
      <c r="AU793" s="17"/>
    </row>
    <row r="794" spans="1:47" x14ac:dyDescent="0.2">
      <c r="A794" s="115">
        <v>792.00000000000159</v>
      </c>
      <c r="B794" s="3" t="s">
        <v>724</v>
      </c>
      <c r="C794" s="3">
        <v>21.792000000000002</v>
      </c>
      <c r="D794" s="125" t="s">
        <v>156</v>
      </c>
      <c r="E794" t="s">
        <v>491</v>
      </c>
      <c r="F794" s="3" t="s">
        <v>77</v>
      </c>
      <c r="G794" s="3" t="s">
        <v>77</v>
      </c>
      <c r="H794" s="17"/>
      <c r="I794" s="81">
        <v>44386</v>
      </c>
      <c r="J794" s="17" t="s">
        <v>142</v>
      </c>
      <c r="K794" s="17" t="s">
        <v>235</v>
      </c>
      <c r="L794"/>
      <c r="M794"/>
      <c r="N794" s="17">
        <v>229.53</v>
      </c>
      <c r="O794" s="17">
        <v>167.05</v>
      </c>
      <c r="P794" s="17">
        <v>173.58</v>
      </c>
      <c r="Q794" s="17">
        <v>28.95</v>
      </c>
      <c r="R794" s="17">
        <v>21.34</v>
      </c>
      <c r="S794" s="17">
        <v>119.31</v>
      </c>
      <c r="T794" s="17">
        <v>96.51</v>
      </c>
      <c r="U794" s="17">
        <v>63.04</v>
      </c>
      <c r="V794" s="17">
        <v>45.32</v>
      </c>
      <c r="W794" s="17">
        <v>68.540000000000006</v>
      </c>
      <c r="X794" s="17">
        <v>82.9</v>
      </c>
      <c r="Y794" s="17">
        <v>41.29</v>
      </c>
      <c r="Z794" s="17">
        <v>90.09</v>
      </c>
      <c r="AA794" s="17">
        <v>80.02</v>
      </c>
      <c r="AB794" s="17">
        <v>70.34</v>
      </c>
      <c r="AC794" s="17">
        <v>12.47</v>
      </c>
      <c r="AD794" s="17">
        <v>51.67</v>
      </c>
      <c r="AE794" s="17">
        <v>28.05</v>
      </c>
      <c r="AF794" s="17">
        <v>36.35</v>
      </c>
      <c r="AG794" s="17">
        <v>30.95</v>
      </c>
      <c r="AH794" s="17">
        <v>35.270000000000003</v>
      </c>
      <c r="AI794" s="17">
        <v>1.1639999999999999</v>
      </c>
      <c r="AJ794" s="17">
        <v>47.31</v>
      </c>
      <c r="AK794" s="17"/>
      <c r="AL794"/>
      <c r="AM794"/>
      <c r="AN794" s="17">
        <v>87</v>
      </c>
      <c r="AO794"/>
      <c r="AP794"/>
      <c r="AQ794"/>
      <c r="AR794"/>
      <c r="AS794"/>
      <c r="AT794" s="17" t="s">
        <v>175</v>
      </c>
      <c r="AU794" s="17"/>
    </row>
    <row r="795" spans="1:47" x14ac:dyDescent="0.2">
      <c r="A795" s="115">
        <v>792.99999999999932</v>
      </c>
      <c r="B795" s="3" t="s">
        <v>725</v>
      </c>
      <c r="C795" s="3">
        <v>21.792999999999999</v>
      </c>
      <c r="D795" s="125" t="s">
        <v>156</v>
      </c>
      <c r="E795" t="s">
        <v>491</v>
      </c>
      <c r="F795" s="3" t="s">
        <v>77</v>
      </c>
      <c r="G795" s="3" t="s">
        <v>77</v>
      </c>
      <c r="H795" s="17"/>
      <c r="I795" s="81">
        <v>44394</v>
      </c>
      <c r="J795" s="17" t="s">
        <v>142</v>
      </c>
      <c r="K795" s="17" t="s">
        <v>235</v>
      </c>
      <c r="L795"/>
      <c r="M795"/>
      <c r="N795" s="17">
        <v>236.96</v>
      </c>
      <c r="O795" s="17">
        <v>165.03</v>
      </c>
      <c r="P795" s="17">
        <v>171.19</v>
      </c>
      <c r="Q795" s="17">
        <v>30.34</v>
      </c>
      <c r="R795" s="17">
        <v>16.07</v>
      </c>
      <c r="S795" s="17">
        <v>120.61</v>
      </c>
      <c r="T795" s="17">
        <v>96.64</v>
      </c>
      <c r="U795" s="17">
        <v>66.98</v>
      </c>
      <c r="V795" s="17">
        <v>45.72</v>
      </c>
      <c r="W795" s="17">
        <v>68.09</v>
      </c>
      <c r="X795" s="50">
        <v>81.67</v>
      </c>
      <c r="Y795" s="17">
        <v>38.299999999999997</v>
      </c>
      <c r="Z795" s="17">
        <v>87.62</v>
      </c>
      <c r="AA795" s="17">
        <v>77.66</v>
      </c>
      <c r="AB795" s="17">
        <v>71.989999999999995</v>
      </c>
      <c r="AC795" s="17">
        <v>11</v>
      </c>
      <c r="AD795" s="50">
        <v>54.02</v>
      </c>
      <c r="AE795" s="17">
        <v>23.34</v>
      </c>
      <c r="AF795" s="17">
        <v>33.11</v>
      </c>
      <c r="AG795" s="17">
        <v>27.42</v>
      </c>
      <c r="AH795" s="17">
        <v>35.9</v>
      </c>
      <c r="AI795" s="17">
        <v>1.1419999999999999</v>
      </c>
      <c r="AJ795" s="17">
        <v>43.93</v>
      </c>
      <c r="AK795" s="17"/>
      <c r="AL795"/>
      <c r="AM795"/>
      <c r="AN795" s="17">
        <v>95</v>
      </c>
      <c r="AO795"/>
      <c r="AP795"/>
      <c r="AQ795"/>
      <c r="AR795"/>
      <c r="AS795"/>
      <c r="AT795" s="17" t="s">
        <v>175</v>
      </c>
      <c r="AU795" s="17"/>
    </row>
    <row r="796" spans="1:47" x14ac:dyDescent="0.2">
      <c r="A796" s="115">
        <v>794.00000000000045</v>
      </c>
      <c r="B796" s="3" t="s">
        <v>725</v>
      </c>
      <c r="C796" s="3">
        <v>21.794</v>
      </c>
      <c r="D796" s="125" t="s">
        <v>156</v>
      </c>
      <c r="E796" t="s">
        <v>491</v>
      </c>
      <c r="F796" s="3" t="s">
        <v>77</v>
      </c>
      <c r="G796" s="3" t="s">
        <v>77</v>
      </c>
      <c r="H796" s="17"/>
      <c r="I796" s="81">
        <v>44394</v>
      </c>
      <c r="J796" s="17" t="s">
        <v>142</v>
      </c>
      <c r="K796" s="17" t="s">
        <v>235</v>
      </c>
      <c r="L796"/>
      <c r="M796"/>
      <c r="N796" s="17">
        <v>258.45999999999998</v>
      </c>
      <c r="O796" s="17">
        <v>155.88999999999999</v>
      </c>
      <c r="P796" s="17">
        <v>166.93</v>
      </c>
      <c r="Q796" s="17">
        <v>23.2</v>
      </c>
      <c r="R796" s="17">
        <v>11.93</v>
      </c>
      <c r="S796" s="17">
        <v>120.73</v>
      </c>
      <c r="T796" s="17">
        <v>97.7</v>
      </c>
      <c r="U796" s="17">
        <v>61.8</v>
      </c>
      <c r="V796" s="17">
        <v>44.15</v>
      </c>
      <c r="W796" s="17">
        <v>68.319999999999993</v>
      </c>
      <c r="X796" s="17">
        <v>79.349999999999994</v>
      </c>
      <c r="Y796" s="17">
        <v>38.119999999999997</v>
      </c>
      <c r="Z796" s="17">
        <v>90.97</v>
      </c>
      <c r="AA796" s="17">
        <v>80.040000000000006</v>
      </c>
      <c r="AB796" s="17">
        <v>70.34</v>
      </c>
      <c r="AC796" s="17">
        <v>10.72</v>
      </c>
      <c r="AD796" s="17">
        <v>53.43</v>
      </c>
      <c r="AE796" s="17">
        <v>24.07</v>
      </c>
      <c r="AF796" s="17">
        <v>36.01</v>
      </c>
      <c r="AG796" s="17">
        <v>25.53</v>
      </c>
      <c r="AH796" s="17">
        <v>36.6</v>
      </c>
      <c r="AI796" s="17">
        <v>1.349</v>
      </c>
      <c r="AJ796" s="17">
        <v>45.73</v>
      </c>
      <c r="AK796" s="17"/>
      <c r="AL796"/>
      <c r="AM796"/>
      <c r="AN796" s="17">
        <v>111</v>
      </c>
      <c r="AO796"/>
      <c r="AP796"/>
      <c r="AQ796"/>
      <c r="AR796"/>
      <c r="AS796"/>
      <c r="AT796" s="17" t="s">
        <v>175</v>
      </c>
      <c r="AU796" s="17"/>
    </row>
    <row r="797" spans="1:47" x14ac:dyDescent="0.2">
      <c r="A797" s="115">
        <v>795.00000000000171</v>
      </c>
      <c r="B797" s="3" t="s">
        <v>726</v>
      </c>
      <c r="C797" s="3">
        <v>21.795000000000002</v>
      </c>
      <c r="D797" s="125" t="s">
        <v>156</v>
      </c>
      <c r="E797" t="s">
        <v>491</v>
      </c>
      <c r="F797" s="3" t="s">
        <v>77</v>
      </c>
      <c r="G797" s="3" t="s">
        <v>77</v>
      </c>
      <c r="H797" s="17"/>
      <c r="I797" s="81">
        <v>44405</v>
      </c>
      <c r="J797" s="17" t="s">
        <v>142</v>
      </c>
      <c r="K797" s="17" t="s">
        <v>235</v>
      </c>
      <c r="L797"/>
      <c r="M797"/>
      <c r="N797" s="17">
        <v>235.65</v>
      </c>
      <c r="O797" s="17">
        <v>170.9</v>
      </c>
      <c r="P797" s="17">
        <v>177.49</v>
      </c>
      <c r="Q797" s="17">
        <v>30.14</v>
      </c>
      <c r="R797" s="17">
        <v>22.07</v>
      </c>
      <c r="S797" s="17">
        <v>121.47</v>
      </c>
      <c r="T797" s="17">
        <v>97.48</v>
      </c>
      <c r="U797" s="17">
        <v>63.87</v>
      </c>
      <c r="V797" s="17">
        <v>46.73</v>
      </c>
      <c r="W797" s="17">
        <v>68.400000000000006</v>
      </c>
      <c r="X797" s="17">
        <v>82.97</v>
      </c>
      <c r="Y797" s="17">
        <v>41.16</v>
      </c>
      <c r="Z797" s="17">
        <v>92.62</v>
      </c>
      <c r="AA797" s="17">
        <v>82.39</v>
      </c>
      <c r="AB797" s="17">
        <v>73.709999999999994</v>
      </c>
      <c r="AC797" s="17">
        <v>12.59</v>
      </c>
      <c r="AD797" s="17">
        <v>50.9</v>
      </c>
      <c r="AE797" s="17">
        <v>27.52</v>
      </c>
      <c r="AF797" s="17">
        <v>36.409999999999997</v>
      </c>
      <c r="AG797" s="17">
        <v>30.56</v>
      </c>
      <c r="AH797" s="17">
        <v>36.42</v>
      </c>
      <c r="AI797" s="17">
        <v>1.0369999999999999</v>
      </c>
      <c r="AJ797" s="17">
        <v>59.3</v>
      </c>
      <c r="AK797" s="17"/>
      <c r="AL797"/>
      <c r="AM797"/>
      <c r="AN797" s="17">
        <v>77</v>
      </c>
      <c r="AO797"/>
      <c r="AP797"/>
      <c r="AQ797"/>
      <c r="AR797"/>
      <c r="AS797"/>
      <c r="AT797" s="17" t="s">
        <v>175</v>
      </c>
      <c r="AU797" s="17"/>
    </row>
    <row r="798" spans="1:47" x14ac:dyDescent="0.2">
      <c r="A798" s="115">
        <v>795.99999999999932</v>
      </c>
      <c r="B798" s="3" t="s">
        <v>727</v>
      </c>
      <c r="C798" s="3">
        <v>21.795999999999999</v>
      </c>
      <c r="D798" s="125" t="s">
        <v>156</v>
      </c>
      <c r="E798" t="s">
        <v>491</v>
      </c>
      <c r="F798" s="3" t="s">
        <v>77</v>
      </c>
      <c r="G798" s="3" t="s">
        <v>77</v>
      </c>
      <c r="H798" s="17"/>
      <c r="I798" s="81">
        <v>44394</v>
      </c>
      <c r="J798" s="17" t="s">
        <v>142</v>
      </c>
      <c r="K798" s="17" t="s">
        <v>235</v>
      </c>
      <c r="L798"/>
      <c r="M798"/>
      <c r="N798" s="17">
        <v>264.77999999999997</v>
      </c>
      <c r="O798" s="17">
        <v>153.46</v>
      </c>
      <c r="P798" s="17">
        <v>168.89</v>
      </c>
      <c r="Q798" s="17">
        <v>30.61</v>
      </c>
      <c r="R798" s="17">
        <v>8.7200000000000006</v>
      </c>
      <c r="S798" s="17">
        <v>117.59</v>
      </c>
      <c r="T798" s="17">
        <v>97.37</v>
      </c>
      <c r="U798" s="17">
        <v>58.82</v>
      </c>
      <c r="V798" s="17">
        <v>52</v>
      </c>
      <c r="W798" s="17">
        <v>63.92</v>
      </c>
      <c r="X798" s="17">
        <v>78.52</v>
      </c>
      <c r="Y798" s="17">
        <v>35.11</v>
      </c>
      <c r="Z798" s="17">
        <v>91.51</v>
      </c>
      <c r="AA798" s="17">
        <v>80.45</v>
      </c>
      <c r="AB798" s="17">
        <v>69.010000000000005</v>
      </c>
      <c r="AC798" s="17">
        <v>9.23</v>
      </c>
      <c r="AD798" s="17">
        <v>54.62</v>
      </c>
      <c r="AE798" s="17">
        <v>21.18</v>
      </c>
      <c r="AF798" s="17">
        <v>32.96</v>
      </c>
      <c r="AG798" s="17">
        <v>23.23</v>
      </c>
      <c r="AH798" s="17">
        <v>36.869999999999997</v>
      </c>
      <c r="AI798" s="17">
        <v>1.3340000000000001</v>
      </c>
      <c r="AJ798" s="17">
        <v>54.14</v>
      </c>
      <c r="AK798" s="17"/>
      <c r="AL798"/>
      <c r="AM798"/>
      <c r="AN798" s="17">
        <v>96</v>
      </c>
      <c r="AO798"/>
      <c r="AP798"/>
      <c r="AQ798"/>
      <c r="AR798"/>
      <c r="AS798"/>
      <c r="AT798" s="17" t="s">
        <v>175</v>
      </c>
      <c r="AU798" s="17"/>
    </row>
    <row r="799" spans="1:47" x14ac:dyDescent="0.2">
      <c r="A799" s="115">
        <v>797.00000000000057</v>
      </c>
      <c r="B799" s="3" t="s">
        <v>728</v>
      </c>
      <c r="C799" s="3">
        <v>21.797000000000001</v>
      </c>
      <c r="D799" s="125" t="s">
        <v>156</v>
      </c>
      <c r="E799" t="s">
        <v>491</v>
      </c>
      <c r="F799" s="3" t="s">
        <v>77</v>
      </c>
      <c r="G799" s="3" t="s">
        <v>77</v>
      </c>
      <c r="H799" s="17"/>
      <c r="I799" s="81">
        <v>44394</v>
      </c>
      <c r="J799" s="17" t="s">
        <v>142</v>
      </c>
      <c r="K799" s="17" t="s">
        <v>235</v>
      </c>
      <c r="L799"/>
      <c r="M799"/>
      <c r="N799" s="17">
        <v>244.37</v>
      </c>
      <c r="O799" s="17">
        <v>169.65</v>
      </c>
      <c r="P799" s="17">
        <v>173.58</v>
      </c>
      <c r="Q799" s="17">
        <v>28.41</v>
      </c>
      <c r="R799" s="17">
        <v>22.84</v>
      </c>
      <c r="S799" s="17">
        <v>121.28</v>
      </c>
      <c r="T799" s="17">
        <v>97.72</v>
      </c>
      <c r="U799" s="17">
        <v>64.040000000000006</v>
      </c>
      <c r="V799" s="17">
        <v>47.2</v>
      </c>
      <c r="W799" s="17">
        <v>66.95</v>
      </c>
      <c r="X799" s="17">
        <v>79.67</v>
      </c>
      <c r="Y799" s="17">
        <v>40.67</v>
      </c>
      <c r="Z799" s="17">
        <v>89.28</v>
      </c>
      <c r="AA799" s="17">
        <v>79.790000000000006</v>
      </c>
      <c r="AB799" s="17">
        <v>68.67</v>
      </c>
      <c r="AC799" s="17">
        <v>10.6</v>
      </c>
      <c r="AD799" s="17">
        <v>54.71</v>
      </c>
      <c r="AE799" s="17">
        <v>28.67</v>
      </c>
      <c r="AF799" s="17">
        <v>35.69</v>
      </c>
      <c r="AG799" s="17">
        <v>30.01</v>
      </c>
      <c r="AH799" s="17">
        <v>36.479999999999997</v>
      </c>
      <c r="AI799" s="17">
        <v>1.0369999999999999</v>
      </c>
      <c r="AJ799" s="17">
        <v>55.56</v>
      </c>
      <c r="AK799" s="17"/>
      <c r="AL799"/>
      <c r="AM799"/>
      <c r="AN799" s="17">
        <v>87</v>
      </c>
      <c r="AO799"/>
      <c r="AP799"/>
      <c r="AQ799"/>
      <c r="AR799"/>
      <c r="AS799"/>
      <c r="AT799" s="17" t="s">
        <v>175</v>
      </c>
      <c r="AU799" s="17"/>
    </row>
    <row r="800" spans="1:47" x14ac:dyDescent="0.2">
      <c r="A800" s="115">
        <v>797.99999999999829</v>
      </c>
      <c r="B800" s="3">
        <v>200</v>
      </c>
      <c r="C800" s="3">
        <v>21.797999999999998</v>
      </c>
      <c r="D800" s="126" t="s">
        <v>168</v>
      </c>
      <c r="E800" t="s">
        <v>169</v>
      </c>
      <c r="F800" s="17" t="s">
        <v>170</v>
      </c>
      <c r="G800" s="9" t="s">
        <v>30</v>
      </c>
      <c r="H800" s="17"/>
      <c r="I800" s="81">
        <v>44488</v>
      </c>
      <c r="J800" s="17" t="s">
        <v>142</v>
      </c>
      <c r="K800" s="17" t="s">
        <v>235</v>
      </c>
      <c r="L800"/>
      <c r="M800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/>
      <c r="AJ800"/>
      <c r="AK800"/>
      <c r="AL800"/>
      <c r="AM800"/>
      <c r="AN800"/>
      <c r="AO800"/>
      <c r="AP800"/>
      <c r="AQ800"/>
      <c r="AR800"/>
      <c r="AS800"/>
      <c r="AT800" s="17" t="s">
        <v>168</v>
      </c>
      <c r="AU800" s="17"/>
    </row>
    <row r="801" spans="1:47" x14ac:dyDescent="0.2">
      <c r="A801" s="115">
        <v>798.99999999999955</v>
      </c>
      <c r="B801" s="3">
        <v>201</v>
      </c>
      <c r="C801" s="3">
        <v>21.798999999999999</v>
      </c>
      <c r="D801" s="126" t="s">
        <v>168</v>
      </c>
      <c r="E801" t="s">
        <v>169</v>
      </c>
      <c r="F801" s="17" t="s">
        <v>170</v>
      </c>
      <c r="H801" s="9" t="s">
        <v>171</v>
      </c>
      <c r="I801" s="81">
        <v>44488</v>
      </c>
      <c r="J801" s="17" t="s">
        <v>142</v>
      </c>
      <c r="K801" s="17" t="s">
        <v>235</v>
      </c>
      <c r="L801"/>
      <c r="M801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/>
      <c r="AJ801"/>
      <c r="AK801"/>
      <c r="AL801"/>
      <c r="AM801"/>
      <c r="AN801"/>
      <c r="AO801"/>
      <c r="AP801"/>
      <c r="AQ801"/>
      <c r="AR801"/>
      <c r="AS801"/>
      <c r="AT801" s="17" t="s">
        <v>168</v>
      </c>
      <c r="AU801" s="17"/>
    </row>
    <row r="802" spans="1:47" x14ac:dyDescent="0.2">
      <c r="A802" s="115">
        <v>800.00000000000068</v>
      </c>
      <c r="B802" s="3">
        <v>206</v>
      </c>
      <c r="C802" s="2" t="s">
        <v>13</v>
      </c>
      <c r="D802" s="126" t="s">
        <v>168</v>
      </c>
      <c r="E802" t="s">
        <v>169</v>
      </c>
      <c r="F802" s="17" t="s">
        <v>170</v>
      </c>
      <c r="G802" s="9" t="s">
        <v>30</v>
      </c>
      <c r="H802" s="17"/>
      <c r="I802" s="81">
        <v>44503</v>
      </c>
      <c r="J802" s="17" t="s">
        <v>142</v>
      </c>
      <c r="K802" s="17" t="s">
        <v>235</v>
      </c>
      <c r="L802"/>
      <c r="M802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/>
      <c r="AJ802"/>
      <c r="AK802"/>
      <c r="AL802"/>
      <c r="AM802"/>
      <c r="AN802"/>
      <c r="AO802"/>
      <c r="AP802"/>
      <c r="AQ802"/>
      <c r="AR802"/>
      <c r="AS802"/>
      <c r="AT802" s="17" t="s">
        <v>168</v>
      </c>
      <c r="AU802" s="17"/>
    </row>
    <row r="803" spans="1:47" x14ac:dyDescent="0.2">
      <c r="A803" s="115">
        <v>800.99999999999841</v>
      </c>
      <c r="B803" s="3">
        <v>204</v>
      </c>
      <c r="C803" s="3">
        <v>21.800999999999998</v>
      </c>
      <c r="D803" s="126" t="s">
        <v>168</v>
      </c>
      <c r="E803" t="s">
        <v>169</v>
      </c>
      <c r="F803" s="17" t="s">
        <v>170</v>
      </c>
      <c r="G803" s="9" t="s">
        <v>30</v>
      </c>
      <c r="H803" s="17"/>
      <c r="I803" s="81">
        <v>44489</v>
      </c>
      <c r="J803" s="17" t="s">
        <v>142</v>
      </c>
      <c r="K803" s="17" t="s">
        <v>235</v>
      </c>
      <c r="L803"/>
      <c r="M803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/>
      <c r="AJ803"/>
      <c r="AK803"/>
      <c r="AL803"/>
      <c r="AM803"/>
      <c r="AN803"/>
      <c r="AO803"/>
      <c r="AP803"/>
      <c r="AQ803"/>
      <c r="AR803"/>
      <c r="AS803"/>
      <c r="AT803" s="17" t="s">
        <v>168</v>
      </c>
      <c r="AU803" s="17"/>
    </row>
    <row r="804" spans="1:47" x14ac:dyDescent="0.2">
      <c r="A804" s="115">
        <v>801.99999999999955</v>
      </c>
      <c r="B804" s="3">
        <v>208</v>
      </c>
      <c r="C804" s="3">
        <v>21.802</v>
      </c>
      <c r="D804" s="126" t="s">
        <v>168</v>
      </c>
      <c r="E804" t="s">
        <v>169</v>
      </c>
      <c r="F804" s="17" t="s">
        <v>170</v>
      </c>
      <c r="G804" s="9" t="s">
        <v>30</v>
      </c>
      <c r="H804" s="17"/>
      <c r="I804" s="81">
        <v>44504</v>
      </c>
      <c r="J804" s="17" t="s">
        <v>142</v>
      </c>
      <c r="K804" s="17" t="s">
        <v>235</v>
      </c>
      <c r="L804"/>
      <c r="M80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/>
      <c r="AJ804"/>
      <c r="AK804"/>
      <c r="AL804"/>
      <c r="AM804"/>
      <c r="AN804"/>
      <c r="AO804"/>
      <c r="AP804"/>
      <c r="AQ804"/>
      <c r="AR804"/>
      <c r="AS804"/>
      <c r="AT804" s="17" t="s">
        <v>168</v>
      </c>
      <c r="AU804" s="17"/>
    </row>
    <row r="805" spans="1:47" x14ac:dyDescent="0.2">
      <c r="A805" s="115">
        <v>803.0000000000008</v>
      </c>
      <c r="B805" s="3">
        <v>256</v>
      </c>
      <c r="C805" s="3">
        <v>21.803000000000001</v>
      </c>
      <c r="D805" s="126" t="s">
        <v>168</v>
      </c>
      <c r="E805" t="s">
        <v>169</v>
      </c>
      <c r="F805" s="17" t="s">
        <v>170</v>
      </c>
      <c r="G805" s="9" t="s">
        <v>30</v>
      </c>
      <c r="H805" s="17"/>
      <c r="I805" s="81">
        <v>44531</v>
      </c>
      <c r="J805" s="17" t="s">
        <v>142</v>
      </c>
      <c r="K805" s="17" t="s">
        <v>235</v>
      </c>
      <c r="L805"/>
      <c r="M805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/>
      <c r="AJ805"/>
      <c r="AK805"/>
      <c r="AL805"/>
      <c r="AM805"/>
      <c r="AN805"/>
      <c r="AO805"/>
      <c r="AP805"/>
      <c r="AQ805"/>
      <c r="AR805"/>
      <c r="AS805"/>
      <c r="AT805" s="17" t="s">
        <v>168</v>
      </c>
      <c r="AU805" s="17"/>
    </row>
    <row r="806" spans="1:47" x14ac:dyDescent="0.2">
      <c r="A806" s="115">
        <v>803.99999999999852</v>
      </c>
      <c r="B806" s="3">
        <v>226</v>
      </c>
      <c r="C806" s="4">
        <v>21.803999999999998</v>
      </c>
      <c r="D806" s="126" t="s">
        <v>168</v>
      </c>
      <c r="E806" t="s">
        <v>232</v>
      </c>
      <c r="F806" s="17" t="s">
        <v>251</v>
      </c>
      <c r="G806" s="3" t="s">
        <v>32</v>
      </c>
      <c r="H806" s="17"/>
      <c r="I806" s="82">
        <v>44503</v>
      </c>
      <c r="J806" s="17" t="s">
        <v>142</v>
      </c>
      <c r="K806" s="17" t="s">
        <v>235</v>
      </c>
      <c r="L806" s="17"/>
      <c r="M806" s="17"/>
      <c r="N806" s="17">
        <v>292.5</v>
      </c>
      <c r="O806" s="17">
        <v>218.81</v>
      </c>
      <c r="P806" s="17">
        <f>206.4+18.98</f>
        <v>225.38</v>
      </c>
      <c r="Q806" s="17">
        <v>48.27</v>
      </c>
      <c r="R806" s="17">
        <v>33.72</v>
      </c>
      <c r="S806" s="17">
        <v>143.85</v>
      </c>
      <c r="T806" s="17">
        <v>110.02</v>
      </c>
      <c r="U806" s="50">
        <v>71.3</v>
      </c>
      <c r="V806" s="50">
        <v>54.99</v>
      </c>
      <c r="W806" s="50">
        <v>75.22</v>
      </c>
      <c r="X806" s="50">
        <v>99.22</v>
      </c>
      <c r="Y806" s="50">
        <v>44.07</v>
      </c>
      <c r="Z806" s="50">
        <v>103</v>
      </c>
      <c r="AA806" s="50">
        <v>86.94</v>
      </c>
      <c r="AB806" s="50">
        <v>78.05</v>
      </c>
      <c r="AC806" s="50">
        <v>4.66</v>
      </c>
      <c r="AD806" s="50">
        <v>52.26</v>
      </c>
      <c r="AE806" s="17">
        <v>39.31</v>
      </c>
      <c r="AF806" s="17">
        <v>45.32</v>
      </c>
      <c r="AG806" s="17">
        <v>41.06</v>
      </c>
      <c r="AH806" s="17">
        <v>49.5</v>
      </c>
      <c r="AI806" s="17">
        <v>1.0289999999999999</v>
      </c>
      <c r="AJ806" s="17">
        <v>57.43</v>
      </c>
      <c r="AK806" s="17"/>
      <c r="AL806" s="17"/>
      <c r="AM806" s="17"/>
      <c r="AN806" s="17">
        <v>120</v>
      </c>
      <c r="AO806" s="17"/>
      <c r="AP806" s="17"/>
      <c r="AQ806" s="17"/>
      <c r="AR806" s="17"/>
      <c r="AS806" s="17"/>
      <c r="AT806" s="3"/>
      <c r="AU806" s="3"/>
    </row>
    <row r="807" spans="1:47" x14ac:dyDescent="0.2">
      <c r="A807" s="115">
        <v>804.99999999999977</v>
      </c>
      <c r="B807" s="3">
        <v>268</v>
      </c>
      <c r="C807" s="3">
        <v>21.805</v>
      </c>
      <c r="D807" s="126" t="s">
        <v>168</v>
      </c>
      <c r="E807" t="s">
        <v>169</v>
      </c>
      <c r="F807" s="17" t="s">
        <v>170</v>
      </c>
      <c r="G807" s="9" t="s">
        <v>30</v>
      </c>
      <c r="H807" s="17"/>
      <c r="I807" s="81">
        <v>44543</v>
      </c>
      <c r="J807" s="17" t="s">
        <v>142</v>
      </c>
      <c r="K807" s="17" t="s">
        <v>235</v>
      </c>
      <c r="L807"/>
      <c r="M807"/>
      <c r="N807" s="17">
        <v>316.60000000000002</v>
      </c>
      <c r="O807" s="17">
        <v>193.81</v>
      </c>
      <c r="P807" s="17">
        <v>197.15</v>
      </c>
      <c r="Q807" s="17">
        <v>40.369999999999997</v>
      </c>
      <c r="R807" s="17">
        <v>27.98</v>
      </c>
      <c r="S807" s="17">
        <v>130.38999999999999</v>
      </c>
      <c r="T807" s="17">
        <v>108.04</v>
      </c>
      <c r="U807" s="17">
        <v>76.489999999999995</v>
      </c>
      <c r="V807" s="17">
        <v>54.07</v>
      </c>
      <c r="W807" s="17">
        <v>80.3</v>
      </c>
      <c r="X807" s="17">
        <v>103.9</v>
      </c>
      <c r="Y807" s="17">
        <v>45.11</v>
      </c>
      <c r="Z807" s="17">
        <v>110.79</v>
      </c>
      <c r="AA807" s="17">
        <v>91.13</v>
      </c>
      <c r="AB807" s="17">
        <v>86.81</v>
      </c>
      <c r="AC807" s="17">
        <v>1</v>
      </c>
      <c r="AD807" s="17">
        <v>52.31</v>
      </c>
      <c r="AE807" s="17">
        <v>33.15</v>
      </c>
      <c r="AF807" s="17">
        <v>44.73</v>
      </c>
      <c r="AG807" s="17">
        <v>35.51</v>
      </c>
      <c r="AH807" s="17">
        <v>44.17</v>
      </c>
      <c r="AI807" s="17">
        <v>1.371</v>
      </c>
      <c r="AJ807" s="17">
        <v>56.3</v>
      </c>
      <c r="AK807" s="17"/>
      <c r="AL807"/>
      <c r="AM807"/>
      <c r="AN807" s="17">
        <v>136</v>
      </c>
      <c r="AO807"/>
      <c r="AP807"/>
      <c r="AQ807"/>
      <c r="AR807"/>
      <c r="AS807"/>
      <c r="AT807" s="17"/>
      <c r="AU807" s="17"/>
    </row>
    <row r="808" spans="1:47" x14ac:dyDescent="0.2">
      <c r="A808" s="115">
        <v>806.00000000000091</v>
      </c>
      <c r="B808" s="3">
        <v>235</v>
      </c>
      <c r="C808" s="3">
        <v>21.806000000000001</v>
      </c>
      <c r="D808" s="126" t="s">
        <v>168</v>
      </c>
      <c r="E808" t="s">
        <v>232</v>
      </c>
      <c r="F808" s="17" t="s">
        <v>251</v>
      </c>
      <c r="H808" s="3" t="s">
        <v>498</v>
      </c>
      <c r="I808" s="81">
        <v>44512</v>
      </c>
      <c r="J808" s="17" t="s">
        <v>142</v>
      </c>
      <c r="K808" s="17" t="s">
        <v>235</v>
      </c>
      <c r="L808"/>
      <c r="M808"/>
      <c r="N808" s="17">
        <v>307.79000000000002</v>
      </c>
      <c r="O808" s="17">
        <v>169.77</v>
      </c>
      <c r="P808" s="17">
        <v>181.63</v>
      </c>
      <c r="Q808" s="17">
        <v>31.95</v>
      </c>
      <c r="R808" s="17">
        <v>16.399999999999999</v>
      </c>
      <c r="S808" s="17">
        <v>127.32</v>
      </c>
      <c r="T808" s="17">
        <v>104.12</v>
      </c>
      <c r="U808" s="17">
        <v>71.47</v>
      </c>
      <c r="V808" s="17">
        <v>56.04</v>
      </c>
      <c r="W808" s="17">
        <v>72.489999999999995</v>
      </c>
      <c r="X808" s="17">
        <v>90.3</v>
      </c>
      <c r="Y808" s="17">
        <v>45.42</v>
      </c>
      <c r="Z808" s="17">
        <v>100.5</v>
      </c>
      <c r="AA808" s="17">
        <v>87.47</v>
      </c>
      <c r="AB808" s="17">
        <v>81.48</v>
      </c>
      <c r="AC808" s="17">
        <v>13.8</v>
      </c>
      <c r="AD808" s="17">
        <v>57.76</v>
      </c>
      <c r="AE808" s="17">
        <v>29.79</v>
      </c>
      <c r="AF808" s="17">
        <v>40.090000000000003</v>
      </c>
      <c r="AG808" s="17">
        <v>34.630000000000003</v>
      </c>
      <c r="AH808" s="17">
        <v>44.24</v>
      </c>
      <c r="AI808" s="17">
        <v>1.488</v>
      </c>
      <c r="AJ808" s="17">
        <v>45.87</v>
      </c>
      <c r="AK808" s="17"/>
      <c r="AL808"/>
      <c r="AM808"/>
      <c r="AN808">
        <v>180</v>
      </c>
      <c r="AO808"/>
      <c r="AP808"/>
      <c r="AQ808"/>
      <c r="AR808"/>
      <c r="AS808"/>
    </row>
    <row r="809" spans="1:47" x14ac:dyDescent="0.2">
      <c r="A809" s="115">
        <v>806.99999999999864</v>
      </c>
      <c r="B809" s="3">
        <v>257</v>
      </c>
      <c r="C809" s="3">
        <v>21.806999999999999</v>
      </c>
      <c r="D809" s="126" t="s">
        <v>168</v>
      </c>
      <c r="E809" t="s">
        <v>169</v>
      </c>
      <c r="F809" s="17" t="s">
        <v>170</v>
      </c>
      <c r="G809" s="9" t="s">
        <v>30</v>
      </c>
      <c r="I809" s="81">
        <v>44531</v>
      </c>
      <c r="J809" s="17" t="s">
        <v>142</v>
      </c>
      <c r="K809" s="17" t="s">
        <v>235</v>
      </c>
      <c r="L809"/>
      <c r="M809"/>
      <c r="N809" s="17">
        <v>301.69</v>
      </c>
      <c r="O809" s="17">
        <v>181.99</v>
      </c>
      <c r="P809" s="17">
        <v>183.73</v>
      </c>
      <c r="Q809" s="17">
        <v>35.68</v>
      </c>
      <c r="R809" s="17">
        <v>23.83</v>
      </c>
      <c r="S809" s="17">
        <v>124.27</v>
      </c>
      <c r="T809" s="17">
        <v>104.58</v>
      </c>
      <c r="U809" s="17">
        <v>75.540000000000006</v>
      </c>
      <c r="V809" s="17">
        <v>50.33</v>
      </c>
      <c r="W809" s="17">
        <v>78.52</v>
      </c>
      <c r="X809" s="17">
        <v>100.53</v>
      </c>
      <c r="Y809" s="17">
        <v>41.38</v>
      </c>
      <c r="Z809" s="17">
        <v>108.96</v>
      </c>
      <c r="AA809" s="17">
        <v>91.87</v>
      </c>
      <c r="AB809" s="17">
        <v>85.95</v>
      </c>
      <c r="AC809" s="17">
        <v>0.02</v>
      </c>
      <c r="AD809" s="17">
        <v>53.69</v>
      </c>
      <c r="AE809" s="17">
        <v>32.33</v>
      </c>
      <c r="AF809" s="17">
        <v>38.57</v>
      </c>
      <c r="AG809" s="17">
        <v>30.97</v>
      </c>
      <c r="AH809" s="17">
        <v>37.28</v>
      </c>
      <c r="AI809" s="17">
        <v>1.1850000000000001</v>
      </c>
      <c r="AJ809" s="17">
        <v>54.98</v>
      </c>
      <c r="AK809" s="17"/>
      <c r="AL809"/>
      <c r="AM809"/>
      <c r="AN809" s="17">
        <v>143</v>
      </c>
      <c r="AO809"/>
      <c r="AP809"/>
      <c r="AQ809"/>
      <c r="AR809"/>
      <c r="AS809"/>
    </row>
    <row r="810" spans="1:47" x14ac:dyDescent="0.2">
      <c r="A810" s="115">
        <v>807.99999999999977</v>
      </c>
      <c r="B810" s="3">
        <v>266</v>
      </c>
      <c r="C810" s="4">
        <v>21.808</v>
      </c>
      <c r="D810" s="126" t="s">
        <v>168</v>
      </c>
      <c r="E810" t="s">
        <v>169</v>
      </c>
      <c r="F810" s="17" t="s">
        <v>170</v>
      </c>
      <c r="G810" s="9" t="s">
        <v>30</v>
      </c>
      <c r="I810" s="81">
        <v>44540</v>
      </c>
      <c r="J810" s="17" t="s">
        <v>142</v>
      </c>
      <c r="K810" s="17" t="s">
        <v>235</v>
      </c>
      <c r="L810"/>
      <c r="M810"/>
      <c r="N810" s="17">
        <v>296.83999999999997</v>
      </c>
      <c r="O810" s="17">
        <v>191.81</v>
      </c>
      <c r="P810" s="17">
        <v>202.83</v>
      </c>
      <c r="Q810" s="17">
        <v>37.9</v>
      </c>
      <c r="R810" s="17">
        <v>31.48</v>
      </c>
      <c r="S810" s="17">
        <v>125.96</v>
      </c>
      <c r="T810" s="17">
        <v>103.58</v>
      </c>
      <c r="U810" s="17">
        <v>77.56</v>
      </c>
      <c r="V810" s="17">
        <v>54.27</v>
      </c>
      <c r="W810" s="17">
        <v>77.27</v>
      </c>
      <c r="X810" s="17">
        <v>97.51</v>
      </c>
      <c r="Y810" s="17">
        <v>45.5</v>
      </c>
      <c r="Z810" s="17">
        <v>107.27</v>
      </c>
      <c r="AA810" s="17">
        <v>90.58</v>
      </c>
      <c r="AB810" s="17">
        <v>82.56</v>
      </c>
      <c r="AC810" s="17">
        <v>1.25</v>
      </c>
      <c r="AD810" s="17">
        <v>54.73</v>
      </c>
      <c r="AE810" s="17">
        <v>33.82</v>
      </c>
      <c r="AF810" s="17">
        <v>39.58</v>
      </c>
      <c r="AG810" s="17">
        <v>37.81</v>
      </c>
      <c r="AH810" s="17">
        <v>36.340000000000003</v>
      </c>
      <c r="AI810" s="17">
        <v>1.175</v>
      </c>
      <c r="AJ810" s="17">
        <v>51.78</v>
      </c>
      <c r="AK810" s="17"/>
      <c r="AL810"/>
      <c r="AM810"/>
      <c r="AN810" s="17">
        <v>130</v>
      </c>
      <c r="AO810"/>
      <c r="AP810"/>
      <c r="AQ810"/>
      <c r="AR810"/>
      <c r="AS810"/>
    </row>
    <row r="811" spans="1:47" x14ac:dyDescent="0.2">
      <c r="A811" s="115">
        <v>809.00000000000102</v>
      </c>
      <c r="B811" s="3">
        <v>242</v>
      </c>
      <c r="C811" s="3">
        <v>21.809000000000001</v>
      </c>
      <c r="D811" s="126" t="s">
        <v>168</v>
      </c>
      <c r="E811" t="s">
        <v>232</v>
      </c>
      <c r="F811" s="17" t="s">
        <v>251</v>
      </c>
      <c r="G811" s="3" t="s">
        <v>32</v>
      </c>
      <c r="I811" s="81">
        <v>44532</v>
      </c>
      <c r="J811" s="17" t="s">
        <v>142</v>
      </c>
      <c r="K811" s="17" t="s">
        <v>235</v>
      </c>
      <c r="L811"/>
      <c r="M811"/>
      <c r="N811" s="17">
        <v>301.91000000000003</v>
      </c>
      <c r="O811" s="17">
        <v>193.97</v>
      </c>
      <c r="P811" s="17">
        <v>205.38</v>
      </c>
      <c r="Q811" s="17">
        <v>40.83</v>
      </c>
      <c r="R811" s="17">
        <v>20.46</v>
      </c>
      <c r="S811" s="17">
        <v>138.47999999999999</v>
      </c>
      <c r="T811" s="17">
        <v>107.51</v>
      </c>
      <c r="U811" s="17">
        <v>69.489999999999995</v>
      </c>
      <c r="V811" s="17">
        <v>53.66</v>
      </c>
      <c r="W811" s="17">
        <v>74.33</v>
      </c>
      <c r="X811" s="17">
        <v>98.58</v>
      </c>
      <c r="Y811" s="17">
        <v>43.66</v>
      </c>
      <c r="Z811" s="17">
        <v>102.58</v>
      </c>
      <c r="AA811" s="17">
        <v>87.94</v>
      </c>
      <c r="AB811" s="17">
        <v>75.569999999999993</v>
      </c>
      <c r="AC811" s="17">
        <v>1.81</v>
      </c>
      <c r="AD811" s="17">
        <v>55.19</v>
      </c>
      <c r="AE811" s="17">
        <v>28.44</v>
      </c>
      <c r="AF811" s="17">
        <v>45.69</v>
      </c>
      <c r="AG811" s="17">
        <v>37.11</v>
      </c>
      <c r="AH811" s="17">
        <v>50.23</v>
      </c>
      <c r="AI811" s="17">
        <v>1.1559999999999999</v>
      </c>
      <c r="AJ811" s="17">
        <v>55.82</v>
      </c>
      <c r="AK811" s="17"/>
      <c r="AL811"/>
      <c r="AM811"/>
      <c r="AN811" s="17">
        <v>153</v>
      </c>
      <c r="AO811"/>
      <c r="AP811"/>
      <c r="AQ811"/>
      <c r="AR811"/>
      <c r="AS811"/>
    </row>
    <row r="812" spans="1:47" x14ac:dyDescent="0.2">
      <c r="A812" s="115">
        <v>809.99999999999875</v>
      </c>
      <c r="B812" s="3">
        <v>213</v>
      </c>
      <c r="C812" s="2" t="s">
        <v>6</v>
      </c>
      <c r="D812" s="126" t="s">
        <v>168</v>
      </c>
      <c r="E812" t="s">
        <v>169</v>
      </c>
      <c r="F812" s="17" t="s">
        <v>170</v>
      </c>
      <c r="H812" s="9" t="s">
        <v>234</v>
      </c>
      <c r="I812" s="81">
        <v>44518</v>
      </c>
      <c r="J812" s="17" t="s">
        <v>142</v>
      </c>
      <c r="K812" s="17" t="s">
        <v>235</v>
      </c>
      <c r="L812"/>
      <c r="M812"/>
      <c r="N812" s="17">
        <v>293.95</v>
      </c>
      <c r="O812" s="17">
        <v>169.44</v>
      </c>
      <c r="P812" s="17">
        <v>177.04</v>
      </c>
      <c r="Q812" s="17">
        <v>30.79</v>
      </c>
      <c r="R812" s="17">
        <v>11.24</v>
      </c>
      <c r="S812" s="17">
        <v>127.8</v>
      </c>
      <c r="T812" s="17">
        <v>102.03</v>
      </c>
      <c r="U812" s="17">
        <v>69.77</v>
      </c>
      <c r="V812" s="17">
        <v>55.37</v>
      </c>
      <c r="W812" s="17">
        <v>70.92</v>
      </c>
      <c r="X812" s="17">
        <v>85.91</v>
      </c>
      <c r="Y812" s="17">
        <v>44.1</v>
      </c>
      <c r="Z812" s="17">
        <v>95.73</v>
      </c>
      <c r="AA812" s="17">
        <v>82.86</v>
      </c>
      <c r="AB812" s="17">
        <v>79.069999999999993</v>
      </c>
      <c r="AC812" s="17">
        <v>10.46</v>
      </c>
      <c r="AD812" s="17">
        <v>56.57</v>
      </c>
      <c r="AE812" s="17">
        <v>27.26</v>
      </c>
      <c r="AF812" s="17">
        <v>40.17</v>
      </c>
      <c r="AG812" s="17">
        <v>30.55</v>
      </c>
      <c r="AH812" s="17">
        <v>41.03</v>
      </c>
      <c r="AI812" s="17">
        <v>1.349</v>
      </c>
      <c r="AJ812" s="17">
        <v>46.04</v>
      </c>
      <c r="AK812" s="17"/>
      <c r="AL812"/>
      <c r="AM812"/>
      <c r="AN812" s="17">
        <v>134</v>
      </c>
      <c r="AO812"/>
      <c r="AP812"/>
      <c r="AQ812"/>
      <c r="AR812"/>
      <c r="AS812"/>
    </row>
    <row r="813" spans="1:47" x14ac:dyDescent="0.2">
      <c r="A813" s="115">
        <v>811</v>
      </c>
      <c r="B813" s="3">
        <v>267</v>
      </c>
      <c r="C813" s="3">
        <v>21.811</v>
      </c>
      <c r="D813" s="126" t="s">
        <v>168</v>
      </c>
      <c r="E813" t="s">
        <v>169</v>
      </c>
      <c r="F813" s="17" t="s">
        <v>170</v>
      </c>
      <c r="G813" s="9" t="s">
        <v>30</v>
      </c>
      <c r="I813" s="81">
        <v>44543</v>
      </c>
      <c r="J813" s="17" t="s">
        <v>142</v>
      </c>
      <c r="K813" s="17" t="s">
        <v>235</v>
      </c>
      <c r="L813"/>
      <c r="M813"/>
      <c r="N813" s="50">
        <v>296</v>
      </c>
      <c r="O813" s="17">
        <v>187.85</v>
      </c>
      <c r="P813" s="17">
        <v>198.85</v>
      </c>
      <c r="Q813" s="17">
        <v>41.86</v>
      </c>
      <c r="R813" s="17">
        <v>28.58</v>
      </c>
      <c r="S813" s="17">
        <v>122.08</v>
      </c>
      <c r="T813" s="17">
        <v>97.55</v>
      </c>
      <c r="U813" s="17">
        <v>75.73</v>
      </c>
      <c r="V813" s="17">
        <v>56.1</v>
      </c>
      <c r="W813" s="17">
        <v>77.19</v>
      </c>
      <c r="X813" s="17">
        <v>97.19</v>
      </c>
      <c r="Y813" s="17">
        <v>47.1</v>
      </c>
      <c r="Z813" s="17">
        <v>108.56</v>
      </c>
      <c r="AA813" s="17">
        <v>90.84</v>
      </c>
      <c r="AB813" s="17">
        <v>85.76</v>
      </c>
      <c r="AC813" s="17">
        <v>6.35</v>
      </c>
      <c r="AD813" s="17">
        <v>54.49</v>
      </c>
      <c r="AE813" s="17">
        <v>33.9</v>
      </c>
      <c r="AF813" s="17">
        <v>43.14</v>
      </c>
      <c r="AG813" s="17">
        <v>30.44</v>
      </c>
      <c r="AH813" s="17">
        <v>41.39</v>
      </c>
      <c r="AI813" s="17">
        <v>1.1819999999999999</v>
      </c>
      <c r="AJ813" s="17">
        <v>50.03</v>
      </c>
      <c r="AK813" s="17"/>
      <c r="AL813"/>
      <c r="AM813"/>
      <c r="AN813" s="17">
        <v>123</v>
      </c>
      <c r="AO813"/>
      <c r="AP813"/>
      <c r="AQ813"/>
      <c r="AR813"/>
      <c r="AS813"/>
    </row>
    <row r="814" spans="1:47" x14ac:dyDescent="0.2">
      <c r="A814" s="115">
        <v>812.00000000000114</v>
      </c>
      <c r="B814" s="3">
        <v>361</v>
      </c>
      <c r="C814" s="4">
        <v>21.812000000000001</v>
      </c>
      <c r="D814" s="126" t="s">
        <v>168</v>
      </c>
      <c r="E814" t="s">
        <v>169</v>
      </c>
      <c r="F814" s="17" t="s">
        <v>170</v>
      </c>
      <c r="G814" s="9" t="s">
        <v>30</v>
      </c>
      <c r="I814" s="81">
        <v>44545</v>
      </c>
      <c r="J814" s="17" t="s">
        <v>142</v>
      </c>
      <c r="K814" s="17" t="s">
        <v>235</v>
      </c>
      <c r="L814"/>
      <c r="M814"/>
      <c r="N814" s="17">
        <v>301.04000000000002</v>
      </c>
      <c r="O814" s="17">
        <v>192.22</v>
      </c>
      <c r="P814" s="17">
        <v>197.58</v>
      </c>
      <c r="Q814" s="17">
        <v>37.99</v>
      </c>
      <c r="R814" s="17">
        <v>27.16</v>
      </c>
      <c r="S814" s="17">
        <v>128.13999999999999</v>
      </c>
      <c r="T814" s="17">
        <v>107.65</v>
      </c>
      <c r="U814" s="17">
        <v>78.44</v>
      </c>
      <c r="V814" s="17">
        <v>53.29</v>
      </c>
      <c r="W814" s="17">
        <v>79.41</v>
      </c>
      <c r="X814" s="17">
        <v>102.64</v>
      </c>
      <c r="Y814" s="17">
        <v>48.02</v>
      </c>
      <c r="Z814" s="17">
        <v>109.31</v>
      </c>
      <c r="AA814" s="17">
        <v>93.19</v>
      </c>
      <c r="AB814" s="17">
        <v>87.23</v>
      </c>
      <c r="AC814" s="17">
        <v>4.8</v>
      </c>
      <c r="AD814" s="17">
        <v>52.79</v>
      </c>
      <c r="AE814" s="17">
        <v>27.31</v>
      </c>
      <c r="AF814" s="17">
        <v>37.51</v>
      </c>
      <c r="AG814" s="17">
        <v>34.26</v>
      </c>
      <c r="AH814" s="17">
        <v>39.909999999999997</v>
      </c>
      <c r="AI814" s="17">
        <v>1.167</v>
      </c>
      <c r="AJ814" s="17">
        <v>49.48</v>
      </c>
      <c r="AK814" s="17"/>
      <c r="AL814"/>
      <c r="AM814"/>
      <c r="AN814" s="17">
        <v>130</v>
      </c>
      <c r="AO814"/>
      <c r="AP814"/>
      <c r="AQ814"/>
      <c r="AR814"/>
      <c r="AS814"/>
    </row>
    <row r="815" spans="1:47" x14ac:dyDescent="0.2">
      <c r="A815" s="115">
        <v>812.99999999999886</v>
      </c>
      <c r="B815" s="3">
        <v>243</v>
      </c>
      <c r="C815" s="3">
        <v>21.812999999999999</v>
      </c>
      <c r="D815" s="126" t="s">
        <v>168</v>
      </c>
      <c r="E815" t="s">
        <v>232</v>
      </c>
      <c r="F815" s="17" t="s">
        <v>251</v>
      </c>
      <c r="G815" s="3" t="s">
        <v>32</v>
      </c>
      <c r="I815" s="81">
        <v>44534</v>
      </c>
      <c r="J815" s="17" t="s">
        <v>142</v>
      </c>
      <c r="K815" s="17" t="s">
        <v>235</v>
      </c>
      <c r="L815"/>
      <c r="M815"/>
      <c r="N815" s="17">
        <v>281.39999999999998</v>
      </c>
      <c r="O815" s="17">
        <v>185.87</v>
      </c>
      <c r="P815" s="17">
        <v>199.54</v>
      </c>
      <c r="Q815" s="17">
        <v>41.23</v>
      </c>
      <c r="R815" s="17">
        <v>17.190000000000001</v>
      </c>
      <c r="S815" s="17">
        <v>135.65</v>
      </c>
      <c r="T815" s="17">
        <v>107.28</v>
      </c>
      <c r="U815" s="17">
        <v>72.09</v>
      </c>
      <c r="V815" s="17">
        <v>52.15</v>
      </c>
      <c r="W815" s="17">
        <v>75.97</v>
      </c>
      <c r="X815" s="17">
        <v>98.35</v>
      </c>
      <c r="Y815" s="17">
        <v>46.17</v>
      </c>
      <c r="Z815" s="17">
        <v>103.94</v>
      </c>
      <c r="AA815" s="17">
        <v>89.62</v>
      </c>
      <c r="AB815" s="17">
        <v>77.23</v>
      </c>
      <c r="AC815" s="17">
        <v>3.64</v>
      </c>
      <c r="AD815" s="17">
        <v>50.99</v>
      </c>
      <c r="AE815" s="17">
        <v>25.3</v>
      </c>
      <c r="AF815" s="17">
        <v>40.770000000000003</v>
      </c>
      <c r="AG815" s="17">
        <v>33.619999999999997</v>
      </c>
      <c r="AH815" s="17">
        <v>47.52</v>
      </c>
      <c r="AI815" s="17">
        <v>1.04</v>
      </c>
      <c r="AJ815" s="17">
        <v>55.16</v>
      </c>
      <c r="AK815" s="17"/>
      <c r="AL815"/>
      <c r="AM815"/>
      <c r="AN815" s="17">
        <v>134</v>
      </c>
      <c r="AO815"/>
      <c r="AP815"/>
      <c r="AQ815"/>
      <c r="AR815"/>
      <c r="AS815"/>
    </row>
    <row r="816" spans="1:47" x14ac:dyDescent="0.2">
      <c r="A816" s="115">
        <v>814</v>
      </c>
      <c r="B816" s="3">
        <v>244</v>
      </c>
      <c r="C816" s="3">
        <v>21.814</v>
      </c>
      <c r="D816" s="126" t="s">
        <v>168</v>
      </c>
      <c r="E816" t="s">
        <v>232</v>
      </c>
      <c r="F816" s="17" t="s">
        <v>251</v>
      </c>
      <c r="G816" s="3" t="s">
        <v>32</v>
      </c>
      <c r="I816" s="81">
        <v>44534</v>
      </c>
      <c r="J816" s="17" t="s">
        <v>142</v>
      </c>
      <c r="K816" s="17" t="s">
        <v>235</v>
      </c>
      <c r="L816"/>
      <c r="M816"/>
      <c r="N816" s="17">
        <v>285.58</v>
      </c>
      <c r="O816" s="17">
        <v>197.69</v>
      </c>
      <c r="P816" s="17">
        <v>202.14</v>
      </c>
      <c r="Q816" s="17">
        <v>40.68</v>
      </c>
      <c r="R816" s="17">
        <v>21.38</v>
      </c>
      <c r="S816" s="17">
        <v>137.55000000000001</v>
      </c>
      <c r="T816" s="17">
        <v>108.76</v>
      </c>
      <c r="U816" s="17">
        <v>72.62</v>
      </c>
      <c r="V816" s="17">
        <v>53.28</v>
      </c>
      <c r="W816" s="17">
        <v>74.11</v>
      </c>
      <c r="X816" s="17">
        <v>96.88</v>
      </c>
      <c r="Y816" s="17">
        <v>43.12</v>
      </c>
      <c r="Z816" s="17">
        <v>103.73</v>
      </c>
      <c r="AA816" s="17">
        <v>88.15</v>
      </c>
      <c r="AB816" s="17">
        <v>76.41</v>
      </c>
      <c r="AC816" s="17">
        <v>5.15</v>
      </c>
      <c r="AD816" s="17">
        <v>51.66</v>
      </c>
      <c r="AE816" s="17">
        <v>29.78</v>
      </c>
      <c r="AF816" s="17">
        <v>44.48</v>
      </c>
      <c r="AG816" s="17">
        <v>34.99</v>
      </c>
      <c r="AH816" s="17">
        <v>46</v>
      </c>
      <c r="AI816" s="130">
        <v>1.02</v>
      </c>
      <c r="AJ816" s="17">
        <v>50.78</v>
      </c>
      <c r="AK816" s="17"/>
      <c r="AL816"/>
      <c r="AM816"/>
      <c r="AN816" s="17">
        <v>140</v>
      </c>
      <c r="AO816"/>
      <c r="AP816"/>
      <c r="AQ816"/>
      <c r="AR816"/>
      <c r="AS816"/>
    </row>
    <row r="817" spans="1:47" x14ac:dyDescent="0.2">
      <c r="A817" s="115">
        <v>815.00000000000125</v>
      </c>
      <c r="B817" s="3">
        <v>259</v>
      </c>
      <c r="C817" s="3">
        <v>21.815000000000001</v>
      </c>
      <c r="D817" s="126" t="s">
        <v>168</v>
      </c>
      <c r="E817" t="s">
        <v>169</v>
      </c>
      <c r="F817" s="17" t="s">
        <v>170</v>
      </c>
      <c r="G817" s="9" t="s">
        <v>30</v>
      </c>
      <c r="I817" s="81">
        <v>44531</v>
      </c>
      <c r="J817" s="17" t="s">
        <v>142</v>
      </c>
      <c r="K817" s="17" t="s">
        <v>235</v>
      </c>
      <c r="L817"/>
      <c r="M817"/>
      <c r="N817" s="17">
        <v>294.32</v>
      </c>
      <c r="O817" s="17">
        <v>194.01</v>
      </c>
      <c r="P817" s="17">
        <v>200.2</v>
      </c>
      <c r="Q817" s="17">
        <v>35.72</v>
      </c>
      <c r="R817" s="17">
        <v>34.700000000000003</v>
      </c>
      <c r="S817" s="17">
        <v>126.31</v>
      </c>
      <c r="T817" s="17">
        <v>101.6</v>
      </c>
      <c r="U817" s="17">
        <v>77.22</v>
      </c>
      <c r="V817" s="17">
        <v>52.51</v>
      </c>
      <c r="W817" s="17">
        <v>76.989999999999995</v>
      </c>
      <c r="X817" s="17">
        <v>95.38</v>
      </c>
      <c r="Y817" s="17">
        <v>42.65</v>
      </c>
      <c r="Z817" s="17">
        <v>106.67</v>
      </c>
      <c r="AA817" s="17">
        <v>89.64</v>
      </c>
      <c r="AB817" s="17">
        <v>82.11</v>
      </c>
      <c r="AC817" s="17">
        <v>4.42</v>
      </c>
      <c r="AD817" s="17">
        <v>53.98</v>
      </c>
      <c r="AE817" s="17">
        <v>28.39</v>
      </c>
      <c r="AF817" s="17">
        <v>42.17</v>
      </c>
      <c r="AG817" s="17">
        <v>33.83</v>
      </c>
      <c r="AH817" s="17">
        <v>37.85</v>
      </c>
      <c r="AI817" s="17">
        <v>1.1279999999999999</v>
      </c>
      <c r="AJ817" s="17">
        <v>51.22</v>
      </c>
      <c r="AK817" s="17"/>
      <c r="AL817"/>
      <c r="AM817"/>
      <c r="AN817" s="17">
        <v>129</v>
      </c>
      <c r="AO817"/>
      <c r="AP817"/>
      <c r="AQ817"/>
      <c r="AR817"/>
      <c r="AS817"/>
    </row>
    <row r="818" spans="1:47" x14ac:dyDescent="0.2">
      <c r="A818" s="115">
        <v>815.99999999999898</v>
      </c>
      <c r="B818" s="3">
        <v>238</v>
      </c>
      <c r="C818" s="4">
        <v>21.815999999999999</v>
      </c>
      <c r="D818" s="126" t="s">
        <v>168</v>
      </c>
      <c r="E818" t="s">
        <v>232</v>
      </c>
      <c r="F818" s="17" t="s">
        <v>251</v>
      </c>
      <c r="G818" s="3" t="s">
        <v>32</v>
      </c>
      <c r="I818" s="81">
        <v>44529</v>
      </c>
      <c r="J818" s="17" t="s">
        <v>142</v>
      </c>
      <c r="K818" s="17" t="s">
        <v>235</v>
      </c>
      <c r="L818"/>
      <c r="M818"/>
      <c r="N818" s="17">
        <v>288.39999999999998</v>
      </c>
      <c r="O818" s="17">
        <v>190.97</v>
      </c>
      <c r="P818" s="17">
        <v>204.13</v>
      </c>
      <c r="Q818" s="17">
        <v>43.9</v>
      </c>
      <c r="R818" s="17">
        <v>22.95</v>
      </c>
      <c r="S818" s="17">
        <v>136</v>
      </c>
      <c r="T818" s="17">
        <v>101.09</v>
      </c>
      <c r="U818" s="17">
        <v>72.83</v>
      </c>
      <c r="V818" s="17">
        <v>54.19</v>
      </c>
      <c r="W818" s="17">
        <v>75.260000000000005</v>
      </c>
      <c r="X818" s="17">
        <v>97.82</v>
      </c>
      <c r="Y818" s="17">
        <v>42.7</v>
      </c>
      <c r="Z818" s="17">
        <v>102.57</v>
      </c>
      <c r="AA818" s="17">
        <v>87.84</v>
      </c>
      <c r="AB818" s="17">
        <v>74.849999999999994</v>
      </c>
      <c r="AC818" s="17">
        <v>7.24</v>
      </c>
      <c r="AD818" s="17">
        <v>53.56</v>
      </c>
      <c r="AE818" s="17">
        <v>31.17</v>
      </c>
      <c r="AF818" s="17">
        <v>43.79</v>
      </c>
      <c r="AG818" s="17">
        <v>36.270000000000003</v>
      </c>
      <c r="AH818" s="17">
        <v>45.41</v>
      </c>
      <c r="AI818" s="17">
        <v>1.204</v>
      </c>
      <c r="AJ818" s="17">
        <v>48.05</v>
      </c>
      <c r="AK818" s="17"/>
      <c r="AL818"/>
      <c r="AM818"/>
      <c r="AN818" s="17">
        <v>139</v>
      </c>
      <c r="AO818"/>
      <c r="AP818"/>
      <c r="AQ818"/>
      <c r="AR818"/>
      <c r="AS818"/>
    </row>
    <row r="819" spans="1:47" x14ac:dyDescent="0.2">
      <c r="A819" s="115">
        <v>817.00000000000023</v>
      </c>
      <c r="B819" s="3">
        <v>359</v>
      </c>
      <c r="C819" s="3">
        <v>21.817</v>
      </c>
      <c r="D819" s="126" t="s">
        <v>168</v>
      </c>
      <c r="E819" t="s">
        <v>169</v>
      </c>
      <c r="F819" s="17" t="s">
        <v>170</v>
      </c>
      <c r="G819" s="9" t="s">
        <v>30</v>
      </c>
      <c r="I819" s="160">
        <v>44545</v>
      </c>
      <c r="J819" s="17" t="s">
        <v>142</v>
      </c>
      <c r="K819" s="17" t="s">
        <v>235</v>
      </c>
      <c r="L819"/>
      <c r="M819"/>
      <c r="N819" s="17">
        <v>286.83</v>
      </c>
      <c r="O819" s="17">
        <v>187.17</v>
      </c>
      <c r="P819" s="17">
        <v>191.62</v>
      </c>
      <c r="Q819" s="17">
        <v>36.299999999999997</v>
      </c>
      <c r="R819" s="17">
        <v>27.47</v>
      </c>
      <c r="S819" s="17">
        <v>124.69</v>
      </c>
      <c r="T819" s="17">
        <v>103.78</v>
      </c>
      <c r="U819" s="17">
        <v>71.209999999999994</v>
      </c>
      <c r="V819" s="17">
        <v>54.41</v>
      </c>
      <c r="W819" s="17">
        <v>73.930000000000007</v>
      </c>
      <c r="X819" s="17">
        <v>88.42</v>
      </c>
      <c r="Y819" s="17">
        <v>42.64</v>
      </c>
      <c r="Z819" s="17">
        <v>106.49</v>
      </c>
      <c r="AA819" s="17">
        <v>88.92</v>
      </c>
      <c r="AB819" s="17">
        <v>84.7</v>
      </c>
      <c r="AC819" s="17">
        <v>4.4800000000000004</v>
      </c>
      <c r="AD819" s="17">
        <v>53.4</v>
      </c>
      <c r="AE819" s="17">
        <v>28.44</v>
      </c>
      <c r="AF819" s="17">
        <v>41.17</v>
      </c>
      <c r="AG819" s="17">
        <v>31.01</v>
      </c>
      <c r="AH819" s="17">
        <v>43.39</v>
      </c>
      <c r="AI819" s="17">
        <v>1.1160000000000001</v>
      </c>
      <c r="AJ819" s="17">
        <v>49.26</v>
      </c>
      <c r="AK819" s="17"/>
      <c r="AL819"/>
      <c r="AM819"/>
      <c r="AN819" s="17">
        <v>118</v>
      </c>
      <c r="AO819"/>
      <c r="AP819"/>
      <c r="AQ819"/>
      <c r="AR819"/>
      <c r="AS819"/>
    </row>
    <row r="820" spans="1:47" x14ac:dyDescent="0.2">
      <c r="A820" s="115">
        <v>818.00000000000136</v>
      </c>
      <c r="B820" s="3" t="s">
        <v>729</v>
      </c>
      <c r="C820" s="4">
        <v>21.818000000000001</v>
      </c>
      <c r="D820" s="85" t="s">
        <v>187</v>
      </c>
      <c r="E820" t="s">
        <v>188</v>
      </c>
      <c r="F820">
        <v>262</v>
      </c>
      <c r="G820">
        <v>262</v>
      </c>
      <c r="H820"/>
      <c r="I820" s="82">
        <v>44545</v>
      </c>
      <c r="J820" s="17" t="s">
        <v>142</v>
      </c>
      <c r="K820" s="17" t="s">
        <v>203</v>
      </c>
      <c r="L820" s="17"/>
      <c r="M820" s="17">
        <v>171.69</v>
      </c>
      <c r="N820" s="17">
        <v>150.9</v>
      </c>
      <c r="O820">
        <v>164.82</v>
      </c>
      <c r="P820">
        <v>175.02</v>
      </c>
      <c r="Q820">
        <v>45.31</v>
      </c>
      <c r="R820">
        <v>18.739999999999998</v>
      </c>
      <c r="S820">
        <v>110.35</v>
      </c>
      <c r="T820">
        <v>88.66</v>
      </c>
      <c r="U820">
        <v>59.68</v>
      </c>
      <c r="V820">
        <v>41.26</v>
      </c>
      <c r="W820">
        <v>64.02</v>
      </c>
      <c r="X820">
        <v>72.48</v>
      </c>
      <c r="Y820">
        <v>34.56</v>
      </c>
      <c r="Z820">
        <v>85.46</v>
      </c>
      <c r="AA820">
        <v>68.17</v>
      </c>
      <c r="AB820">
        <v>69.33</v>
      </c>
      <c r="AC820">
        <v>16.16</v>
      </c>
      <c r="AD820">
        <v>31.86</v>
      </c>
      <c r="AE820">
        <v>35.85</v>
      </c>
      <c r="AF820">
        <v>35.479999999999997</v>
      </c>
      <c r="AG820">
        <v>38.130000000000003</v>
      </c>
      <c r="AH820"/>
      <c r="AI820" s="17">
        <v>1.4530000000000001</v>
      </c>
      <c r="AJ820"/>
      <c r="AK820"/>
      <c r="AL820"/>
      <c r="AM820"/>
      <c r="AN820"/>
      <c r="AO820">
        <f>21.3-3.2</f>
        <v>18.100000000000001</v>
      </c>
      <c r="AP820">
        <f>25.4+43.6</f>
        <v>69</v>
      </c>
      <c r="AQ820">
        <v>30.4</v>
      </c>
      <c r="AR820">
        <v>32.200000000000003</v>
      </c>
      <c r="AS820">
        <v>13.8</v>
      </c>
      <c r="AT820" t="s">
        <v>147</v>
      </c>
      <c r="AU820" s="17" t="s">
        <v>147</v>
      </c>
    </row>
    <row r="821" spans="1:47" x14ac:dyDescent="0.2">
      <c r="A821" s="115">
        <v>818.99999999999909</v>
      </c>
      <c r="B821" s="3" t="s">
        <v>730</v>
      </c>
      <c r="C821" s="3">
        <v>21.818999999999999</v>
      </c>
      <c r="D821" s="85" t="s">
        <v>187</v>
      </c>
      <c r="E821" t="s">
        <v>188</v>
      </c>
      <c r="F821">
        <v>262</v>
      </c>
      <c r="G821">
        <v>262</v>
      </c>
      <c r="H821"/>
      <c r="I821" s="82">
        <v>44545</v>
      </c>
      <c r="J821" s="17" t="s">
        <v>142</v>
      </c>
      <c r="K821" s="17" t="s">
        <v>203</v>
      </c>
      <c r="L821" s="17"/>
      <c r="M821" s="17">
        <v>189.45</v>
      </c>
      <c r="N821" s="17">
        <v>149.30000000000001</v>
      </c>
      <c r="O821">
        <v>176.04</v>
      </c>
      <c r="P821">
        <v>179.58</v>
      </c>
      <c r="Q821">
        <v>40.520000000000003</v>
      </c>
      <c r="R821">
        <v>14.58</v>
      </c>
      <c r="S821">
        <v>120.04</v>
      </c>
      <c r="T821">
        <v>99.77</v>
      </c>
      <c r="U821">
        <v>61.46</v>
      </c>
      <c r="V821">
        <v>45.48</v>
      </c>
      <c r="W821">
        <v>66.12</v>
      </c>
      <c r="X821">
        <v>74.569999999999993</v>
      </c>
      <c r="Y821">
        <v>35.92</v>
      </c>
      <c r="Z821">
        <v>79.41</v>
      </c>
      <c r="AA821">
        <v>64.08</v>
      </c>
      <c r="AB821">
        <v>60.68</v>
      </c>
      <c r="AC821">
        <v>19.52</v>
      </c>
      <c r="AD821">
        <v>37.92</v>
      </c>
      <c r="AE821">
        <v>27.59</v>
      </c>
      <c r="AF821">
        <v>36.86</v>
      </c>
      <c r="AG821">
        <v>26.61</v>
      </c>
      <c r="AH821">
        <v>34.340000000000003</v>
      </c>
      <c r="AI821" s="17">
        <v>1.04</v>
      </c>
      <c r="AJ821"/>
      <c r="AK821"/>
      <c r="AL821"/>
      <c r="AM821"/>
      <c r="AN821"/>
      <c r="AO821">
        <v>14</v>
      </c>
      <c r="AP821">
        <f>61.6-10.6</f>
        <v>51</v>
      </c>
      <c r="AQ821">
        <v>55.3</v>
      </c>
      <c r="AR821">
        <v>26.2</v>
      </c>
      <c r="AS821">
        <v>11.1</v>
      </c>
      <c r="AT821" t="s">
        <v>147</v>
      </c>
      <c r="AU821" s="17" t="s">
        <v>147</v>
      </c>
    </row>
    <row r="822" spans="1:47" x14ac:dyDescent="0.2">
      <c r="A822" s="115">
        <v>820.00000000000023</v>
      </c>
      <c r="B822" s="150" t="s">
        <v>731</v>
      </c>
      <c r="C822" s="2" t="s">
        <v>732</v>
      </c>
      <c r="D822" s="85" t="s">
        <v>187</v>
      </c>
      <c r="E822" t="s">
        <v>188</v>
      </c>
      <c r="F822">
        <v>262</v>
      </c>
      <c r="G822">
        <v>262</v>
      </c>
      <c r="H822"/>
      <c r="I822" s="82">
        <v>44545</v>
      </c>
      <c r="J822" s="17" t="s">
        <v>142</v>
      </c>
      <c r="K822" s="17" t="s">
        <v>203</v>
      </c>
      <c r="L822" s="17"/>
      <c r="M822" s="17">
        <v>170.32</v>
      </c>
      <c r="N822" s="17">
        <v>147.9</v>
      </c>
      <c r="O822">
        <v>166.65</v>
      </c>
      <c r="P822">
        <v>167.66</v>
      </c>
      <c r="Q822">
        <v>37.880000000000003</v>
      </c>
      <c r="R822">
        <v>14.17</v>
      </c>
      <c r="S822">
        <v>114.39</v>
      </c>
      <c r="T822">
        <v>94.15</v>
      </c>
      <c r="U822">
        <v>60.54</v>
      </c>
      <c r="V822">
        <v>47.13</v>
      </c>
      <c r="W822">
        <v>63.34</v>
      </c>
      <c r="X822">
        <v>72.23</v>
      </c>
      <c r="Y822">
        <v>36.76</v>
      </c>
      <c r="Z822">
        <v>79.510000000000005</v>
      </c>
      <c r="AA822">
        <v>62.16</v>
      </c>
      <c r="AB822">
        <v>64.3</v>
      </c>
      <c r="AC822">
        <v>21.87</v>
      </c>
      <c r="AD822">
        <v>37.31</v>
      </c>
      <c r="AE822">
        <v>28.91</v>
      </c>
      <c r="AF822">
        <v>32.92</v>
      </c>
      <c r="AG822">
        <v>30.17</v>
      </c>
      <c r="AH822">
        <v>25.36</v>
      </c>
      <c r="AI822" s="17">
        <v>1.2869999999999999</v>
      </c>
      <c r="AJ822"/>
      <c r="AK822"/>
      <c r="AL822"/>
      <c r="AM822"/>
      <c r="AN822"/>
      <c r="AO822">
        <v>15.1</v>
      </c>
      <c r="AP822">
        <f>62.4-10.6</f>
        <v>51.8</v>
      </c>
      <c r="AQ822">
        <v>47.2</v>
      </c>
      <c r="AR822">
        <v>31.2</v>
      </c>
      <c r="AS822">
        <v>13</v>
      </c>
      <c r="AT822" t="s">
        <v>147</v>
      </c>
      <c r="AU822" s="17" t="s">
        <v>147</v>
      </c>
    </row>
    <row r="823" spans="1:47" x14ac:dyDescent="0.2">
      <c r="A823" s="115">
        <v>821.00000000000148</v>
      </c>
      <c r="B823" s="3" t="s">
        <v>733</v>
      </c>
      <c r="C823" s="3">
        <v>21.821000000000002</v>
      </c>
      <c r="D823" s="85" t="s">
        <v>187</v>
      </c>
      <c r="E823" t="s">
        <v>188</v>
      </c>
      <c r="F823">
        <v>262</v>
      </c>
      <c r="G823">
        <v>262</v>
      </c>
      <c r="H823"/>
      <c r="I823" s="82">
        <v>44557</v>
      </c>
      <c r="J823" s="17" t="s">
        <v>142</v>
      </c>
      <c r="K823" s="17" t="s">
        <v>203</v>
      </c>
      <c r="L823" s="17"/>
      <c r="M823" s="17">
        <v>199</v>
      </c>
      <c r="N823" s="17">
        <v>156.19999999999999</v>
      </c>
      <c r="O823">
        <v>166.84</v>
      </c>
      <c r="P823">
        <v>175.82</v>
      </c>
      <c r="Q823">
        <v>46.52</v>
      </c>
      <c r="R823">
        <v>17.73</v>
      </c>
      <c r="S823">
        <v>112.71</v>
      </c>
      <c r="T823">
        <v>91.98</v>
      </c>
      <c r="U823">
        <v>56.6</v>
      </c>
      <c r="V823">
        <v>42.12</v>
      </c>
      <c r="W823">
        <v>62.47</v>
      </c>
      <c r="X823">
        <v>74.7</v>
      </c>
      <c r="Y823">
        <v>35.42</v>
      </c>
      <c r="Z823">
        <v>83.68</v>
      </c>
      <c r="AA823">
        <v>68.290000000000006</v>
      </c>
      <c r="AB823">
        <v>64.58</v>
      </c>
      <c r="AC823">
        <v>12.85</v>
      </c>
      <c r="AD823">
        <v>40.409999999999997</v>
      </c>
      <c r="AE823">
        <v>32.909999999999997</v>
      </c>
      <c r="AF823">
        <v>37.909999999999997</v>
      </c>
      <c r="AG823">
        <v>33.229999999999997</v>
      </c>
      <c r="AH823">
        <v>38.11</v>
      </c>
      <c r="AI823" s="17">
        <v>1.3979999999999999</v>
      </c>
      <c r="AJ823"/>
      <c r="AK823"/>
      <c r="AL823"/>
      <c r="AM823"/>
      <c r="AN823"/>
      <c r="AO823">
        <v>14.7</v>
      </c>
      <c r="AP823">
        <v>63.5</v>
      </c>
      <c r="AQ823">
        <f>54-10.9</f>
        <v>43.1</v>
      </c>
      <c r="AR823">
        <v>33.4</v>
      </c>
      <c r="AS823">
        <v>13.8</v>
      </c>
      <c r="AT823" t="s">
        <v>147</v>
      </c>
      <c r="AU823" s="17" t="s">
        <v>147</v>
      </c>
    </row>
    <row r="824" spans="1:47" x14ac:dyDescent="0.2">
      <c r="A824" s="115">
        <v>821.9999999999992</v>
      </c>
      <c r="B824" s="3" t="s">
        <v>734</v>
      </c>
      <c r="C824" s="4">
        <v>21.821999999999999</v>
      </c>
      <c r="D824" s="85" t="s">
        <v>187</v>
      </c>
      <c r="E824" t="s">
        <v>188</v>
      </c>
      <c r="F824">
        <v>262</v>
      </c>
      <c r="G824">
        <v>262</v>
      </c>
      <c r="H824"/>
      <c r="I824" s="82">
        <v>44557</v>
      </c>
      <c r="J824" s="17" t="s">
        <v>142</v>
      </c>
      <c r="K824" s="17" t="s">
        <v>203</v>
      </c>
      <c r="L824" s="17"/>
      <c r="M824" s="17">
        <v>208</v>
      </c>
      <c r="N824" s="17">
        <v>154.5</v>
      </c>
      <c r="O824">
        <v>169.44</v>
      </c>
      <c r="P824">
        <v>178.72</v>
      </c>
      <c r="Q824">
        <v>45.65</v>
      </c>
      <c r="R824">
        <v>19.21</v>
      </c>
      <c r="S824">
        <v>111.08</v>
      </c>
      <c r="T824">
        <v>88.13</v>
      </c>
      <c r="U824">
        <v>60.37</v>
      </c>
      <c r="V824">
        <v>42.21</v>
      </c>
      <c r="W824">
        <v>64.47</v>
      </c>
      <c r="X824">
        <v>74.959999999999994</v>
      </c>
      <c r="Y824">
        <v>34.75</v>
      </c>
      <c r="Z824">
        <v>85.63</v>
      </c>
      <c r="AA824">
        <v>67.58</v>
      </c>
      <c r="AB824">
        <v>64.239999999999995</v>
      </c>
      <c r="AC824">
        <v>13.95</v>
      </c>
      <c r="AD824">
        <v>39.11</v>
      </c>
      <c r="AE824">
        <v>34.200000000000003</v>
      </c>
      <c r="AF824">
        <v>39.07</v>
      </c>
      <c r="AG824">
        <v>28.88</v>
      </c>
      <c r="AH824">
        <v>41.76</v>
      </c>
      <c r="AI824" s="17">
        <v>1.504</v>
      </c>
      <c r="AJ824"/>
      <c r="AK824"/>
      <c r="AL824"/>
      <c r="AM824"/>
      <c r="AN824"/>
      <c r="AO824">
        <v>17</v>
      </c>
      <c r="AP824">
        <f>74.4-10.6</f>
        <v>63.800000000000004</v>
      </c>
      <c r="AQ824">
        <v>37.200000000000003</v>
      </c>
      <c r="AR824">
        <v>35.1</v>
      </c>
      <c r="AS824">
        <v>14.7</v>
      </c>
      <c r="AT824" t="s">
        <v>147</v>
      </c>
      <c r="AU824" s="17" t="s">
        <v>147</v>
      </c>
    </row>
    <row r="825" spans="1:47" x14ac:dyDescent="0.2">
      <c r="A825" s="115">
        <v>823.00000000000045</v>
      </c>
      <c r="B825" s="3" t="s">
        <v>735</v>
      </c>
      <c r="C825" s="3">
        <v>21.823</v>
      </c>
      <c r="D825" s="85" t="s">
        <v>187</v>
      </c>
      <c r="E825" t="s">
        <v>188</v>
      </c>
      <c r="F825">
        <v>262</v>
      </c>
      <c r="G825">
        <v>262</v>
      </c>
      <c r="H825"/>
      <c r="I825" s="82">
        <v>44545</v>
      </c>
      <c r="J825" s="17" t="s">
        <v>142</v>
      </c>
      <c r="K825" s="17" t="s">
        <v>203</v>
      </c>
      <c r="L825" s="17"/>
      <c r="M825" s="17">
        <v>168.63</v>
      </c>
      <c r="N825" s="17">
        <v>154.69999999999999</v>
      </c>
      <c r="O825">
        <v>165.44</v>
      </c>
      <c r="P825">
        <v>174.94</v>
      </c>
      <c r="Q825">
        <v>44.42</v>
      </c>
      <c r="R825">
        <v>9.56</v>
      </c>
      <c r="S825">
        <v>122.81</v>
      </c>
      <c r="T825">
        <v>89.38</v>
      </c>
      <c r="U825">
        <v>54.93</v>
      </c>
      <c r="V825">
        <v>41.79</v>
      </c>
      <c r="W825">
        <v>55.86</v>
      </c>
      <c r="X825">
        <v>75.19</v>
      </c>
      <c r="Y825">
        <v>33.32</v>
      </c>
      <c r="Z825">
        <v>83.61</v>
      </c>
      <c r="AA825">
        <v>67.94</v>
      </c>
      <c r="AB825">
        <v>64.56</v>
      </c>
      <c r="AC825">
        <v>13.21</v>
      </c>
      <c r="AD825">
        <v>41.29</v>
      </c>
      <c r="AE825">
        <v>31.1</v>
      </c>
      <c r="AF825">
        <v>33.47</v>
      </c>
      <c r="AG825">
        <v>40.71</v>
      </c>
      <c r="AH825">
        <v>39.17</v>
      </c>
      <c r="AI825" s="17">
        <v>1.355</v>
      </c>
      <c r="AJ825"/>
      <c r="AK825"/>
      <c r="AL825"/>
      <c r="AM825"/>
      <c r="AN825"/>
      <c r="AO825">
        <v>15.5</v>
      </c>
      <c r="AP825">
        <f>72.5-10.5</f>
        <v>62</v>
      </c>
      <c r="AQ825">
        <f>55.2-10.8</f>
        <v>44.400000000000006</v>
      </c>
      <c r="AR825">
        <v>31.9</v>
      </c>
      <c r="AS825">
        <v>13.7</v>
      </c>
      <c r="AT825" t="s">
        <v>147</v>
      </c>
      <c r="AU825" s="17" t="s">
        <v>147</v>
      </c>
    </row>
    <row r="826" spans="1:47" x14ac:dyDescent="0.2">
      <c r="A826" s="115">
        <v>824.00000000000159</v>
      </c>
      <c r="B826" s="3">
        <v>122</v>
      </c>
      <c r="C826" s="4">
        <v>21.824000000000002</v>
      </c>
      <c r="D826" s="65" t="s">
        <v>148</v>
      </c>
      <c r="E826" t="s">
        <v>229</v>
      </c>
      <c r="F826" s="3" t="s">
        <v>688</v>
      </c>
      <c r="G826" s="3" t="s">
        <v>688</v>
      </c>
      <c r="H826"/>
      <c r="I826" s="82">
        <v>44546</v>
      </c>
      <c r="J826" s="17" t="s">
        <v>142</v>
      </c>
      <c r="K826" s="17" t="s">
        <v>203</v>
      </c>
      <c r="L826"/>
      <c r="M826" s="123">
        <v>180</v>
      </c>
      <c r="N826" s="17">
        <v>183.5</v>
      </c>
      <c r="O826">
        <v>157.07</v>
      </c>
      <c r="P826">
        <v>166.46</v>
      </c>
      <c r="Q826">
        <v>34.33</v>
      </c>
      <c r="R826">
        <v>14.92</v>
      </c>
      <c r="S826">
        <v>107.99</v>
      </c>
      <c r="T826">
        <v>84.55</v>
      </c>
      <c r="U826">
        <v>61.19</v>
      </c>
      <c r="V826">
        <v>48.47</v>
      </c>
      <c r="W826">
        <v>67.53</v>
      </c>
      <c r="X826">
        <v>84</v>
      </c>
      <c r="Y826">
        <v>38.6</v>
      </c>
      <c r="Z826">
        <v>94.1</v>
      </c>
      <c r="AA826">
        <v>74.34</v>
      </c>
      <c r="AB826">
        <v>77.069999999999993</v>
      </c>
      <c r="AC826">
        <v>19.170000000000002</v>
      </c>
      <c r="AD826">
        <v>45.14</v>
      </c>
      <c r="AE826">
        <v>33.17</v>
      </c>
      <c r="AF826">
        <v>32.020000000000003</v>
      </c>
      <c r="AG826">
        <v>36.54</v>
      </c>
      <c r="AH826">
        <v>36.65</v>
      </c>
      <c r="AI826" s="17">
        <v>1.7749999999999999</v>
      </c>
      <c r="AJ826"/>
      <c r="AK826"/>
      <c r="AL826">
        <v>3.5</v>
      </c>
      <c r="AM826"/>
      <c r="AN826"/>
      <c r="AO826">
        <f>18.3-3.2</f>
        <v>15.100000000000001</v>
      </c>
      <c r="AP826">
        <f>87.4-10.7</f>
        <v>76.7</v>
      </c>
      <c r="AQ826">
        <f>53.3-11.2</f>
        <v>42.099999999999994</v>
      </c>
      <c r="AR826">
        <v>42.6</v>
      </c>
      <c r="AS826">
        <v>18.5</v>
      </c>
      <c r="AT826" t="s">
        <v>147</v>
      </c>
      <c r="AU826" s="17" t="s">
        <v>147</v>
      </c>
    </row>
    <row r="827" spans="1:47" x14ac:dyDescent="0.2">
      <c r="A827" s="115">
        <v>824.99999999999932</v>
      </c>
      <c r="B827" s="3">
        <v>110</v>
      </c>
      <c r="C827" s="3">
        <v>21.824999999999999</v>
      </c>
      <c r="D827" s="65" t="s">
        <v>148</v>
      </c>
      <c r="E827" t="s">
        <v>229</v>
      </c>
      <c r="F827" s="3" t="s">
        <v>688</v>
      </c>
      <c r="G827" s="3" t="s">
        <v>688</v>
      </c>
      <c r="H827" s="17"/>
      <c r="I827" s="82">
        <v>44545</v>
      </c>
      <c r="J827" s="17" t="s">
        <v>142</v>
      </c>
      <c r="K827" s="17" t="s">
        <v>203</v>
      </c>
      <c r="L827"/>
      <c r="M827" s="123">
        <v>174</v>
      </c>
      <c r="N827" s="17">
        <v>176.2</v>
      </c>
      <c r="O827">
        <v>162.38999999999999</v>
      </c>
      <c r="P827">
        <v>173.67</v>
      </c>
      <c r="Q827">
        <v>33.33</v>
      </c>
      <c r="R827">
        <v>19.420000000000002</v>
      </c>
      <c r="S827">
        <v>114.9</v>
      </c>
      <c r="T827">
        <v>90.81</v>
      </c>
      <c r="U827">
        <v>63.48</v>
      </c>
      <c r="V827">
        <v>49.9</v>
      </c>
      <c r="W827">
        <v>74.739999999999995</v>
      </c>
      <c r="X827">
        <v>86.84</v>
      </c>
      <c r="Y827">
        <v>42.54</v>
      </c>
      <c r="Z827">
        <v>94.4</v>
      </c>
      <c r="AA827">
        <v>70.48</v>
      </c>
      <c r="AB827">
        <v>75.63</v>
      </c>
      <c r="AC827">
        <v>18.38</v>
      </c>
      <c r="AD827">
        <v>43.88</v>
      </c>
      <c r="AE827">
        <v>34.090000000000003</v>
      </c>
      <c r="AF827">
        <v>35.950000000000003</v>
      </c>
      <c r="AG827">
        <v>39.49</v>
      </c>
      <c r="AH827">
        <v>32.71</v>
      </c>
      <c r="AI827" s="17">
        <v>1.5549999999999999</v>
      </c>
      <c r="AJ827"/>
      <c r="AK827"/>
      <c r="AL827">
        <v>3</v>
      </c>
      <c r="AM827"/>
      <c r="AN827"/>
      <c r="AO827">
        <f>18.5-3.2</f>
        <v>15.3</v>
      </c>
      <c r="AP827">
        <f>83.6-10.6</f>
        <v>73</v>
      </c>
      <c r="AQ827">
        <v>40.200000000000003</v>
      </c>
      <c r="AR827">
        <v>42.1</v>
      </c>
      <c r="AS827">
        <v>18.3</v>
      </c>
      <c r="AT827" t="s">
        <v>147</v>
      </c>
      <c r="AU827" s="17" t="s">
        <v>147</v>
      </c>
    </row>
    <row r="828" spans="1:47" x14ac:dyDescent="0.2">
      <c r="A828" s="115">
        <v>826.00000000000045</v>
      </c>
      <c r="B828" s="3">
        <v>136</v>
      </c>
      <c r="C828" s="4">
        <v>21.826000000000001</v>
      </c>
      <c r="D828" s="65" t="s">
        <v>148</v>
      </c>
      <c r="E828" t="s">
        <v>229</v>
      </c>
      <c r="F828" s="3" t="s">
        <v>688</v>
      </c>
      <c r="G828" s="3" t="s">
        <v>688</v>
      </c>
      <c r="H828" s="17"/>
      <c r="I828" s="82">
        <v>44560</v>
      </c>
      <c r="J828" s="17" t="s">
        <v>142</v>
      </c>
      <c r="K828" s="17" t="s">
        <v>203</v>
      </c>
      <c r="L828"/>
      <c r="M828" s="123">
        <v>212</v>
      </c>
      <c r="N828" s="17">
        <v>212.8</v>
      </c>
      <c r="O828">
        <v>165.2</v>
      </c>
      <c r="P828">
        <v>176.08</v>
      </c>
      <c r="Q828">
        <v>37.57</v>
      </c>
      <c r="R828">
        <v>16.12</v>
      </c>
      <c r="S828">
        <v>115.71</v>
      </c>
      <c r="T828">
        <v>90.75</v>
      </c>
      <c r="U828">
        <v>59.7</v>
      </c>
      <c r="V828">
        <v>47.15</v>
      </c>
      <c r="W828">
        <v>70.52</v>
      </c>
      <c r="X828">
        <v>86.55</v>
      </c>
      <c r="Y828">
        <v>35.71</v>
      </c>
      <c r="Z828">
        <v>96.94</v>
      </c>
      <c r="AA828">
        <v>79.84</v>
      </c>
      <c r="AB828">
        <v>77.41</v>
      </c>
      <c r="AC828">
        <v>19.21</v>
      </c>
      <c r="AD828">
        <v>49.04</v>
      </c>
      <c r="AE828">
        <v>33.159999999999997</v>
      </c>
      <c r="AF828">
        <v>34.96</v>
      </c>
      <c r="AG828">
        <v>33.29</v>
      </c>
      <c r="AH828">
        <v>36.619999999999997</v>
      </c>
      <c r="AI828" s="17">
        <v>1.8819999999999999</v>
      </c>
      <c r="AJ828"/>
      <c r="AK828"/>
      <c r="AL828">
        <v>17</v>
      </c>
      <c r="AM828"/>
      <c r="AN828"/>
      <c r="AO828">
        <f>15.7-3.2</f>
        <v>12.5</v>
      </c>
      <c r="AP828">
        <f>103.2-10.5</f>
        <v>92.7</v>
      </c>
      <c r="AQ828">
        <v>38.200000000000003</v>
      </c>
      <c r="AR828">
        <v>49.3</v>
      </c>
      <c r="AS828">
        <v>21</v>
      </c>
      <c r="AT828" t="s">
        <v>147</v>
      </c>
      <c r="AU828" s="17" t="s">
        <v>147</v>
      </c>
    </row>
    <row r="829" spans="1:47" x14ac:dyDescent="0.2">
      <c r="A829" s="115">
        <v>827.00000000000171</v>
      </c>
      <c r="B829" s="3">
        <v>43</v>
      </c>
      <c r="C829" s="3">
        <v>21.827000000000002</v>
      </c>
      <c r="D829" s="65" t="s">
        <v>148</v>
      </c>
      <c r="E829" t="s">
        <v>229</v>
      </c>
      <c r="F829" s="3" t="s">
        <v>688</v>
      </c>
      <c r="G829" s="3" t="s">
        <v>688</v>
      </c>
      <c r="H829" s="17"/>
      <c r="I829" s="82">
        <v>44528</v>
      </c>
      <c r="J829" s="17" t="s">
        <v>142</v>
      </c>
      <c r="K829" s="17" t="s">
        <v>203</v>
      </c>
      <c r="L829"/>
      <c r="M829" s="159">
        <v>196</v>
      </c>
      <c r="N829" s="17">
        <v>200.3</v>
      </c>
      <c r="O829">
        <v>161.91999999999999</v>
      </c>
      <c r="P829">
        <v>171.34</v>
      </c>
      <c r="Q829">
        <v>35.43</v>
      </c>
      <c r="R829">
        <v>18.03</v>
      </c>
      <c r="S829">
        <v>114.89</v>
      </c>
      <c r="T829">
        <v>90.69</v>
      </c>
      <c r="U829">
        <v>64.959999999999994</v>
      </c>
      <c r="V829">
        <v>48.3</v>
      </c>
      <c r="W829">
        <v>71.34</v>
      </c>
      <c r="X829">
        <v>84.59</v>
      </c>
      <c r="Y829">
        <v>40.53</v>
      </c>
      <c r="Z829">
        <v>94.2</v>
      </c>
      <c r="AA829">
        <v>71.98</v>
      </c>
      <c r="AB829">
        <v>77.69</v>
      </c>
      <c r="AC829">
        <v>19.190000000000001</v>
      </c>
      <c r="AD829">
        <v>47.29</v>
      </c>
      <c r="AE829">
        <v>34.15</v>
      </c>
      <c r="AF829">
        <v>32.619999999999997</v>
      </c>
      <c r="AG829">
        <v>36.43</v>
      </c>
      <c r="AH829">
        <v>34.24</v>
      </c>
      <c r="AI829" s="17">
        <v>1.6619999999999999</v>
      </c>
      <c r="AJ829"/>
      <c r="AK829"/>
      <c r="AL829">
        <v>14</v>
      </c>
      <c r="AM829"/>
      <c r="AN829"/>
      <c r="AO829">
        <f>16.3-3.2</f>
        <v>13.100000000000001</v>
      </c>
      <c r="AP829">
        <f>94.2-10.7</f>
        <v>83.5</v>
      </c>
      <c r="AQ829">
        <v>39.4</v>
      </c>
      <c r="AR829">
        <v>47.8</v>
      </c>
      <c r="AS829">
        <v>20.399999999999999</v>
      </c>
      <c r="AT829" t="s">
        <v>147</v>
      </c>
      <c r="AU829" s="17" t="s">
        <v>147</v>
      </c>
    </row>
    <row r="830" spans="1:47" x14ac:dyDescent="0.2">
      <c r="A830" s="115">
        <v>827.99999999999943</v>
      </c>
      <c r="B830" s="3">
        <v>26</v>
      </c>
      <c r="C830" s="4">
        <v>21.827999999999999</v>
      </c>
      <c r="D830" s="65" t="s">
        <v>148</v>
      </c>
      <c r="E830" t="s">
        <v>229</v>
      </c>
      <c r="F830" s="3" t="s">
        <v>688</v>
      </c>
      <c r="G830" s="3" t="s">
        <v>688</v>
      </c>
      <c r="H830" s="17"/>
      <c r="I830" s="82">
        <v>44530</v>
      </c>
      <c r="J830" s="17" t="s">
        <v>142</v>
      </c>
      <c r="K830" s="17" t="s">
        <v>203</v>
      </c>
      <c r="L830"/>
      <c r="M830" s="123">
        <v>198</v>
      </c>
      <c r="N830" s="17">
        <v>199.1</v>
      </c>
      <c r="O830">
        <v>162.11000000000001</v>
      </c>
      <c r="P830">
        <v>172.23</v>
      </c>
      <c r="Q830">
        <v>34.22</v>
      </c>
      <c r="R830">
        <v>19.73</v>
      </c>
      <c r="S830">
        <v>115.07</v>
      </c>
      <c r="T830">
        <v>92.58</v>
      </c>
      <c r="U830">
        <v>59.93</v>
      </c>
      <c r="V830">
        <v>46.08</v>
      </c>
      <c r="W830">
        <v>67.400000000000006</v>
      </c>
      <c r="X830">
        <v>80.400000000000006</v>
      </c>
      <c r="Y830">
        <v>38.44</v>
      </c>
      <c r="Z830">
        <v>92.38</v>
      </c>
      <c r="AA830">
        <v>74.42</v>
      </c>
      <c r="AB830">
        <v>74.349999999999994</v>
      </c>
      <c r="AC830">
        <v>20.41</v>
      </c>
      <c r="AD830">
        <v>47.93</v>
      </c>
      <c r="AE830">
        <v>36.590000000000003</v>
      </c>
      <c r="AF830">
        <v>31.01</v>
      </c>
      <c r="AG830">
        <v>37.340000000000003</v>
      </c>
      <c r="AH830">
        <v>32.85</v>
      </c>
      <c r="AI830" s="17">
        <v>2.0009999999999999</v>
      </c>
      <c r="AJ830"/>
      <c r="AK830"/>
      <c r="AL830">
        <v>5</v>
      </c>
      <c r="AM830"/>
      <c r="AN830"/>
      <c r="AO830">
        <v>13.4</v>
      </c>
      <c r="AP830">
        <v>81.8</v>
      </c>
      <c r="AQ830">
        <v>49.8</v>
      </c>
      <c r="AR830">
        <v>47.4</v>
      </c>
      <c r="AS830">
        <v>20.399999999999999</v>
      </c>
      <c r="AT830" t="s">
        <v>147</v>
      </c>
      <c r="AU830" s="17" t="s">
        <v>147</v>
      </c>
    </row>
    <row r="831" spans="1:47" x14ac:dyDescent="0.2">
      <c r="A831" s="115">
        <v>829.00000000000068</v>
      </c>
      <c r="B831" s="3">
        <v>10</v>
      </c>
      <c r="C831" s="3">
        <v>21.829000000000001</v>
      </c>
      <c r="D831" s="65" t="s">
        <v>148</v>
      </c>
      <c r="E831" t="s">
        <v>229</v>
      </c>
      <c r="F831" s="3" t="s">
        <v>688</v>
      </c>
      <c r="G831" s="3" t="s">
        <v>688</v>
      </c>
      <c r="H831" s="17"/>
      <c r="I831" s="82">
        <v>44540</v>
      </c>
      <c r="J831" s="17" t="s">
        <v>142</v>
      </c>
      <c r="K831" s="17" t="s">
        <v>203</v>
      </c>
      <c r="L831"/>
      <c r="M831" s="159">
        <v>202</v>
      </c>
      <c r="N831" s="17">
        <v>204.4</v>
      </c>
      <c r="O831">
        <v>160.46</v>
      </c>
      <c r="P831">
        <v>169.51</v>
      </c>
      <c r="Q831">
        <v>36.450000000000003</v>
      </c>
      <c r="R831">
        <v>15.73</v>
      </c>
      <c r="S831">
        <v>114.54</v>
      </c>
      <c r="T831">
        <v>89.93</v>
      </c>
      <c r="U831">
        <v>60.21</v>
      </c>
      <c r="V831">
        <v>47.65</v>
      </c>
      <c r="W831">
        <v>68.81</v>
      </c>
      <c r="X831">
        <v>84.1</v>
      </c>
      <c r="Y831">
        <v>41.67</v>
      </c>
      <c r="Z831">
        <v>94.87</v>
      </c>
      <c r="AA831">
        <v>75.13</v>
      </c>
      <c r="AB831">
        <v>76.510000000000005</v>
      </c>
      <c r="AC831">
        <v>18.75</v>
      </c>
      <c r="AD831">
        <v>47.74</v>
      </c>
      <c r="AE831">
        <v>30.91</v>
      </c>
      <c r="AF831">
        <v>33.68</v>
      </c>
      <c r="AG831">
        <v>37.14</v>
      </c>
      <c r="AH831">
        <v>37.880000000000003</v>
      </c>
      <c r="AI831" s="17">
        <v>1.9470000000000001</v>
      </c>
      <c r="AJ831"/>
      <c r="AK831"/>
      <c r="AL831">
        <v>11</v>
      </c>
      <c r="AM831"/>
      <c r="AN831"/>
      <c r="AO831">
        <v>14.3</v>
      </c>
      <c r="AP831">
        <v>90.6</v>
      </c>
      <c r="AQ831">
        <v>39.1</v>
      </c>
      <c r="AR831">
        <v>47.2</v>
      </c>
      <c r="AS831">
        <v>20.2</v>
      </c>
      <c r="AT831" t="s">
        <v>147</v>
      </c>
      <c r="AU831" s="17" t="s">
        <v>147</v>
      </c>
    </row>
    <row r="832" spans="1:47" x14ac:dyDescent="0.2">
      <c r="A832" s="115">
        <v>829.99999999999829</v>
      </c>
      <c r="B832" s="3">
        <v>40</v>
      </c>
      <c r="C832" s="2" t="s">
        <v>736</v>
      </c>
      <c r="D832" s="65" t="s">
        <v>148</v>
      </c>
      <c r="E832" t="s">
        <v>229</v>
      </c>
      <c r="F832" s="3" t="s">
        <v>688</v>
      </c>
      <c r="G832" s="3" t="s">
        <v>688</v>
      </c>
      <c r="H832" s="17"/>
      <c r="I832" s="82">
        <v>44518</v>
      </c>
      <c r="J832" s="17" t="s">
        <v>142</v>
      </c>
      <c r="K832" s="17" t="s">
        <v>203</v>
      </c>
      <c r="L832"/>
      <c r="M832" s="123">
        <v>168</v>
      </c>
      <c r="N832" s="17">
        <v>166</v>
      </c>
      <c r="O832">
        <v>155.88</v>
      </c>
      <c r="P832">
        <v>160.07</v>
      </c>
      <c r="Q832">
        <v>37.74</v>
      </c>
      <c r="R832">
        <v>13.36</v>
      </c>
      <c r="S832">
        <v>108.7</v>
      </c>
      <c r="T832">
        <v>87.29</v>
      </c>
      <c r="U832">
        <v>61.16</v>
      </c>
      <c r="V832">
        <v>49</v>
      </c>
      <c r="W832">
        <v>69.25</v>
      </c>
      <c r="X832">
        <v>76.099999999999994</v>
      </c>
      <c r="Y832">
        <v>29.82</v>
      </c>
      <c r="Z832">
        <v>85.6</v>
      </c>
      <c r="AA832">
        <v>68.430000000000007</v>
      </c>
      <c r="AB832">
        <v>71.66</v>
      </c>
      <c r="AC832">
        <v>18.16</v>
      </c>
      <c r="AD832">
        <v>43</v>
      </c>
      <c r="AE832">
        <v>33.96</v>
      </c>
      <c r="AF832">
        <v>32.590000000000003</v>
      </c>
      <c r="AG832">
        <v>31.74</v>
      </c>
      <c r="AH832">
        <v>36.65</v>
      </c>
      <c r="AI832" s="17">
        <v>1.357</v>
      </c>
      <c r="AJ832"/>
      <c r="AK832"/>
      <c r="AL832"/>
      <c r="AM832"/>
      <c r="AN832"/>
      <c r="AO832">
        <v>12.3</v>
      </c>
      <c r="AP832">
        <v>46.9</v>
      </c>
      <c r="AQ832">
        <v>70.5</v>
      </c>
      <c r="AR832">
        <v>34.1</v>
      </c>
      <c r="AS832">
        <v>14.8</v>
      </c>
      <c r="AT832" t="s">
        <v>147</v>
      </c>
      <c r="AU832" s="17" t="s">
        <v>147</v>
      </c>
    </row>
    <row r="833" spans="1:47" x14ac:dyDescent="0.2">
      <c r="A833" s="115">
        <v>830.99999999999955</v>
      </c>
      <c r="B833" s="3">
        <v>103</v>
      </c>
      <c r="C833" s="3">
        <v>21.831</v>
      </c>
      <c r="D833" s="126" t="s">
        <v>168</v>
      </c>
      <c r="E833" t="s">
        <v>169</v>
      </c>
      <c r="F833" s="17" t="s">
        <v>170</v>
      </c>
      <c r="H833" s="3" t="s">
        <v>30</v>
      </c>
      <c r="I833" s="82">
        <v>44441</v>
      </c>
      <c r="J833" s="17" t="s">
        <v>142</v>
      </c>
      <c r="K833" s="17" t="s">
        <v>203</v>
      </c>
      <c r="L833" s="17">
        <v>219</v>
      </c>
      <c r="M833" s="17"/>
      <c r="N833" s="17">
        <v>200.7</v>
      </c>
      <c r="O833" s="17">
        <v>178.87</v>
      </c>
      <c r="P833" s="17">
        <v>190.46</v>
      </c>
      <c r="Q833" s="17">
        <v>39.93</v>
      </c>
      <c r="R833" s="17">
        <v>26.11</v>
      </c>
      <c r="S833" s="17">
        <v>121.13</v>
      </c>
      <c r="T833" s="17">
        <v>96.98</v>
      </c>
      <c r="U833" s="50">
        <v>72.180000000000007</v>
      </c>
      <c r="V833" s="50">
        <v>54.97</v>
      </c>
      <c r="W833" s="50">
        <v>73.58</v>
      </c>
      <c r="X833" s="50">
        <v>92.6</v>
      </c>
      <c r="Y833" s="50">
        <v>39.770000000000003</v>
      </c>
      <c r="Z833" s="50">
        <v>102.25</v>
      </c>
      <c r="AA833" s="50">
        <v>78.739999999999995</v>
      </c>
      <c r="AB833" s="50">
        <v>84.78</v>
      </c>
      <c r="AC833" s="50">
        <v>0.02</v>
      </c>
      <c r="AD833" s="50">
        <v>46.01</v>
      </c>
      <c r="AE833" s="17">
        <v>24.48</v>
      </c>
      <c r="AF833" s="17">
        <v>42.83</v>
      </c>
      <c r="AG833" s="17">
        <v>32.03</v>
      </c>
      <c r="AH833" s="17">
        <v>41.19</v>
      </c>
      <c r="AI833" s="17">
        <v>1.4359999999999999</v>
      </c>
      <c r="AJ833" s="17"/>
      <c r="AK833" s="17"/>
      <c r="AL833" s="17"/>
      <c r="AM833" s="17"/>
      <c r="AN833" s="17"/>
      <c r="AO833" s="17">
        <v>13</v>
      </c>
      <c r="AP833" s="17">
        <f>62+5.9</f>
        <v>67.900000000000006</v>
      </c>
      <c r="AQ833" s="17">
        <v>72.400000000000006</v>
      </c>
      <c r="AR833" s="17">
        <v>45.3</v>
      </c>
      <c r="AS833" s="17">
        <v>19.8</v>
      </c>
      <c r="AT833" t="s">
        <v>147</v>
      </c>
      <c r="AU833" s="17" t="s">
        <v>147</v>
      </c>
    </row>
    <row r="834" spans="1:47" x14ac:dyDescent="0.2">
      <c r="A834" s="115">
        <v>832.00000000000068</v>
      </c>
      <c r="B834" s="3" t="s">
        <v>737</v>
      </c>
      <c r="C834" s="4">
        <v>21.832000000000001</v>
      </c>
      <c r="D834" s="155" t="s">
        <v>151</v>
      </c>
      <c r="E834" t="s">
        <v>152</v>
      </c>
      <c r="F834" s="17" t="s">
        <v>227</v>
      </c>
      <c r="G834" s="17"/>
      <c r="H834" s="3" t="s">
        <v>89</v>
      </c>
      <c r="I834" s="82">
        <v>44555</v>
      </c>
      <c r="J834" s="3" t="s">
        <v>142</v>
      </c>
      <c r="K834" s="3" t="s">
        <v>203</v>
      </c>
      <c r="N834" s="3">
        <v>237.2</v>
      </c>
      <c r="O834" s="3">
        <v>177.19</v>
      </c>
      <c r="P834" s="3">
        <v>179.94</v>
      </c>
      <c r="Q834" s="3">
        <v>35</v>
      </c>
      <c r="R834" s="3">
        <v>18.809999999999999</v>
      </c>
      <c r="S834" s="3">
        <v>124.73</v>
      </c>
      <c r="T834" s="3">
        <v>97.76</v>
      </c>
      <c r="U834" s="3">
        <v>56.58</v>
      </c>
      <c r="V834" s="3">
        <v>46.72</v>
      </c>
      <c r="W834" s="3">
        <v>67.650000000000006</v>
      </c>
      <c r="X834" s="3">
        <v>91.57</v>
      </c>
      <c r="Y834" s="3">
        <v>38.28</v>
      </c>
      <c r="Z834" s="3">
        <v>101.15</v>
      </c>
      <c r="AA834" s="3">
        <v>79.91</v>
      </c>
      <c r="AB834" s="3">
        <v>76.52</v>
      </c>
      <c r="AC834" s="3">
        <v>19.71</v>
      </c>
      <c r="AD834" s="3">
        <v>50.81</v>
      </c>
      <c r="AE834" s="3">
        <v>35.57</v>
      </c>
      <c r="AF834" s="3">
        <v>39.44</v>
      </c>
      <c r="AG834" s="3">
        <v>38.31</v>
      </c>
      <c r="AH834" s="3">
        <v>39.01</v>
      </c>
      <c r="AI834" s="3">
        <v>1.5609999999999999</v>
      </c>
      <c r="AL834" s="3">
        <v>6</v>
      </c>
      <c r="AO834" s="3">
        <v>13.8</v>
      </c>
      <c r="AP834" s="3">
        <v>121.8</v>
      </c>
      <c r="AQ834" s="3">
        <v>45.5</v>
      </c>
      <c r="AR834" s="3">
        <v>48.4</v>
      </c>
      <c r="AS834" s="3">
        <v>20.399999999999999</v>
      </c>
      <c r="AT834" t="s">
        <v>147</v>
      </c>
      <c r="AU834" s="17" t="s">
        <v>147</v>
      </c>
    </row>
    <row r="835" spans="1:47" x14ac:dyDescent="0.2">
      <c r="A835" s="115">
        <v>832.99999999999841</v>
      </c>
      <c r="B835" s="3" t="s">
        <v>738</v>
      </c>
      <c r="C835" s="3">
        <v>21.832999999999998</v>
      </c>
      <c r="D835" s="155" t="s">
        <v>151</v>
      </c>
      <c r="E835" t="s">
        <v>162</v>
      </c>
      <c r="F835" s="3" t="s">
        <v>88</v>
      </c>
      <c r="G835" s="3" t="s">
        <v>88</v>
      </c>
      <c r="H835" s="17"/>
      <c r="I835" s="82">
        <v>44553</v>
      </c>
      <c r="J835" s="3" t="s">
        <v>142</v>
      </c>
      <c r="K835" s="3" t="s">
        <v>203</v>
      </c>
      <c r="N835" s="3">
        <v>225.5</v>
      </c>
      <c r="O835" s="3">
        <v>177.92</v>
      </c>
      <c r="P835" s="3">
        <v>184.22</v>
      </c>
      <c r="Q835" s="3">
        <v>46.17</v>
      </c>
      <c r="R835" s="3">
        <v>18.8</v>
      </c>
      <c r="S835" s="3">
        <v>117.91</v>
      </c>
      <c r="T835" s="3">
        <v>91.89</v>
      </c>
      <c r="U835" s="3">
        <v>61.22</v>
      </c>
      <c r="V835" s="3">
        <v>48.49</v>
      </c>
      <c r="W835" s="3">
        <v>71.599999999999994</v>
      </c>
      <c r="X835" s="3">
        <v>91.42</v>
      </c>
      <c r="Y835" s="3">
        <v>40.75</v>
      </c>
      <c r="Z835" s="3">
        <v>100.33</v>
      </c>
      <c r="AA835" s="3">
        <v>76.19</v>
      </c>
      <c r="AB835" s="3">
        <v>78.069999999999993</v>
      </c>
      <c r="AC835" s="3">
        <v>15.84</v>
      </c>
      <c r="AD835" s="3">
        <v>46.53</v>
      </c>
      <c r="AE835" s="3">
        <v>30.35</v>
      </c>
      <c r="AF835" s="3">
        <v>42.32</v>
      </c>
      <c r="AG835" s="3">
        <v>36.630000000000003</v>
      </c>
      <c r="AH835" s="3">
        <v>46.09</v>
      </c>
      <c r="AI835" s="3">
        <v>1.9810000000000001</v>
      </c>
      <c r="AL835" s="3">
        <v>10</v>
      </c>
      <c r="AO835" s="3">
        <v>11</v>
      </c>
      <c r="AP835" s="3">
        <v>83.5</v>
      </c>
      <c r="AQ835" s="3">
        <v>67.099999999999994</v>
      </c>
      <c r="AR835" s="3">
        <v>52.3</v>
      </c>
      <c r="AS835" s="3">
        <v>22</v>
      </c>
      <c r="AT835" t="s">
        <v>147</v>
      </c>
      <c r="AU835" s="17" t="s">
        <v>147</v>
      </c>
    </row>
    <row r="836" spans="1:47" x14ac:dyDescent="0.2">
      <c r="A836" s="115">
        <v>833.99999999999966</v>
      </c>
      <c r="B836" s="3" t="s">
        <v>739</v>
      </c>
      <c r="C836" s="4">
        <v>21.834</v>
      </c>
      <c r="D836" s="155" t="s">
        <v>151</v>
      </c>
      <c r="E836" t="s">
        <v>152</v>
      </c>
      <c r="F836" s="17" t="s">
        <v>227</v>
      </c>
      <c r="G836" s="17"/>
      <c r="H836" s="3" t="s">
        <v>89</v>
      </c>
      <c r="I836" s="82">
        <v>44555</v>
      </c>
      <c r="J836" s="3" t="s">
        <v>142</v>
      </c>
      <c r="K836" s="3" t="s">
        <v>203</v>
      </c>
      <c r="N836" s="3">
        <v>232.3</v>
      </c>
      <c r="O836" s="3">
        <v>174.8</v>
      </c>
      <c r="P836" s="3">
        <v>178.21</v>
      </c>
      <c r="Q836" s="3">
        <v>38.29</v>
      </c>
      <c r="R836" s="3">
        <v>17.329999999999998</v>
      </c>
      <c r="S836" s="3">
        <v>120.61</v>
      </c>
      <c r="T836" s="3">
        <v>97.7</v>
      </c>
      <c r="U836" s="3">
        <v>58.67</v>
      </c>
      <c r="V836" s="3">
        <v>48.95</v>
      </c>
      <c r="W836" s="3">
        <v>65.84</v>
      </c>
      <c r="X836" s="3">
        <v>93.11</v>
      </c>
      <c r="Y836" s="3">
        <v>40.1</v>
      </c>
      <c r="Z836" s="3">
        <v>101.91</v>
      </c>
      <c r="AA836" s="3">
        <v>81</v>
      </c>
      <c r="AB836" s="3">
        <v>76.33</v>
      </c>
      <c r="AC836" s="3">
        <v>20.96</v>
      </c>
      <c r="AD836" s="3">
        <v>50.61</v>
      </c>
      <c r="AE836" s="3">
        <v>31.67</v>
      </c>
      <c r="AF836" s="3">
        <v>44.03</v>
      </c>
      <c r="AG836" s="3">
        <v>35.630000000000003</v>
      </c>
      <c r="AH836" s="3">
        <v>39.82</v>
      </c>
      <c r="AI836" s="3">
        <v>1.659</v>
      </c>
      <c r="AO836" s="3">
        <v>15.5</v>
      </c>
      <c r="AP836" s="3">
        <v>112.3</v>
      </c>
      <c r="AQ836" s="3">
        <v>54.9</v>
      </c>
      <c r="AR836" s="3">
        <v>47.7</v>
      </c>
      <c r="AS836" s="3">
        <v>20.2</v>
      </c>
      <c r="AT836" t="s">
        <v>147</v>
      </c>
      <c r="AU836" s="17" t="s">
        <v>147</v>
      </c>
    </row>
    <row r="837" spans="1:47" x14ac:dyDescent="0.2">
      <c r="A837" s="115">
        <v>835.00000000000091</v>
      </c>
      <c r="B837" s="3" t="s">
        <v>740</v>
      </c>
      <c r="C837" s="3">
        <v>21.835000000000001</v>
      </c>
      <c r="D837" s="155" t="s">
        <v>151</v>
      </c>
      <c r="E837" t="s">
        <v>152</v>
      </c>
      <c r="F837" s="17" t="s">
        <v>227</v>
      </c>
      <c r="G837" s="17"/>
      <c r="H837" s="3" t="s">
        <v>90</v>
      </c>
      <c r="I837" s="82">
        <v>44559</v>
      </c>
      <c r="J837" s="3" t="s">
        <v>142</v>
      </c>
      <c r="K837" s="3" t="s">
        <v>203</v>
      </c>
      <c r="N837" s="3">
        <v>218.9</v>
      </c>
      <c r="O837" s="3">
        <v>173.73</v>
      </c>
      <c r="P837" s="3">
        <v>191.45</v>
      </c>
      <c r="Q837" s="3">
        <v>41.88</v>
      </c>
      <c r="R837" s="3">
        <v>26.11</v>
      </c>
      <c r="S837" s="3">
        <v>116.49</v>
      </c>
      <c r="T837" s="3">
        <v>89.27</v>
      </c>
      <c r="U837" s="3">
        <v>68.040000000000006</v>
      </c>
      <c r="V837" s="3">
        <v>55.03</v>
      </c>
      <c r="W837" s="3">
        <v>73.58</v>
      </c>
      <c r="X837" s="3">
        <v>87.2</v>
      </c>
      <c r="Y837" s="3">
        <v>38.36</v>
      </c>
      <c r="Z837" s="3">
        <v>99.37</v>
      </c>
      <c r="AA837" s="3">
        <v>78.900000000000006</v>
      </c>
      <c r="AB837" s="3">
        <v>81.58</v>
      </c>
      <c r="AC837" s="3">
        <v>24.21</v>
      </c>
      <c r="AD837" s="3">
        <v>45.24</v>
      </c>
      <c r="AE837" s="3">
        <v>25.98</v>
      </c>
      <c r="AF837" s="3">
        <v>40.94</v>
      </c>
      <c r="AG837" s="3">
        <v>36.1</v>
      </c>
      <c r="AH837" s="3">
        <v>44.22</v>
      </c>
      <c r="AI837" s="3">
        <v>2.0009999999999999</v>
      </c>
      <c r="AL837" s="3">
        <v>6</v>
      </c>
      <c r="AO837" s="3">
        <v>13.6</v>
      </c>
      <c r="AP837" s="3">
        <v>90.4</v>
      </c>
      <c r="AQ837" s="3">
        <v>54.8</v>
      </c>
      <c r="AR837" s="3">
        <v>51.6</v>
      </c>
      <c r="AS837" s="3">
        <v>21.9</v>
      </c>
      <c r="AT837" t="s">
        <v>147</v>
      </c>
      <c r="AU837" s="17" t="s">
        <v>147</v>
      </c>
    </row>
    <row r="838" spans="1:47" x14ac:dyDescent="0.2">
      <c r="A838" s="115">
        <v>835.99999999999852</v>
      </c>
      <c r="B838" s="3" t="s">
        <v>741</v>
      </c>
      <c r="C838" s="4">
        <v>21.835999999999999</v>
      </c>
      <c r="D838" s="155" t="s">
        <v>151</v>
      </c>
      <c r="E838" t="s">
        <v>152</v>
      </c>
      <c r="F838" s="17" t="s">
        <v>227</v>
      </c>
      <c r="H838" s="3" t="s">
        <v>90</v>
      </c>
      <c r="I838" s="82">
        <v>44559</v>
      </c>
      <c r="J838" s="3" t="s">
        <v>142</v>
      </c>
      <c r="K838" s="3" t="s">
        <v>203</v>
      </c>
      <c r="N838" s="3">
        <v>217.1</v>
      </c>
      <c r="O838" s="3">
        <v>174.52</v>
      </c>
      <c r="P838" s="3">
        <v>184.6</v>
      </c>
      <c r="Q838" s="3">
        <v>43.8</v>
      </c>
      <c r="R838" s="3">
        <v>28</v>
      </c>
      <c r="S838" s="3">
        <v>113.4</v>
      </c>
      <c r="T838" s="3">
        <v>89.17</v>
      </c>
      <c r="U838" s="3">
        <v>65.87</v>
      </c>
      <c r="V838" s="3">
        <v>54.47</v>
      </c>
      <c r="W838" s="3">
        <v>76.55</v>
      </c>
      <c r="X838" s="3">
        <v>94.26</v>
      </c>
      <c r="Y838" s="3">
        <v>40.21</v>
      </c>
      <c r="Z838" s="3">
        <v>101.15</v>
      </c>
      <c r="AA838" s="3">
        <v>80.95</v>
      </c>
      <c r="AB838" s="3">
        <v>82.87</v>
      </c>
      <c r="AC838" s="3">
        <v>26.26</v>
      </c>
      <c r="AD838" s="3">
        <v>44.81</v>
      </c>
      <c r="AE838" s="3">
        <v>26.06</v>
      </c>
      <c r="AF838" s="3">
        <v>44.44</v>
      </c>
      <c r="AG838" s="3">
        <v>32.869999999999997</v>
      </c>
      <c r="AH838" s="3">
        <v>45.25</v>
      </c>
      <c r="AI838" s="3">
        <v>1.766</v>
      </c>
      <c r="AL838" s="3">
        <v>8</v>
      </c>
      <c r="AO838" s="3">
        <v>14.5</v>
      </c>
      <c r="AP838" s="3">
        <v>96</v>
      </c>
      <c r="AQ838" s="3">
        <v>45</v>
      </c>
      <c r="AR838" s="3">
        <v>50.9</v>
      </c>
      <c r="AS838" s="3">
        <v>21.5</v>
      </c>
      <c r="AT838" t="s">
        <v>147</v>
      </c>
      <c r="AU838" s="17" t="s">
        <v>147</v>
      </c>
    </row>
    <row r="839" spans="1:47" x14ac:dyDescent="0.2">
      <c r="A839" s="115">
        <v>836.99999999999977</v>
      </c>
      <c r="B839" s="3" t="s">
        <v>742</v>
      </c>
      <c r="C839" s="3">
        <v>21.837</v>
      </c>
      <c r="D839" s="155" t="s">
        <v>151</v>
      </c>
      <c r="E839" t="s">
        <v>162</v>
      </c>
      <c r="F839" s="3" t="s">
        <v>88</v>
      </c>
      <c r="G839" s="3" t="s">
        <v>88</v>
      </c>
      <c r="I839" s="82">
        <v>44553</v>
      </c>
      <c r="J839" s="3" t="s">
        <v>142</v>
      </c>
      <c r="K839" s="3" t="s">
        <v>203</v>
      </c>
      <c r="N839" s="3">
        <v>239.1</v>
      </c>
      <c r="O839" s="3">
        <v>186.38</v>
      </c>
      <c r="P839" s="3">
        <v>192.19</v>
      </c>
      <c r="Q839" s="3">
        <v>44.95</v>
      </c>
      <c r="R839" s="3">
        <v>23.49</v>
      </c>
      <c r="S839" s="3">
        <v>121.98</v>
      </c>
      <c r="T839" s="3">
        <v>88.96</v>
      </c>
      <c r="U839" s="3">
        <v>57.28</v>
      </c>
      <c r="V839" s="3">
        <v>46.44</v>
      </c>
      <c r="W839" s="3">
        <v>69.040000000000006</v>
      </c>
      <c r="X839" s="3">
        <v>93.21</v>
      </c>
      <c r="Y839" s="3">
        <v>39.86</v>
      </c>
      <c r="Z839" s="3">
        <v>100.55</v>
      </c>
      <c r="AA839" s="3">
        <v>76.83</v>
      </c>
      <c r="AB839" s="3">
        <v>79.38</v>
      </c>
      <c r="AC839" s="3">
        <v>10.11</v>
      </c>
      <c r="AD839" s="3">
        <v>47.01</v>
      </c>
      <c r="AE839" s="3">
        <v>32.299999999999997</v>
      </c>
      <c r="AF839" s="3">
        <v>41.12</v>
      </c>
      <c r="AG839" s="3">
        <v>41.21</v>
      </c>
      <c r="AH839" s="3">
        <v>45.26</v>
      </c>
      <c r="AI839" s="3">
        <v>1.98</v>
      </c>
      <c r="AL839" s="3">
        <v>16</v>
      </c>
      <c r="AO839" s="3">
        <v>13.3</v>
      </c>
      <c r="AP839" s="3">
        <v>97</v>
      </c>
      <c r="AQ839" s="3">
        <v>50.5</v>
      </c>
      <c r="AR839" s="3">
        <v>58.6</v>
      </c>
      <c r="AS839" s="3">
        <v>24.6</v>
      </c>
      <c r="AT839" t="s">
        <v>147</v>
      </c>
      <c r="AU839" s="17" t="s">
        <v>147</v>
      </c>
    </row>
    <row r="840" spans="1:47" x14ac:dyDescent="0.2">
      <c r="A840" s="115">
        <v>838.00000000000091</v>
      </c>
      <c r="B840" s="3" t="s">
        <v>743</v>
      </c>
      <c r="C840" s="4">
        <v>21.838000000000001</v>
      </c>
      <c r="D840" s="155" t="s">
        <v>151</v>
      </c>
      <c r="E840" t="s">
        <v>162</v>
      </c>
      <c r="F840" s="3" t="s">
        <v>88</v>
      </c>
      <c r="G840" s="3" t="s">
        <v>88</v>
      </c>
      <c r="I840" s="82">
        <v>44553</v>
      </c>
      <c r="J840" s="3" t="s">
        <v>142</v>
      </c>
      <c r="K840" s="3" t="s">
        <v>203</v>
      </c>
      <c r="N840" s="3">
        <v>229.1</v>
      </c>
      <c r="O840" s="3">
        <v>180.07</v>
      </c>
      <c r="P840" s="3">
        <v>190.54</v>
      </c>
      <c r="Q840" s="3">
        <v>45.98</v>
      </c>
      <c r="R840" s="3">
        <v>19.54</v>
      </c>
      <c r="S840" s="3">
        <v>120.57</v>
      </c>
      <c r="T840" s="3">
        <v>91.69</v>
      </c>
      <c r="U840" s="3">
        <v>58.74</v>
      </c>
      <c r="V840" s="3">
        <v>45.94</v>
      </c>
      <c r="W840" s="3">
        <v>67.84</v>
      </c>
      <c r="X840" s="3">
        <v>89.35</v>
      </c>
      <c r="Y840" s="3">
        <v>38.39</v>
      </c>
      <c r="Z840" s="3">
        <v>98.6</v>
      </c>
      <c r="AA840" s="3">
        <v>76.27</v>
      </c>
      <c r="AB840" s="3">
        <v>76.69</v>
      </c>
      <c r="AC840" s="3">
        <v>10.59</v>
      </c>
      <c r="AD840" s="3">
        <v>47.07</v>
      </c>
      <c r="AE840" s="3">
        <v>30.23</v>
      </c>
      <c r="AF840" s="3">
        <v>42.17</v>
      </c>
      <c r="AG840" s="3">
        <v>39.42</v>
      </c>
      <c r="AH840" s="3">
        <v>44.43</v>
      </c>
      <c r="AI840" s="3">
        <v>2.0640000000000001</v>
      </c>
      <c r="AL840" s="3">
        <v>54</v>
      </c>
      <c r="AO840" s="3">
        <v>12.6</v>
      </c>
      <c r="AP840" s="3">
        <v>83.2</v>
      </c>
      <c r="AQ840" s="3">
        <v>24</v>
      </c>
      <c r="AR840" s="3">
        <v>52.4</v>
      </c>
      <c r="AS840" s="3">
        <v>22</v>
      </c>
      <c r="AT840" t="s">
        <v>147</v>
      </c>
      <c r="AU840" s="17" t="s">
        <v>147</v>
      </c>
    </row>
    <row r="841" spans="1:47" x14ac:dyDescent="0.2">
      <c r="A841" s="115">
        <v>838.99999999999864</v>
      </c>
      <c r="B841" s="157" t="s">
        <v>744</v>
      </c>
      <c r="C841" s="3">
        <v>21.838999999999999</v>
      </c>
      <c r="D841" s="155" t="s">
        <v>151</v>
      </c>
      <c r="E841" t="s">
        <v>152</v>
      </c>
      <c r="F841" s="17" t="s">
        <v>227</v>
      </c>
      <c r="H841" s="157" t="s">
        <v>89</v>
      </c>
      <c r="I841" s="161">
        <v>44556</v>
      </c>
      <c r="J841" s="3" t="s">
        <v>142</v>
      </c>
      <c r="K841" s="3" t="s">
        <v>203</v>
      </c>
      <c r="L841" s="157"/>
      <c r="M841" s="157"/>
      <c r="N841" s="157">
        <v>233.5</v>
      </c>
      <c r="O841" s="157">
        <v>173.26</v>
      </c>
      <c r="P841" s="157">
        <v>175.66</v>
      </c>
      <c r="Q841" s="157">
        <v>35.92</v>
      </c>
      <c r="R841" s="157">
        <v>16.559999999999999</v>
      </c>
      <c r="S841" s="157">
        <v>120.76</v>
      </c>
      <c r="T841" s="157">
        <v>97.61</v>
      </c>
      <c r="U841" s="157">
        <v>59.31</v>
      </c>
      <c r="V841" s="157">
        <v>47.85</v>
      </c>
      <c r="W841" s="157">
        <v>65.010000000000005</v>
      </c>
      <c r="X841" s="157">
        <v>91.36</v>
      </c>
      <c r="Y841" s="157">
        <v>38.909999999999997</v>
      </c>
      <c r="Z841" s="157">
        <v>101.02</v>
      </c>
      <c r="AA841" s="157">
        <v>80.849999999999994</v>
      </c>
      <c r="AB841" s="157">
        <v>72.349999999999994</v>
      </c>
      <c r="AC841" s="157">
        <v>17.82</v>
      </c>
      <c r="AD841" s="157">
        <v>49.51</v>
      </c>
      <c r="AE841" s="157">
        <v>30.49</v>
      </c>
      <c r="AF841" s="157">
        <v>38.44</v>
      </c>
      <c r="AG841" s="157">
        <v>34.47</v>
      </c>
      <c r="AH841" s="157">
        <v>39.83</v>
      </c>
      <c r="AI841" s="157">
        <v>1.6659999999999999</v>
      </c>
      <c r="AJ841" s="157"/>
      <c r="AK841" s="157"/>
      <c r="AL841" s="157">
        <v>5</v>
      </c>
      <c r="AM841" s="157"/>
      <c r="AN841" s="157"/>
      <c r="AO841" s="157">
        <v>15.3</v>
      </c>
      <c r="AP841" s="157">
        <v>99.6</v>
      </c>
      <c r="AQ841" s="157">
        <v>61.6</v>
      </c>
      <c r="AR841" s="157">
        <v>47.8</v>
      </c>
      <c r="AS841" s="157">
        <v>20.100000000000001</v>
      </c>
      <c r="AT841" t="s">
        <v>147</v>
      </c>
      <c r="AU841" s="17" t="s">
        <v>147</v>
      </c>
    </row>
    <row r="842" spans="1:47" x14ac:dyDescent="0.2">
      <c r="A842" s="115">
        <v>839.99999999999989</v>
      </c>
      <c r="B842" s="3">
        <v>194</v>
      </c>
      <c r="C842" s="2" t="s">
        <v>745</v>
      </c>
      <c r="D842" s="129" t="s">
        <v>140</v>
      </c>
      <c r="E842" t="s">
        <v>141</v>
      </c>
      <c r="F842" s="3" t="s">
        <v>60</v>
      </c>
      <c r="G842"/>
      <c r="H842" s="3" t="s">
        <v>60</v>
      </c>
      <c r="I842" s="82">
        <v>44540</v>
      </c>
      <c r="J842" s="17" t="s">
        <v>142</v>
      </c>
      <c r="K842" s="17" t="s">
        <v>203</v>
      </c>
      <c r="L842" s="17"/>
      <c r="M842" s="17">
        <v>214.7</v>
      </c>
      <c r="N842" s="17">
        <v>216.2</v>
      </c>
      <c r="O842" s="17">
        <v>158.61000000000001</v>
      </c>
      <c r="P842" s="17">
        <v>173.26</v>
      </c>
      <c r="Q842" s="17">
        <v>30.26</v>
      </c>
      <c r="R842" s="17">
        <v>20.03</v>
      </c>
      <c r="S842" s="17">
        <v>116.14</v>
      </c>
      <c r="T842" s="17">
        <v>94.39</v>
      </c>
      <c r="U842" s="50">
        <v>63.17</v>
      </c>
      <c r="V842" s="50">
        <v>46.22</v>
      </c>
      <c r="W842" s="50">
        <v>73.650000000000006</v>
      </c>
      <c r="X842" s="50">
        <v>90.51</v>
      </c>
      <c r="Y842" s="50">
        <v>40.43</v>
      </c>
      <c r="Z842" s="50">
        <v>96.32</v>
      </c>
      <c r="AA842" s="50">
        <v>77.02</v>
      </c>
      <c r="AB842" s="50">
        <v>72.62</v>
      </c>
      <c r="AC842" s="50">
        <v>8.2100000000000009</v>
      </c>
      <c r="AD842" s="50">
        <v>47.41</v>
      </c>
      <c r="AE842" s="17">
        <v>24.3</v>
      </c>
      <c r="AF842" s="17">
        <v>32.99</v>
      </c>
      <c r="AG842" s="17">
        <v>32.85</v>
      </c>
      <c r="AH842" s="17">
        <v>38.71</v>
      </c>
      <c r="AI842" s="17">
        <v>1.9219999999999999</v>
      </c>
      <c r="AJ842" s="17"/>
      <c r="AK842" s="17"/>
      <c r="AL842" s="17">
        <v>40</v>
      </c>
      <c r="AM842" s="17"/>
      <c r="AN842" s="17"/>
      <c r="AO842" s="17">
        <v>12.7</v>
      </c>
      <c r="AP842" s="17">
        <v>78.3</v>
      </c>
      <c r="AQ842" s="17">
        <v>35.1</v>
      </c>
      <c r="AR842" s="17">
        <v>47.6</v>
      </c>
      <c r="AS842" s="17">
        <v>20.100000000000001</v>
      </c>
      <c r="AT842" t="s">
        <v>147</v>
      </c>
      <c r="AU842" s="17" t="s">
        <v>147</v>
      </c>
    </row>
    <row r="843" spans="1:47" x14ac:dyDescent="0.2">
      <c r="A843" s="115">
        <v>841.00000000000114</v>
      </c>
      <c r="B843" s="3">
        <v>195</v>
      </c>
      <c r="C843" s="3">
        <v>21.841000000000001</v>
      </c>
      <c r="D843" s="129" t="s">
        <v>140</v>
      </c>
      <c r="E843" t="s">
        <v>141</v>
      </c>
      <c r="F843" s="3" t="s">
        <v>60</v>
      </c>
      <c r="G843"/>
      <c r="H843" s="3" t="s">
        <v>60</v>
      </c>
      <c r="I843" s="82">
        <v>44540</v>
      </c>
      <c r="J843" s="17" t="s">
        <v>142</v>
      </c>
      <c r="K843" s="17" t="s">
        <v>203</v>
      </c>
      <c r="L843" s="17"/>
      <c r="M843" s="17">
        <v>153.80000000000001</v>
      </c>
      <c r="N843" s="17">
        <v>153</v>
      </c>
      <c r="O843" s="17">
        <v>132.34</v>
      </c>
      <c r="P843" s="17">
        <v>143.4</v>
      </c>
      <c r="Q843" s="17">
        <v>32.82</v>
      </c>
      <c r="R843" s="17">
        <v>8.56</v>
      </c>
      <c r="S843" s="17">
        <v>93.08</v>
      </c>
      <c r="T843" s="17">
        <v>81.56</v>
      </c>
      <c r="U843" s="50">
        <v>67.17</v>
      </c>
      <c r="V843" s="50">
        <v>60.17</v>
      </c>
      <c r="W843" s="50">
        <v>76.61</v>
      </c>
      <c r="X843" s="50">
        <v>83.08</v>
      </c>
      <c r="Y843" s="50">
        <v>42.54</v>
      </c>
      <c r="Z843" s="50">
        <v>95.1</v>
      </c>
      <c r="AA843" s="50">
        <v>68.42</v>
      </c>
      <c r="AB843" s="50">
        <v>78.23</v>
      </c>
      <c r="AC843" s="50">
        <v>23.21</v>
      </c>
      <c r="AD843" s="50">
        <v>39.21</v>
      </c>
      <c r="AE843" s="17">
        <v>24.64</v>
      </c>
      <c r="AF843" s="17">
        <v>36.96</v>
      </c>
      <c r="AG843" s="17">
        <v>23.58</v>
      </c>
      <c r="AH843" s="17">
        <v>36.57</v>
      </c>
      <c r="AI843" s="17">
        <v>2.0449999999999999</v>
      </c>
      <c r="AJ843" s="17"/>
      <c r="AK843" s="17"/>
      <c r="AL843" s="17"/>
      <c r="AM843" s="17"/>
      <c r="AN843" s="17"/>
      <c r="AO843" s="17">
        <v>13.7</v>
      </c>
      <c r="AP843" s="17">
        <v>84.3</v>
      </c>
      <c r="AQ843" s="17">
        <v>7.7</v>
      </c>
      <c r="AR843" s="17">
        <v>45.3</v>
      </c>
      <c r="AS843" s="17">
        <v>19.3</v>
      </c>
      <c r="AT843" t="s">
        <v>147</v>
      </c>
      <c r="AU843" s="17" t="s">
        <v>147</v>
      </c>
    </row>
    <row r="844" spans="1:47" x14ac:dyDescent="0.2">
      <c r="A844" s="115">
        <v>841.99999999999875</v>
      </c>
      <c r="C844" s="4">
        <v>21.841999999999999</v>
      </c>
      <c r="D844" s="102"/>
      <c r="F844"/>
      <c r="G844"/>
      <c r="H844"/>
      <c r="I844" s="94"/>
      <c r="J844" s="17"/>
      <c r="K844" s="17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 s="17"/>
      <c r="AM844"/>
      <c r="AN844"/>
      <c r="AO844"/>
      <c r="AP844"/>
      <c r="AQ844"/>
      <c r="AR844"/>
      <c r="AS844"/>
      <c r="AU844" s="17"/>
    </row>
    <row r="845" spans="1:47" x14ac:dyDescent="0.2">
      <c r="A845" s="115">
        <v>843</v>
      </c>
      <c r="B845" s="3" t="s">
        <v>746</v>
      </c>
      <c r="C845" s="3">
        <v>21.843</v>
      </c>
      <c r="D845" s="155" t="s">
        <v>151</v>
      </c>
      <c r="E845" t="s">
        <v>162</v>
      </c>
      <c r="F845" s="3" t="s">
        <v>88</v>
      </c>
      <c r="G845" s="3" t="s">
        <v>88</v>
      </c>
      <c r="H845"/>
      <c r="I845" s="82">
        <v>44350</v>
      </c>
      <c r="J845" s="3" t="s">
        <v>492</v>
      </c>
      <c r="K845" s="3" t="s">
        <v>203</v>
      </c>
      <c r="N845" s="3">
        <v>225.6</v>
      </c>
      <c r="O845" s="3">
        <v>182.77</v>
      </c>
      <c r="P845" s="3">
        <v>188.59</v>
      </c>
      <c r="Q845" s="3">
        <v>45.15</v>
      </c>
      <c r="R845" s="3">
        <v>22.02</v>
      </c>
      <c r="S845" s="3">
        <v>121.32</v>
      </c>
      <c r="T845" s="3">
        <v>94.67</v>
      </c>
      <c r="U845" s="3">
        <v>65.569999999999993</v>
      </c>
      <c r="V845" s="3">
        <v>50.7</v>
      </c>
      <c r="W845" s="3">
        <v>71.709999999999994</v>
      </c>
      <c r="X845" s="3">
        <v>93.54</v>
      </c>
      <c r="Y845" s="3">
        <v>42.41</v>
      </c>
      <c r="Z845" s="3">
        <v>105.87</v>
      </c>
      <c r="AA845" s="3">
        <v>81.52</v>
      </c>
      <c r="AB845" s="3">
        <v>82.94</v>
      </c>
      <c r="AC845" s="3">
        <v>18.41</v>
      </c>
      <c r="AD845" s="3">
        <v>46</v>
      </c>
      <c r="AE845" s="3">
        <v>29.93</v>
      </c>
      <c r="AF845" s="3">
        <v>40.31</v>
      </c>
      <c r="AG845" s="3">
        <v>44.17</v>
      </c>
      <c r="AH845" s="3">
        <v>44.35</v>
      </c>
      <c r="AT845" t="s">
        <v>147</v>
      </c>
      <c r="AU845" s="17" t="s">
        <v>147</v>
      </c>
    </row>
    <row r="846" spans="1:47" x14ac:dyDescent="0.2">
      <c r="A846" s="115">
        <v>844.00000000000114</v>
      </c>
      <c r="B846" s="3" t="s">
        <v>747</v>
      </c>
      <c r="C846" s="4">
        <v>21.844000000000001</v>
      </c>
      <c r="D846" s="155" t="s">
        <v>151</v>
      </c>
      <c r="E846" t="s">
        <v>162</v>
      </c>
      <c r="F846" s="3" t="s">
        <v>88</v>
      </c>
      <c r="G846" s="3" t="s">
        <v>88</v>
      </c>
      <c r="H846"/>
      <c r="I846" s="82">
        <v>44350</v>
      </c>
      <c r="J846" s="3" t="s">
        <v>492</v>
      </c>
      <c r="K846" s="3" t="s">
        <v>203</v>
      </c>
      <c r="N846" s="3">
        <v>211.3</v>
      </c>
      <c r="O846" s="3">
        <v>178.29</v>
      </c>
      <c r="P846" s="3">
        <v>188.78</v>
      </c>
      <c r="Q846" s="3">
        <v>47.83</v>
      </c>
      <c r="R846" s="3">
        <v>21.01</v>
      </c>
      <c r="S846" s="3">
        <v>118.09</v>
      </c>
      <c r="T846" s="3">
        <v>89.68</v>
      </c>
      <c r="U846" s="3">
        <v>63.65</v>
      </c>
      <c r="V846" s="3">
        <v>49.59</v>
      </c>
      <c r="W846" s="3">
        <v>72.430000000000007</v>
      </c>
      <c r="X846" s="3">
        <v>95.69</v>
      </c>
      <c r="Y846" s="3">
        <v>42.79</v>
      </c>
      <c r="Z846" s="3">
        <v>104.61</v>
      </c>
      <c r="AA846" s="3">
        <v>81.489999999999995</v>
      </c>
      <c r="AB846" s="3">
        <v>81.78</v>
      </c>
      <c r="AC846" s="3">
        <v>14.98</v>
      </c>
      <c r="AD846" s="3">
        <v>46.83</v>
      </c>
      <c r="AE846" s="3">
        <v>28.93</v>
      </c>
      <c r="AF846" s="3">
        <v>45.51</v>
      </c>
      <c r="AG846" s="3">
        <v>37.700000000000003</v>
      </c>
      <c r="AH846" s="3">
        <v>44</v>
      </c>
      <c r="AT846" t="s">
        <v>147</v>
      </c>
      <c r="AU846" s="17" t="s">
        <v>147</v>
      </c>
    </row>
    <row r="847" spans="1:47" x14ac:dyDescent="0.2">
      <c r="A847" s="115">
        <v>844.99999999999886</v>
      </c>
      <c r="B847" s="3" t="s">
        <v>748</v>
      </c>
      <c r="C847" s="3">
        <v>21.844999999999999</v>
      </c>
      <c r="D847" s="155" t="s">
        <v>151</v>
      </c>
      <c r="E847" t="s">
        <v>162</v>
      </c>
      <c r="F847" s="3" t="s">
        <v>88</v>
      </c>
      <c r="G847" s="3" t="s">
        <v>88</v>
      </c>
      <c r="H847"/>
      <c r="I847" s="82">
        <v>44350</v>
      </c>
      <c r="J847" s="3" t="s">
        <v>492</v>
      </c>
      <c r="K847" s="3" t="s">
        <v>203</v>
      </c>
      <c r="N847" s="3">
        <v>225.2</v>
      </c>
      <c r="O847" s="3">
        <v>177.91</v>
      </c>
      <c r="P847" s="3">
        <v>187.24</v>
      </c>
      <c r="Q847" s="3">
        <v>43.55</v>
      </c>
      <c r="R847" s="3">
        <v>18.739999999999998</v>
      </c>
      <c r="S847" s="3">
        <v>124.21</v>
      </c>
      <c r="T847" s="3">
        <v>93.04</v>
      </c>
      <c r="U847" s="3">
        <v>62.21</v>
      </c>
      <c r="V847" s="3">
        <v>47.64</v>
      </c>
      <c r="W847" s="3">
        <v>70.61</v>
      </c>
      <c r="X847" s="3">
        <v>92.39</v>
      </c>
      <c r="Y847" s="3">
        <v>41.3</v>
      </c>
      <c r="Z847" s="3">
        <v>101.51</v>
      </c>
      <c r="AA847" s="3">
        <v>77.989999999999995</v>
      </c>
      <c r="AB847" s="3">
        <v>82.52</v>
      </c>
      <c r="AC847" s="3">
        <v>19.95</v>
      </c>
      <c r="AD847" s="3">
        <v>47.65</v>
      </c>
      <c r="AE847" s="3">
        <v>30.82</v>
      </c>
      <c r="AF847" s="3">
        <v>41.35</v>
      </c>
      <c r="AG847" s="3">
        <v>38.770000000000003</v>
      </c>
      <c r="AH847" s="3">
        <v>41.56</v>
      </c>
      <c r="AT847" t="s">
        <v>147</v>
      </c>
      <c r="AU847" s="17" t="s">
        <v>147</v>
      </c>
    </row>
    <row r="848" spans="1:47" x14ac:dyDescent="0.2">
      <c r="A848" s="115">
        <v>846.00000000000011</v>
      </c>
      <c r="B848" s="3" t="s">
        <v>749</v>
      </c>
      <c r="C848" s="4">
        <v>21.846</v>
      </c>
      <c r="D848" s="155" t="s">
        <v>151</v>
      </c>
      <c r="E848" t="s">
        <v>152</v>
      </c>
      <c r="F848" s="17" t="s">
        <v>227</v>
      </c>
      <c r="G848"/>
      <c r="H848" s="3" t="s">
        <v>90</v>
      </c>
      <c r="I848" s="82">
        <v>44308</v>
      </c>
      <c r="J848" s="3" t="s">
        <v>492</v>
      </c>
      <c r="K848" s="3" t="s">
        <v>203</v>
      </c>
      <c r="N848" s="3">
        <v>179.3</v>
      </c>
      <c r="O848" s="3">
        <v>170.63</v>
      </c>
      <c r="P848" s="3">
        <v>189.83</v>
      </c>
      <c r="Q848" s="3">
        <v>43.68</v>
      </c>
      <c r="R848" s="3">
        <v>31.09</v>
      </c>
      <c r="S848" s="3">
        <v>109.83</v>
      </c>
      <c r="T848" s="3">
        <v>87.08</v>
      </c>
      <c r="U848" s="3">
        <v>67.11</v>
      </c>
      <c r="V848" s="3">
        <v>53.58</v>
      </c>
      <c r="W848" s="3">
        <v>76.989999999999995</v>
      </c>
      <c r="X848" s="3">
        <v>89.65</v>
      </c>
      <c r="Y848" s="3">
        <v>40.47</v>
      </c>
      <c r="Z848" s="3">
        <v>99.28</v>
      </c>
      <c r="AA848" s="3">
        <v>75.95</v>
      </c>
      <c r="AB848" s="3">
        <v>81.400000000000006</v>
      </c>
      <c r="AC848" s="3">
        <v>26.38</v>
      </c>
      <c r="AD848" s="3">
        <v>42.97</v>
      </c>
      <c r="AE848" s="3">
        <v>31.51</v>
      </c>
      <c r="AF848" s="3">
        <v>41.07</v>
      </c>
      <c r="AG848" s="3">
        <v>43.04</v>
      </c>
      <c r="AH848" s="3">
        <v>44.57</v>
      </c>
      <c r="AT848" t="s">
        <v>147</v>
      </c>
      <c r="AU848" s="17" t="s">
        <v>147</v>
      </c>
    </row>
    <row r="849" spans="1:47" x14ac:dyDescent="0.2">
      <c r="A849" s="115">
        <v>847.00000000000136</v>
      </c>
      <c r="B849" s="3" t="s">
        <v>750</v>
      </c>
      <c r="C849" s="3">
        <v>21.847000000000001</v>
      </c>
      <c r="D849" s="155" t="s">
        <v>151</v>
      </c>
      <c r="E849" t="s">
        <v>152</v>
      </c>
      <c r="F849" s="17" t="s">
        <v>227</v>
      </c>
      <c r="G849"/>
      <c r="H849" s="3" t="s">
        <v>90</v>
      </c>
      <c r="I849" s="82">
        <v>44308</v>
      </c>
      <c r="J849" s="3" t="s">
        <v>492</v>
      </c>
      <c r="K849" s="3" t="s">
        <v>203</v>
      </c>
      <c r="N849" s="3">
        <v>179.1</v>
      </c>
      <c r="O849" s="3">
        <v>179.58</v>
      </c>
      <c r="P849" s="3">
        <v>191.04</v>
      </c>
      <c r="Q849" s="3">
        <v>45.34</v>
      </c>
      <c r="R849" s="3">
        <v>29.03</v>
      </c>
      <c r="S849" s="3">
        <v>115.92</v>
      </c>
      <c r="T849" s="3">
        <v>89.23</v>
      </c>
      <c r="U849" s="3">
        <v>64.790000000000006</v>
      </c>
      <c r="V849" s="3">
        <v>54.61</v>
      </c>
      <c r="W849" s="3">
        <v>78.459999999999994</v>
      </c>
      <c r="X849" s="3">
        <v>94.39</v>
      </c>
      <c r="Y849" s="3">
        <v>38.99</v>
      </c>
      <c r="Z849" s="3">
        <v>101.67</v>
      </c>
      <c r="AA849" s="3">
        <v>76.900000000000006</v>
      </c>
      <c r="AB849" s="3">
        <v>80.239999999999995</v>
      </c>
      <c r="AC849" s="3">
        <v>25.08</v>
      </c>
      <c r="AD849" s="3">
        <v>42.97</v>
      </c>
      <c r="AE849" s="3">
        <v>30.47</v>
      </c>
      <c r="AF849" s="3">
        <v>43.63</v>
      </c>
      <c r="AG849" s="3">
        <v>35.43</v>
      </c>
      <c r="AH849" s="3">
        <v>43.94</v>
      </c>
      <c r="AT849" t="s">
        <v>147</v>
      </c>
      <c r="AU849" s="17" t="s">
        <v>147</v>
      </c>
    </row>
    <row r="850" spans="1:47" x14ac:dyDescent="0.2">
      <c r="A850" s="115">
        <v>847.99999999999898</v>
      </c>
      <c r="B850" s="3" t="s">
        <v>751</v>
      </c>
      <c r="C850" s="4">
        <v>21.847999999999999</v>
      </c>
      <c r="D850" s="155" t="s">
        <v>151</v>
      </c>
      <c r="E850" t="s">
        <v>152</v>
      </c>
      <c r="F850" s="17" t="s">
        <v>227</v>
      </c>
      <c r="G850"/>
      <c r="H850" s="3" t="s">
        <v>90</v>
      </c>
      <c r="I850" s="82">
        <v>44308</v>
      </c>
      <c r="J850" s="3" t="s">
        <v>492</v>
      </c>
      <c r="K850" s="3" t="s">
        <v>203</v>
      </c>
      <c r="N850" s="3">
        <v>198</v>
      </c>
      <c r="O850" s="3">
        <v>172.32</v>
      </c>
      <c r="P850" s="3">
        <v>190.67</v>
      </c>
      <c r="Q850" s="3">
        <v>44.26</v>
      </c>
      <c r="R850" s="3">
        <v>22.57</v>
      </c>
      <c r="S850" s="3">
        <v>115.95</v>
      </c>
      <c r="T850" s="3">
        <v>90.54</v>
      </c>
      <c r="U850" s="3">
        <v>69.53</v>
      </c>
      <c r="V850" s="3">
        <v>53.76</v>
      </c>
      <c r="W850" s="3">
        <v>73.349999999999994</v>
      </c>
      <c r="X850" s="3">
        <v>91.65</v>
      </c>
      <c r="Y850" s="3">
        <v>40.31</v>
      </c>
      <c r="Z850" s="3">
        <v>99.86</v>
      </c>
      <c r="AA850" s="3">
        <v>75.97</v>
      </c>
      <c r="AB850" s="3">
        <v>82.27</v>
      </c>
      <c r="AC850" s="3">
        <v>24.9</v>
      </c>
      <c r="AD850" s="3">
        <v>42.66</v>
      </c>
      <c r="AE850" s="3">
        <v>29.07</v>
      </c>
      <c r="AF850" s="3">
        <v>42.52</v>
      </c>
      <c r="AG850" s="3">
        <v>36.479999999999997</v>
      </c>
      <c r="AH850" s="3">
        <v>44.45</v>
      </c>
      <c r="AT850" t="s">
        <v>147</v>
      </c>
      <c r="AU850" s="17" t="s">
        <v>147</v>
      </c>
    </row>
    <row r="851" spans="1:47" x14ac:dyDescent="0.2">
      <c r="A851" s="115">
        <v>849.00000000000023</v>
      </c>
      <c r="B851" s="3" t="s">
        <v>752</v>
      </c>
      <c r="C851" s="3">
        <v>21.849</v>
      </c>
      <c r="D851" s="155" t="s">
        <v>151</v>
      </c>
      <c r="E851" t="s">
        <v>152</v>
      </c>
      <c r="F851" s="17" t="s">
        <v>227</v>
      </c>
      <c r="G851"/>
      <c r="H851" s="3" t="s">
        <v>90</v>
      </c>
      <c r="I851" s="82">
        <v>44308</v>
      </c>
      <c r="J851" s="3" t="s">
        <v>492</v>
      </c>
      <c r="K851" s="3" t="s">
        <v>203</v>
      </c>
      <c r="N851" s="3">
        <v>182.5</v>
      </c>
      <c r="O851" s="3">
        <v>173.04</v>
      </c>
      <c r="P851" s="3">
        <v>187.17</v>
      </c>
      <c r="Q851" s="3">
        <v>43.92</v>
      </c>
      <c r="R851" s="3">
        <v>28.93</v>
      </c>
      <c r="S851" s="3">
        <v>109.51</v>
      </c>
      <c r="T851" s="3">
        <v>83.24</v>
      </c>
      <c r="U851" s="3">
        <v>69.2</v>
      </c>
      <c r="V851" s="3">
        <v>54.04</v>
      </c>
      <c r="W851" s="3">
        <v>77.430000000000007</v>
      </c>
      <c r="X851" s="3">
        <v>92.44</v>
      </c>
      <c r="Y851" s="3">
        <v>37.869999999999997</v>
      </c>
      <c r="Z851" s="3">
        <v>100.7</v>
      </c>
      <c r="AA851" s="3">
        <v>75.66</v>
      </c>
      <c r="AB851" s="3">
        <v>80.73</v>
      </c>
      <c r="AC851" s="3">
        <v>27.11</v>
      </c>
      <c r="AD851" s="3">
        <v>42.66</v>
      </c>
      <c r="AE851" s="3">
        <v>32.700000000000003</v>
      </c>
      <c r="AF851" s="3">
        <v>41.66</v>
      </c>
      <c r="AG851" s="3">
        <v>41.19</v>
      </c>
      <c r="AH851" s="3">
        <v>44</v>
      </c>
      <c r="AT851" t="s">
        <v>147</v>
      </c>
      <c r="AU851" s="17" t="s">
        <v>147</v>
      </c>
    </row>
    <row r="852" spans="1:47" x14ac:dyDescent="0.2">
      <c r="A852" s="115">
        <v>850.00000000000136</v>
      </c>
      <c r="B852" s="3" t="s">
        <v>753</v>
      </c>
      <c r="C852" s="2" t="s">
        <v>754</v>
      </c>
      <c r="D852" s="155" t="s">
        <v>151</v>
      </c>
      <c r="E852" t="s">
        <v>162</v>
      </c>
      <c r="F852" s="3" t="s">
        <v>88</v>
      </c>
      <c r="G852" s="3" t="s">
        <v>88</v>
      </c>
      <c r="I852" s="82">
        <v>44416</v>
      </c>
      <c r="J852" s="3" t="s">
        <v>492</v>
      </c>
      <c r="K852" s="3" t="s">
        <v>203</v>
      </c>
      <c r="N852" s="3">
        <v>200.1</v>
      </c>
      <c r="O852" s="3">
        <v>182.5</v>
      </c>
      <c r="P852" s="3">
        <v>190.42</v>
      </c>
      <c r="Q852" s="3">
        <v>42.73</v>
      </c>
      <c r="R852" s="3">
        <v>19.190000000000001</v>
      </c>
      <c r="S852" s="3">
        <v>125.75</v>
      </c>
      <c r="T852" s="3">
        <v>96.92</v>
      </c>
      <c r="U852" s="3">
        <v>63.84</v>
      </c>
      <c r="V852" s="3">
        <v>51.25</v>
      </c>
      <c r="W852" s="3">
        <v>72.540000000000006</v>
      </c>
      <c r="X852" s="3">
        <v>94.62</v>
      </c>
      <c r="Y852" s="3">
        <v>41.75</v>
      </c>
      <c r="Z852" s="3">
        <v>103.98</v>
      </c>
      <c r="AA852" s="3">
        <v>79.53</v>
      </c>
      <c r="AB852" s="3">
        <v>82.91</v>
      </c>
      <c r="AC852" s="3">
        <v>19.46</v>
      </c>
      <c r="AD852" s="3">
        <v>48.1</v>
      </c>
      <c r="AE852" s="3">
        <v>31.98</v>
      </c>
      <c r="AF852" s="3">
        <v>40.99</v>
      </c>
      <c r="AG852" s="3">
        <v>38.380000000000003</v>
      </c>
      <c r="AH852" s="3">
        <v>43.89</v>
      </c>
      <c r="AT852" t="s">
        <v>147</v>
      </c>
      <c r="AU852" s="17" t="s">
        <v>147</v>
      </c>
    </row>
    <row r="853" spans="1:47" x14ac:dyDescent="0.2">
      <c r="A853" s="115">
        <v>850.99999999999909</v>
      </c>
      <c r="B853" s="3" t="s">
        <v>755</v>
      </c>
      <c r="C853" s="3">
        <v>21.850999999999999</v>
      </c>
      <c r="D853" s="155" t="s">
        <v>151</v>
      </c>
      <c r="E853" t="s">
        <v>162</v>
      </c>
      <c r="F853" s="3" t="s">
        <v>88</v>
      </c>
      <c r="G853" s="3" t="s">
        <v>88</v>
      </c>
      <c r="I853" s="82">
        <v>44416</v>
      </c>
      <c r="J853" s="3" t="s">
        <v>492</v>
      </c>
      <c r="K853" s="3" t="s">
        <v>203</v>
      </c>
      <c r="N853" s="3">
        <v>206.2</v>
      </c>
      <c r="O853" s="3">
        <v>179.53</v>
      </c>
      <c r="P853" s="3">
        <v>194.11</v>
      </c>
      <c r="Q853" s="3">
        <v>43.56</v>
      </c>
      <c r="R853" s="3">
        <v>18.739999999999998</v>
      </c>
      <c r="S853" s="3">
        <v>125.14</v>
      </c>
      <c r="T853" s="3">
        <v>96.56</v>
      </c>
      <c r="U853" s="3">
        <v>65.819999999999993</v>
      </c>
      <c r="V853" s="3">
        <v>49.47</v>
      </c>
      <c r="W853" s="3">
        <v>72.61</v>
      </c>
      <c r="X853" s="3">
        <v>92.52</v>
      </c>
      <c r="Y853" s="3">
        <v>41.47</v>
      </c>
      <c r="Z853" s="3">
        <v>102.6</v>
      </c>
      <c r="AA853" s="3">
        <v>77.7</v>
      </c>
      <c r="AB853" s="3">
        <v>82.67</v>
      </c>
      <c r="AC853" s="3">
        <v>17.36</v>
      </c>
      <c r="AD853" s="3">
        <v>45.76</v>
      </c>
      <c r="AE853" s="3">
        <v>33.06</v>
      </c>
      <c r="AF853" s="3">
        <v>40.03</v>
      </c>
      <c r="AG853" s="3">
        <v>39.75</v>
      </c>
      <c r="AH853" s="3">
        <v>46.59</v>
      </c>
      <c r="AT853" t="s">
        <v>147</v>
      </c>
      <c r="AU853" s="17" t="s">
        <v>147</v>
      </c>
    </row>
    <row r="854" spans="1:47" x14ac:dyDescent="0.2">
      <c r="A854" s="115">
        <v>852.00000000000034</v>
      </c>
      <c r="B854" s="3" t="s">
        <v>756</v>
      </c>
      <c r="C854" s="4">
        <v>21.852</v>
      </c>
      <c r="D854" s="155" t="s">
        <v>151</v>
      </c>
      <c r="E854" t="s">
        <v>162</v>
      </c>
      <c r="F854" s="3" t="s">
        <v>88</v>
      </c>
      <c r="G854" s="3" t="s">
        <v>88</v>
      </c>
      <c r="H854"/>
      <c r="I854" s="82">
        <v>44416</v>
      </c>
      <c r="J854" s="3" t="s">
        <v>492</v>
      </c>
      <c r="K854" s="3" t="s">
        <v>203</v>
      </c>
      <c r="N854" s="3">
        <v>205.5</v>
      </c>
      <c r="O854" s="3">
        <v>174.1</v>
      </c>
      <c r="P854" s="3">
        <v>182.97</v>
      </c>
      <c r="Q854" s="3">
        <v>47.99</v>
      </c>
      <c r="R854" s="3">
        <v>13.79</v>
      </c>
      <c r="S854" s="3">
        <v>118.46</v>
      </c>
      <c r="T854" s="3">
        <v>92.14</v>
      </c>
      <c r="U854" s="3">
        <v>64.48</v>
      </c>
      <c r="V854" s="3">
        <v>48.7</v>
      </c>
      <c r="W854" s="3">
        <v>73.09</v>
      </c>
      <c r="X854" s="3">
        <v>95.54</v>
      </c>
      <c r="Y854" s="3">
        <v>43.09</v>
      </c>
      <c r="Z854" s="3">
        <v>103.56</v>
      </c>
      <c r="AA854" s="3">
        <v>80.63</v>
      </c>
      <c r="AB854" s="3">
        <v>79.3</v>
      </c>
      <c r="AC854" s="3">
        <v>11.16</v>
      </c>
      <c r="AD854" s="3">
        <v>46.55</v>
      </c>
      <c r="AE854" s="3">
        <v>27.2</v>
      </c>
      <c r="AF854" s="3">
        <v>44.88</v>
      </c>
      <c r="AG854" s="3">
        <v>36.68</v>
      </c>
      <c r="AH854" s="3">
        <v>45.79</v>
      </c>
      <c r="AT854" t="s">
        <v>147</v>
      </c>
      <c r="AU854" s="17" t="s">
        <v>147</v>
      </c>
    </row>
    <row r="855" spans="1:47" x14ac:dyDescent="0.2">
      <c r="A855" s="115">
        <v>853.00000000000159</v>
      </c>
      <c r="B855" s="3" t="s">
        <v>757</v>
      </c>
      <c r="C855" s="3">
        <v>21.853000000000002</v>
      </c>
      <c r="D855" s="155" t="s">
        <v>151</v>
      </c>
      <c r="E855" t="s">
        <v>162</v>
      </c>
      <c r="F855" s="3" t="s">
        <v>88</v>
      </c>
      <c r="G855" s="3" t="s">
        <v>88</v>
      </c>
      <c r="H855"/>
      <c r="I855" s="82">
        <v>44416</v>
      </c>
      <c r="J855" s="3" t="s">
        <v>492</v>
      </c>
      <c r="K855" s="3" t="s">
        <v>203</v>
      </c>
      <c r="N855" s="3">
        <v>216.6</v>
      </c>
      <c r="O855" s="3">
        <v>178.26</v>
      </c>
      <c r="P855" s="3">
        <v>186.49</v>
      </c>
      <c r="Q855" s="3">
        <v>42.92</v>
      </c>
      <c r="R855" s="3">
        <v>18.11</v>
      </c>
      <c r="S855" s="3">
        <v>123.7</v>
      </c>
      <c r="T855" s="3">
        <v>94.68</v>
      </c>
      <c r="U855" s="3">
        <v>66.260000000000005</v>
      </c>
      <c r="V855" s="3">
        <v>46.57</v>
      </c>
      <c r="W855" s="3">
        <v>69.41</v>
      </c>
      <c r="X855" s="3">
        <v>88.68</v>
      </c>
      <c r="Y855" s="3">
        <v>39.92</v>
      </c>
      <c r="Z855" s="3">
        <v>98.45</v>
      </c>
      <c r="AA855" s="3">
        <v>76.260000000000005</v>
      </c>
      <c r="AB855" s="3">
        <v>79.75</v>
      </c>
      <c r="AC855" s="3">
        <v>13.19</v>
      </c>
      <c r="AD855" s="3">
        <v>46.88</v>
      </c>
      <c r="AE855" s="3">
        <v>34.57</v>
      </c>
      <c r="AF855" s="3">
        <v>42.95</v>
      </c>
      <c r="AG855" s="3">
        <v>38.5</v>
      </c>
      <c r="AH855" s="3">
        <v>42.03</v>
      </c>
      <c r="AT855" t="s">
        <v>147</v>
      </c>
      <c r="AU855" s="17" t="s">
        <v>147</v>
      </c>
    </row>
    <row r="856" spans="1:47" x14ac:dyDescent="0.2">
      <c r="A856" s="115">
        <v>853.9999999999992</v>
      </c>
      <c r="B856" s="3" t="s">
        <v>758</v>
      </c>
      <c r="C856" s="4">
        <v>21.853999999999999</v>
      </c>
      <c r="D856" s="155" t="s">
        <v>151</v>
      </c>
      <c r="E856" t="s">
        <v>162</v>
      </c>
      <c r="F856" s="3" t="s">
        <v>88</v>
      </c>
      <c r="G856" s="3" t="s">
        <v>88</v>
      </c>
      <c r="H856"/>
      <c r="I856" s="82">
        <v>44416</v>
      </c>
      <c r="J856" s="3" t="s">
        <v>492</v>
      </c>
      <c r="K856" s="3" t="s">
        <v>203</v>
      </c>
      <c r="N856" s="3">
        <v>203.6</v>
      </c>
      <c r="O856" s="3">
        <v>177.86</v>
      </c>
      <c r="P856" s="3">
        <v>190.12</v>
      </c>
      <c r="Q856" s="3">
        <v>45.04</v>
      </c>
      <c r="R856" s="3">
        <v>19.3</v>
      </c>
      <c r="S856" s="3">
        <v>122.01</v>
      </c>
      <c r="T856" s="3">
        <v>91.47</v>
      </c>
      <c r="U856" s="3">
        <v>63.74</v>
      </c>
      <c r="V856" s="3">
        <v>50.76</v>
      </c>
      <c r="W856" s="3">
        <v>71.25</v>
      </c>
      <c r="X856" s="3">
        <v>93.97</v>
      </c>
      <c r="Y856" s="3">
        <v>42.73</v>
      </c>
      <c r="Z856" s="3">
        <v>103.97</v>
      </c>
      <c r="AA856" s="3">
        <v>79.180000000000007</v>
      </c>
      <c r="AB856" s="3">
        <v>82.7</v>
      </c>
      <c r="AC856" s="3">
        <v>17</v>
      </c>
      <c r="AD856" s="3">
        <v>48.32</v>
      </c>
      <c r="AE856" s="3">
        <v>28.7</v>
      </c>
      <c r="AF856" s="3">
        <v>41.49</v>
      </c>
      <c r="AG856" s="3">
        <v>40.22</v>
      </c>
      <c r="AH856" s="3">
        <v>43.37</v>
      </c>
      <c r="AT856" t="s">
        <v>147</v>
      </c>
      <c r="AU856" s="17" t="s">
        <v>147</v>
      </c>
    </row>
    <row r="857" spans="1:47" x14ac:dyDescent="0.2">
      <c r="A857" s="115">
        <v>855.00000000000045</v>
      </c>
      <c r="B857" s="3" t="s">
        <v>759</v>
      </c>
      <c r="C857" s="3">
        <v>21.855</v>
      </c>
      <c r="D857" s="155" t="s">
        <v>151</v>
      </c>
      <c r="E857" t="s">
        <v>162</v>
      </c>
      <c r="F857" s="3" t="s">
        <v>88</v>
      </c>
      <c r="G857" s="3" t="s">
        <v>88</v>
      </c>
      <c r="H857"/>
      <c r="I857" s="82">
        <v>44416</v>
      </c>
      <c r="J857" s="3" t="s">
        <v>492</v>
      </c>
      <c r="K857" s="3" t="s">
        <v>203</v>
      </c>
      <c r="N857" s="3">
        <v>213.6</v>
      </c>
      <c r="O857" s="3">
        <v>180.52</v>
      </c>
      <c r="P857" s="3">
        <v>188.7</v>
      </c>
      <c r="Q857" s="3">
        <v>43.25</v>
      </c>
      <c r="R857" s="3">
        <v>19.39</v>
      </c>
      <c r="S857" s="3">
        <v>123.68</v>
      </c>
      <c r="T857" s="3">
        <v>94.52</v>
      </c>
      <c r="U857" s="3">
        <v>67.260000000000005</v>
      </c>
      <c r="V857" s="3">
        <v>50.75</v>
      </c>
      <c r="W857" s="3">
        <v>73.05</v>
      </c>
      <c r="X857" s="3">
        <v>93.37</v>
      </c>
      <c r="Y857" s="3">
        <v>43.76</v>
      </c>
      <c r="Z857" s="3">
        <v>103.2</v>
      </c>
      <c r="AA857" s="3">
        <v>78.16</v>
      </c>
      <c r="AB857" s="3">
        <v>81.33</v>
      </c>
      <c r="AC857" s="3">
        <v>14.91</v>
      </c>
      <c r="AD857" s="3">
        <v>44.88</v>
      </c>
      <c r="AE857" s="3">
        <v>30.17</v>
      </c>
      <c r="AF857" s="3">
        <v>40.75</v>
      </c>
      <c r="AG857" s="3">
        <v>38.520000000000003</v>
      </c>
      <c r="AH857" s="3">
        <v>46.37</v>
      </c>
      <c r="AT857" t="s">
        <v>147</v>
      </c>
      <c r="AU857" s="17" t="s">
        <v>147</v>
      </c>
    </row>
    <row r="858" spans="1:47" x14ac:dyDescent="0.2">
      <c r="A858" s="115">
        <v>856.00000000000159</v>
      </c>
      <c r="B858" s="3" t="s">
        <v>760</v>
      </c>
      <c r="C858" s="4">
        <v>21.856000000000002</v>
      </c>
      <c r="D858" s="155" t="s">
        <v>151</v>
      </c>
      <c r="E858" t="s">
        <v>162</v>
      </c>
      <c r="F858" s="3" t="s">
        <v>88</v>
      </c>
      <c r="G858" s="3" t="s">
        <v>88</v>
      </c>
      <c r="H858"/>
      <c r="I858" s="82">
        <v>44416</v>
      </c>
      <c r="J858" s="3" t="s">
        <v>492</v>
      </c>
      <c r="K858" s="3" t="s">
        <v>203</v>
      </c>
      <c r="N858" s="3">
        <v>223.8</v>
      </c>
      <c r="O858" s="3">
        <v>177.01</v>
      </c>
      <c r="P858" s="3">
        <v>185.84</v>
      </c>
      <c r="Q858" s="3">
        <v>37.64</v>
      </c>
      <c r="R858" s="3">
        <v>17.739999999999998</v>
      </c>
      <c r="S858" s="3">
        <v>124.8</v>
      </c>
      <c r="T858" s="3">
        <v>95.79</v>
      </c>
      <c r="U858" s="3">
        <v>64.42</v>
      </c>
      <c r="V858" s="3">
        <v>49.66</v>
      </c>
      <c r="W858" s="3">
        <v>68.89</v>
      </c>
      <c r="X858" s="3">
        <v>86.82</v>
      </c>
      <c r="Y858" s="3">
        <v>39.17</v>
      </c>
      <c r="Z858" s="3">
        <v>100.03</v>
      </c>
      <c r="AA858" s="3">
        <v>76.790000000000006</v>
      </c>
      <c r="AB858" s="3">
        <v>80.95</v>
      </c>
      <c r="AC858" s="3">
        <v>20.18</v>
      </c>
      <c r="AD858" s="3">
        <v>46.71</v>
      </c>
      <c r="AE858" s="3">
        <v>31.66</v>
      </c>
      <c r="AF858" s="3">
        <v>41.45</v>
      </c>
      <c r="AG858" s="3">
        <v>39.32</v>
      </c>
      <c r="AH858" s="3">
        <v>40.58</v>
      </c>
      <c r="AT858" t="s">
        <v>147</v>
      </c>
      <c r="AU858" s="17" t="s">
        <v>147</v>
      </c>
    </row>
    <row r="859" spans="1:47" x14ac:dyDescent="0.2">
      <c r="A859" s="115">
        <v>856.99999999999932</v>
      </c>
      <c r="B859" s="3" t="s">
        <v>761</v>
      </c>
      <c r="C859" s="3">
        <v>21.856999999999999</v>
      </c>
      <c r="D859" s="155" t="s">
        <v>151</v>
      </c>
      <c r="E859" t="s">
        <v>162</v>
      </c>
      <c r="F859" s="3" t="s">
        <v>88</v>
      </c>
      <c r="G859" s="3" t="s">
        <v>88</v>
      </c>
      <c r="H859"/>
      <c r="I859" s="82">
        <v>44385</v>
      </c>
      <c r="J859" s="3" t="s">
        <v>492</v>
      </c>
      <c r="K859" s="3" t="s">
        <v>203</v>
      </c>
      <c r="N859" s="3">
        <v>224.4</v>
      </c>
      <c r="O859" s="3">
        <v>181.41</v>
      </c>
      <c r="P859" s="3">
        <v>192.59</v>
      </c>
      <c r="Q859" s="3">
        <v>45.25</v>
      </c>
      <c r="R859" s="3">
        <v>21.75</v>
      </c>
      <c r="S859" s="3">
        <v>122.19</v>
      </c>
      <c r="T859" s="3">
        <v>94.53</v>
      </c>
      <c r="U859" s="3">
        <v>62.5</v>
      </c>
      <c r="V859" s="3">
        <v>47.25</v>
      </c>
      <c r="W859" s="3">
        <v>70.900000000000006</v>
      </c>
      <c r="X859" s="3">
        <v>88.86</v>
      </c>
      <c r="Y859" s="3">
        <v>40.44</v>
      </c>
      <c r="Z859" s="3">
        <v>102.39</v>
      </c>
      <c r="AA859" s="3">
        <v>77.67</v>
      </c>
      <c r="AB859" s="3">
        <v>82.93</v>
      </c>
      <c r="AC859" s="3">
        <v>17.920000000000002</v>
      </c>
      <c r="AD859" s="3">
        <v>47.31</v>
      </c>
      <c r="AE859" s="3">
        <v>32.4</v>
      </c>
      <c r="AF859" s="3">
        <v>41.23</v>
      </c>
      <c r="AG859" s="3">
        <v>38.97</v>
      </c>
      <c r="AH859" s="3">
        <v>44.44</v>
      </c>
      <c r="AT859" t="s">
        <v>147</v>
      </c>
      <c r="AU859" s="17" t="s">
        <v>147</v>
      </c>
    </row>
    <row r="860" spans="1:47" x14ac:dyDescent="0.2">
      <c r="A860" s="115">
        <v>858.00000000000057</v>
      </c>
      <c r="B860" s="3" t="s">
        <v>762</v>
      </c>
      <c r="C860" s="4">
        <v>21.858000000000001</v>
      </c>
      <c r="D860" s="155" t="s">
        <v>151</v>
      </c>
      <c r="E860" t="s">
        <v>162</v>
      </c>
      <c r="F860" s="3" t="s">
        <v>88</v>
      </c>
      <c r="G860" s="3" t="s">
        <v>88</v>
      </c>
      <c r="H860"/>
      <c r="I860" s="82">
        <v>44385</v>
      </c>
      <c r="J860" s="3" t="s">
        <v>492</v>
      </c>
      <c r="K860" s="3" t="s">
        <v>203</v>
      </c>
      <c r="N860" s="3">
        <v>216.5</v>
      </c>
      <c r="O860" s="3">
        <v>176.27</v>
      </c>
      <c r="P860" s="3">
        <v>186.89</v>
      </c>
      <c r="Q860" s="3">
        <v>43.72</v>
      </c>
      <c r="R860" s="3">
        <v>18.13</v>
      </c>
      <c r="S860" s="3">
        <v>118.09</v>
      </c>
      <c r="T860" s="3">
        <v>91.28</v>
      </c>
      <c r="U860" s="3">
        <v>61.68</v>
      </c>
      <c r="V860" s="3">
        <v>45.99</v>
      </c>
      <c r="W860" s="3">
        <v>70.209999999999994</v>
      </c>
      <c r="X860" s="3">
        <v>87.91</v>
      </c>
      <c r="Y860" s="3">
        <v>50.72</v>
      </c>
      <c r="Z860" s="3">
        <v>99.55</v>
      </c>
      <c r="AA860" s="3">
        <v>77.47</v>
      </c>
      <c r="AB860" s="3">
        <v>78.900000000000006</v>
      </c>
      <c r="AC860" s="3">
        <v>12.74</v>
      </c>
      <c r="AD860" s="3">
        <v>47.05</v>
      </c>
      <c r="AE860" s="3">
        <v>29.72</v>
      </c>
      <c r="AF860" s="3">
        <v>44.85</v>
      </c>
      <c r="AG860" s="3">
        <v>37.92</v>
      </c>
      <c r="AH860" s="3">
        <v>43.98</v>
      </c>
      <c r="AT860" t="s">
        <v>147</v>
      </c>
      <c r="AU860" s="17" t="s">
        <v>147</v>
      </c>
    </row>
    <row r="861" spans="1:47" x14ac:dyDescent="0.2">
      <c r="A861" s="115">
        <v>859.00000000000182</v>
      </c>
      <c r="B861" s="3" t="s">
        <v>763</v>
      </c>
      <c r="C861" s="3">
        <v>21.859000000000002</v>
      </c>
      <c r="D861" s="155" t="s">
        <v>151</v>
      </c>
      <c r="E861" t="s">
        <v>162</v>
      </c>
      <c r="F861" s="3" t="s">
        <v>88</v>
      </c>
      <c r="G861" s="3" t="s">
        <v>88</v>
      </c>
      <c r="H861"/>
      <c r="I861" s="82">
        <v>44385</v>
      </c>
      <c r="J861" s="3" t="s">
        <v>492</v>
      </c>
      <c r="K861" s="3" t="s">
        <v>203</v>
      </c>
      <c r="N861" s="3">
        <v>217</v>
      </c>
      <c r="O861" s="3">
        <v>178.92</v>
      </c>
      <c r="P861" s="3">
        <v>186.69</v>
      </c>
      <c r="Q861" s="3">
        <v>44.13</v>
      </c>
      <c r="R861" s="3">
        <v>21.42</v>
      </c>
      <c r="S861" s="3">
        <v>121.39</v>
      </c>
      <c r="T861" s="3">
        <v>92.06</v>
      </c>
      <c r="U861" s="3">
        <v>62.14</v>
      </c>
      <c r="V861" s="3">
        <v>47.48</v>
      </c>
      <c r="W861" s="3">
        <v>70.56</v>
      </c>
      <c r="X861" s="3">
        <v>89.54</v>
      </c>
      <c r="Y861" s="3">
        <v>41.47</v>
      </c>
      <c r="Z861" s="3">
        <v>101.56</v>
      </c>
      <c r="AA861" s="3">
        <v>78.27</v>
      </c>
      <c r="AB861" s="3">
        <v>80.41</v>
      </c>
      <c r="AC861" s="3">
        <v>11.38</v>
      </c>
      <c r="AD861" s="3">
        <v>48.07</v>
      </c>
      <c r="AE861" s="3">
        <v>33</v>
      </c>
      <c r="AF861" s="3">
        <v>44.63</v>
      </c>
      <c r="AG861" s="3">
        <v>39.1</v>
      </c>
      <c r="AH861" s="3">
        <v>45.17</v>
      </c>
      <c r="AT861" t="s">
        <v>147</v>
      </c>
      <c r="AU861" s="17" t="s">
        <v>147</v>
      </c>
    </row>
    <row r="862" spans="1:47" x14ac:dyDescent="0.2">
      <c r="A862" s="115">
        <v>859.99999999999943</v>
      </c>
      <c r="B862" s="3" t="s">
        <v>764</v>
      </c>
      <c r="C862" s="2" t="s">
        <v>765</v>
      </c>
      <c r="D862" s="155" t="s">
        <v>151</v>
      </c>
      <c r="E862" t="s">
        <v>162</v>
      </c>
      <c r="F862" s="3" t="s">
        <v>88</v>
      </c>
      <c r="G862" s="3" t="s">
        <v>88</v>
      </c>
      <c r="H862"/>
      <c r="I862" s="82">
        <v>44385</v>
      </c>
      <c r="J862" s="3" t="s">
        <v>492</v>
      </c>
      <c r="K862" s="3" t="s">
        <v>203</v>
      </c>
      <c r="N862" s="3">
        <v>218.2</v>
      </c>
      <c r="O862" s="3">
        <v>178.41</v>
      </c>
      <c r="P862" s="3">
        <v>186.27</v>
      </c>
      <c r="Q862" s="3">
        <v>45.96</v>
      </c>
      <c r="R862" s="3">
        <v>18.59</v>
      </c>
      <c r="S862" s="3">
        <v>122.25</v>
      </c>
      <c r="T862" s="3">
        <v>95.35</v>
      </c>
      <c r="U862" s="3">
        <v>62.73</v>
      </c>
      <c r="V862" s="3">
        <v>50.59</v>
      </c>
      <c r="W862" s="3">
        <v>69.44</v>
      </c>
      <c r="X862" s="3">
        <v>88.85</v>
      </c>
      <c r="Y862" s="3">
        <v>40.32</v>
      </c>
      <c r="Z862" s="3">
        <v>102.34</v>
      </c>
      <c r="AA862" s="3">
        <v>77.08</v>
      </c>
      <c r="AB862" s="3">
        <v>80.62</v>
      </c>
      <c r="AC862" s="3">
        <v>15.47</v>
      </c>
      <c r="AD862" s="3">
        <v>44.93</v>
      </c>
      <c r="AE862" s="3">
        <v>31.71</v>
      </c>
      <c r="AF862" s="3">
        <v>41.36</v>
      </c>
      <c r="AG862" s="3">
        <v>37.01</v>
      </c>
      <c r="AH862" s="3">
        <v>43.62</v>
      </c>
      <c r="AT862" t="s">
        <v>147</v>
      </c>
      <c r="AU862" s="17" t="s">
        <v>147</v>
      </c>
    </row>
    <row r="863" spans="1:47" x14ac:dyDescent="0.2">
      <c r="A863" s="115">
        <v>861.00000000000068</v>
      </c>
      <c r="B863" s="3" t="s">
        <v>766</v>
      </c>
      <c r="C863" s="3">
        <v>21.861000000000001</v>
      </c>
      <c r="D863" s="155" t="s">
        <v>151</v>
      </c>
      <c r="E863" t="s">
        <v>162</v>
      </c>
      <c r="F863" s="3" t="s">
        <v>88</v>
      </c>
      <c r="G863" s="3" t="s">
        <v>88</v>
      </c>
      <c r="H863"/>
      <c r="I863" s="82">
        <v>44355</v>
      </c>
      <c r="J863" s="3" t="s">
        <v>492</v>
      </c>
      <c r="K863" s="3" t="s">
        <v>203</v>
      </c>
      <c r="N863" s="3">
        <v>213.5</v>
      </c>
      <c r="O863" s="3">
        <v>179.82</v>
      </c>
      <c r="P863" s="3">
        <v>191.39</v>
      </c>
      <c r="Q863" s="3">
        <v>41.59</v>
      </c>
      <c r="R863" s="3">
        <v>19.97</v>
      </c>
      <c r="S863" s="3">
        <v>125.77</v>
      </c>
      <c r="T863" s="3">
        <v>97.24</v>
      </c>
      <c r="U863" s="3">
        <v>62.89</v>
      </c>
      <c r="V863" s="3">
        <v>48.26</v>
      </c>
      <c r="W863" s="3">
        <v>69.98</v>
      </c>
      <c r="X863" s="3">
        <v>90.59</v>
      </c>
      <c r="Y863" s="3">
        <v>40.69</v>
      </c>
      <c r="Z863" s="3">
        <v>101.89</v>
      </c>
      <c r="AA863" s="3">
        <v>76.510000000000005</v>
      </c>
      <c r="AB863" s="3">
        <v>80.19</v>
      </c>
      <c r="AC863" s="3">
        <v>17.170000000000002</v>
      </c>
      <c r="AD863" s="3">
        <v>45.72</v>
      </c>
      <c r="AE863" s="3">
        <v>34.57</v>
      </c>
      <c r="AF863" s="3">
        <v>37.090000000000003</v>
      </c>
      <c r="AG863" s="3">
        <v>41.1</v>
      </c>
      <c r="AH863" s="3">
        <v>41.62</v>
      </c>
      <c r="AT863" t="s">
        <v>147</v>
      </c>
      <c r="AU863" s="17" t="s">
        <v>147</v>
      </c>
    </row>
    <row r="864" spans="1:47" x14ac:dyDescent="0.2">
      <c r="A864" s="115">
        <v>861.99999999999829</v>
      </c>
      <c r="B864" s="3" t="s">
        <v>767</v>
      </c>
      <c r="C864" s="4">
        <v>21.861999999999998</v>
      </c>
      <c r="D864" s="155" t="s">
        <v>151</v>
      </c>
      <c r="E864" t="s">
        <v>162</v>
      </c>
      <c r="F864" s="3" t="s">
        <v>88</v>
      </c>
      <c r="G864" s="3" t="s">
        <v>88</v>
      </c>
      <c r="H864"/>
      <c r="I864" s="82">
        <v>44355</v>
      </c>
      <c r="J864" s="3" t="s">
        <v>492</v>
      </c>
      <c r="K864" s="3" t="s">
        <v>203</v>
      </c>
      <c r="N864" s="3">
        <v>216.2</v>
      </c>
      <c r="O864" s="3">
        <v>182.2</v>
      </c>
      <c r="P864" s="3">
        <v>192.77</v>
      </c>
      <c r="Q864" s="3">
        <v>44.87</v>
      </c>
      <c r="R864" s="3">
        <v>27.65</v>
      </c>
      <c r="S864" s="3">
        <v>125.19</v>
      </c>
      <c r="T864" s="3">
        <v>95.52</v>
      </c>
      <c r="U864" s="3">
        <v>61.72</v>
      </c>
      <c r="V864" s="3">
        <v>46.98</v>
      </c>
      <c r="W864" s="3">
        <v>71.3</v>
      </c>
      <c r="X864" s="3">
        <v>91.11</v>
      </c>
      <c r="Y864" s="3">
        <v>41.03</v>
      </c>
      <c r="Z864" s="3">
        <v>102.47</v>
      </c>
      <c r="AA864" s="3">
        <v>78.59</v>
      </c>
      <c r="AB864" s="3">
        <v>81.53</v>
      </c>
      <c r="AC864" s="3">
        <v>18.100000000000001</v>
      </c>
      <c r="AD864" s="3">
        <v>45.2</v>
      </c>
      <c r="AE864" s="3">
        <v>35.01</v>
      </c>
      <c r="AF864" s="3">
        <v>40.299999999999997</v>
      </c>
      <c r="AG864" s="3">
        <v>40.479999999999997</v>
      </c>
      <c r="AH864" s="3">
        <v>40.94</v>
      </c>
      <c r="AT864" t="s">
        <v>147</v>
      </c>
      <c r="AU864" s="17" t="s">
        <v>147</v>
      </c>
    </row>
    <row r="865" spans="1:47" x14ac:dyDescent="0.2">
      <c r="A865" s="115">
        <v>862.99999999999955</v>
      </c>
      <c r="B865" s="3" t="s">
        <v>768</v>
      </c>
      <c r="C865" s="3">
        <v>21.863</v>
      </c>
      <c r="D865" s="155" t="s">
        <v>151</v>
      </c>
      <c r="E865" t="s">
        <v>162</v>
      </c>
      <c r="F865" s="3" t="s">
        <v>88</v>
      </c>
      <c r="G865" s="3" t="s">
        <v>88</v>
      </c>
      <c r="H865"/>
      <c r="I865" s="82">
        <v>44333</v>
      </c>
      <c r="J865" s="3" t="s">
        <v>492</v>
      </c>
      <c r="K865" s="3" t="s">
        <v>203</v>
      </c>
      <c r="N865" s="3">
        <v>210.2</v>
      </c>
      <c r="O865" s="3">
        <v>179.24</v>
      </c>
      <c r="P865" s="3">
        <v>187.51</v>
      </c>
      <c r="Q865" s="3">
        <v>44.02</v>
      </c>
      <c r="R865" s="3">
        <v>18.579999999999998</v>
      </c>
      <c r="S865" s="3">
        <v>123.06</v>
      </c>
      <c r="T865" s="3">
        <v>96.71</v>
      </c>
      <c r="U865" s="3">
        <v>66.459999999999994</v>
      </c>
      <c r="V865" s="3">
        <v>51.48</v>
      </c>
      <c r="W865" s="3">
        <v>72.86</v>
      </c>
      <c r="X865" s="3">
        <v>93.19</v>
      </c>
      <c r="Y865" s="3">
        <v>41.3</v>
      </c>
      <c r="Z865" s="3">
        <v>103.36</v>
      </c>
      <c r="AA865" s="3">
        <v>79.349999999999994</v>
      </c>
      <c r="AB865" s="3">
        <v>83.68</v>
      </c>
      <c r="AC865" s="3">
        <v>18.78</v>
      </c>
      <c r="AD865" s="3">
        <v>46.77</v>
      </c>
      <c r="AE865" s="3">
        <v>33.020000000000003</v>
      </c>
      <c r="AF865" s="3">
        <v>39.97</v>
      </c>
      <c r="AG865" s="3">
        <v>38.54</v>
      </c>
      <c r="AH865" s="3">
        <v>41.64</v>
      </c>
      <c r="AT865" t="s">
        <v>147</v>
      </c>
      <c r="AU865" s="17" t="s">
        <v>147</v>
      </c>
    </row>
    <row r="866" spans="1:47" x14ac:dyDescent="0.2">
      <c r="A866" s="115">
        <v>864.0000000000008</v>
      </c>
      <c r="B866" s="14" t="s">
        <v>769</v>
      </c>
      <c r="C866" s="4">
        <v>21.864000000000001</v>
      </c>
      <c r="D866" s="155" t="s">
        <v>151</v>
      </c>
      <c r="E866" t="s">
        <v>162</v>
      </c>
      <c r="F866" s="3" t="s">
        <v>88</v>
      </c>
      <c r="G866" s="3" t="s">
        <v>88</v>
      </c>
      <c r="H866"/>
      <c r="I866" s="143">
        <v>44333</v>
      </c>
      <c r="J866" s="14" t="s">
        <v>492</v>
      </c>
      <c r="K866" s="14" t="s">
        <v>235</v>
      </c>
      <c r="L866" s="14"/>
      <c r="M866" s="14"/>
      <c r="N866" s="14">
        <v>254.9</v>
      </c>
      <c r="O866" s="14">
        <v>189.64</v>
      </c>
      <c r="P866" s="14">
        <v>44.45</v>
      </c>
      <c r="Q866" s="14">
        <v>42.4</v>
      </c>
      <c r="R866" s="14">
        <v>19.07</v>
      </c>
      <c r="S866" s="14">
        <v>122.38</v>
      </c>
      <c r="T866" s="14">
        <v>94.54</v>
      </c>
      <c r="U866" s="14">
        <v>61.99</v>
      </c>
      <c r="V866" s="14">
        <v>46.96</v>
      </c>
      <c r="W866" s="14">
        <v>74.150000000000006</v>
      </c>
      <c r="X866" s="14">
        <v>93.17</v>
      </c>
      <c r="Y866" s="14">
        <v>40.5</v>
      </c>
      <c r="Z866" s="14">
        <v>103.05</v>
      </c>
      <c r="AA866" s="14">
        <v>84.1</v>
      </c>
      <c r="AB866" s="14">
        <v>80.08</v>
      </c>
      <c r="AC866" s="14">
        <v>18.75</v>
      </c>
      <c r="AD866" s="14">
        <v>52.22</v>
      </c>
      <c r="AE866" s="14">
        <v>30.44</v>
      </c>
      <c r="AF866" s="14">
        <v>46.89</v>
      </c>
      <c r="AG866" s="14">
        <v>39.68</v>
      </c>
      <c r="AH866" s="14">
        <v>45.26</v>
      </c>
      <c r="AI866" s="14">
        <v>1.752</v>
      </c>
      <c r="AJ866" s="14"/>
      <c r="AK866" s="14"/>
      <c r="AL866" s="14"/>
      <c r="AM866" s="14"/>
      <c r="AN866" s="14"/>
      <c r="AO866" s="14"/>
      <c r="AP866" s="14"/>
      <c r="AQ866" s="14"/>
      <c r="AR866" s="14">
        <v>57.9</v>
      </c>
      <c r="AS866" s="14"/>
      <c r="AT866" s="18" t="s">
        <v>147</v>
      </c>
      <c r="AU866" s="17" t="s">
        <v>147</v>
      </c>
    </row>
    <row r="867" spans="1:47" x14ac:dyDescent="0.2">
      <c r="A867" s="115">
        <v>864.99999999999841</v>
      </c>
      <c r="B867" s="3" t="s">
        <v>768</v>
      </c>
      <c r="C867" s="3">
        <v>21.864999999999998</v>
      </c>
      <c r="D867" s="155" t="s">
        <v>151</v>
      </c>
      <c r="E867" t="s">
        <v>162</v>
      </c>
      <c r="F867" s="3" t="s">
        <v>88</v>
      </c>
      <c r="G867" s="3" t="s">
        <v>88</v>
      </c>
      <c r="H867"/>
      <c r="I867" s="82">
        <v>44305</v>
      </c>
      <c r="J867" s="3" t="s">
        <v>492</v>
      </c>
      <c r="K867" s="3" t="s">
        <v>203</v>
      </c>
      <c r="N867" s="3">
        <v>199.1</v>
      </c>
      <c r="O867" s="3">
        <v>176.78</v>
      </c>
      <c r="P867" s="3">
        <v>185.45</v>
      </c>
      <c r="Q867" s="3">
        <v>45.09</v>
      </c>
      <c r="R867" s="3">
        <v>16.59</v>
      </c>
      <c r="S867" s="3">
        <v>119.85</v>
      </c>
      <c r="T867" s="3">
        <v>92.39</v>
      </c>
      <c r="U867" s="3">
        <v>62.41</v>
      </c>
      <c r="V867" s="3">
        <v>48.87</v>
      </c>
      <c r="W867" s="3">
        <v>69.069999999999993</v>
      </c>
      <c r="X867" s="3">
        <v>92.07</v>
      </c>
      <c r="Y867" s="3">
        <v>44.81</v>
      </c>
      <c r="Z867" s="3">
        <v>101</v>
      </c>
      <c r="AA867" s="3">
        <v>77.81</v>
      </c>
      <c r="AB867" s="3">
        <v>76.2</v>
      </c>
      <c r="AC867" s="3">
        <v>13.63</v>
      </c>
      <c r="AD867" s="3">
        <v>46.79</v>
      </c>
      <c r="AE867" s="3">
        <v>28.68</v>
      </c>
      <c r="AF867" s="3">
        <v>45.54</v>
      </c>
      <c r="AG867" s="3">
        <v>37.6</v>
      </c>
      <c r="AH867" s="3">
        <v>43.76</v>
      </c>
      <c r="AT867" t="s">
        <v>147</v>
      </c>
      <c r="AU867" s="17" t="s">
        <v>147</v>
      </c>
    </row>
    <row r="868" spans="1:47" x14ac:dyDescent="0.2">
      <c r="A868" s="115">
        <v>865.99999999999966</v>
      </c>
      <c r="B868" s="3" t="s">
        <v>769</v>
      </c>
      <c r="C868" s="4">
        <v>21.866</v>
      </c>
      <c r="D868" s="155" t="s">
        <v>151</v>
      </c>
      <c r="E868" t="s">
        <v>162</v>
      </c>
      <c r="F868" s="3" t="s">
        <v>88</v>
      </c>
      <c r="G868" s="3" t="s">
        <v>88</v>
      </c>
      <c r="H868"/>
      <c r="I868" s="82">
        <v>44305</v>
      </c>
      <c r="J868" s="3" t="s">
        <v>492</v>
      </c>
      <c r="K868" s="3" t="s">
        <v>203</v>
      </c>
      <c r="N868" s="3">
        <v>194.3</v>
      </c>
      <c r="O868" s="3">
        <v>178.79</v>
      </c>
      <c r="P868" s="3">
        <v>191.46</v>
      </c>
      <c r="Q868" s="3">
        <v>45.45</v>
      </c>
      <c r="R868" s="3">
        <v>21.94</v>
      </c>
      <c r="S868" s="3">
        <v>120.02</v>
      </c>
      <c r="T868" s="3">
        <v>93.09</v>
      </c>
      <c r="U868" s="3">
        <v>62.57</v>
      </c>
      <c r="V868" s="3">
        <v>47.75</v>
      </c>
      <c r="W868" s="3">
        <v>71.010000000000005</v>
      </c>
      <c r="X868" s="3">
        <v>92.54</v>
      </c>
      <c r="Y868" s="3">
        <v>40.17</v>
      </c>
      <c r="Z868" s="3">
        <v>102.17</v>
      </c>
      <c r="AA868" s="3">
        <v>77.84</v>
      </c>
      <c r="AB868" s="3">
        <v>80.069999999999993</v>
      </c>
      <c r="AC868" s="3">
        <v>16.68</v>
      </c>
      <c r="AD868" s="3">
        <v>47.48</v>
      </c>
      <c r="AE868" s="3">
        <v>30.22</v>
      </c>
      <c r="AF868" s="3">
        <v>44.55</v>
      </c>
      <c r="AG868" s="3">
        <v>37.5</v>
      </c>
      <c r="AH868" s="3">
        <v>47.4</v>
      </c>
      <c r="AT868" t="s">
        <v>147</v>
      </c>
      <c r="AU868" s="17" t="s">
        <v>147</v>
      </c>
    </row>
    <row r="869" spans="1:47" x14ac:dyDescent="0.2">
      <c r="A869" s="115">
        <v>867.00000000000091</v>
      </c>
      <c r="B869" s="3" t="s">
        <v>770</v>
      </c>
      <c r="C869" s="3">
        <v>21.867000000000001</v>
      </c>
      <c r="D869" s="155" t="s">
        <v>151</v>
      </c>
      <c r="E869" t="s">
        <v>162</v>
      </c>
      <c r="F869" s="3" t="s">
        <v>88</v>
      </c>
      <c r="G869" s="3" t="s">
        <v>88</v>
      </c>
      <c r="H869"/>
      <c r="I869" s="82">
        <v>44305</v>
      </c>
      <c r="J869" s="3" t="s">
        <v>492</v>
      </c>
      <c r="K869" s="3" t="s">
        <v>203</v>
      </c>
      <c r="N869" s="3">
        <v>192.5</v>
      </c>
      <c r="O869" s="3">
        <v>184.82</v>
      </c>
      <c r="P869" s="3">
        <v>193.42</v>
      </c>
      <c r="Q869" s="3">
        <v>44.68</v>
      </c>
      <c r="R869" s="3">
        <v>23.6</v>
      </c>
      <c r="S869" s="3">
        <v>123.2</v>
      </c>
      <c r="T869" s="3">
        <v>95.46</v>
      </c>
      <c r="U869" s="3">
        <v>63.12</v>
      </c>
      <c r="V869" s="3">
        <v>46.04</v>
      </c>
      <c r="W869" s="3">
        <v>73.150000000000006</v>
      </c>
      <c r="X869" s="3">
        <v>92.99</v>
      </c>
      <c r="Y869" s="3">
        <v>41.48</v>
      </c>
      <c r="Z869" s="3">
        <v>103.58</v>
      </c>
      <c r="AA869" s="3">
        <v>78.61</v>
      </c>
      <c r="AB869" s="3">
        <v>78.16</v>
      </c>
      <c r="AC869" s="3">
        <v>12.06</v>
      </c>
      <c r="AD869" s="3">
        <v>44.87</v>
      </c>
      <c r="AE869" s="3">
        <v>32.68</v>
      </c>
      <c r="AF869" s="3">
        <v>44.64</v>
      </c>
      <c r="AG869" s="3">
        <v>39.409999999999997</v>
      </c>
      <c r="AH869" s="3">
        <v>47.59</v>
      </c>
      <c r="AT869" t="s">
        <v>147</v>
      </c>
      <c r="AU869" s="17" t="s">
        <v>147</v>
      </c>
    </row>
    <row r="870" spans="1:47" x14ac:dyDescent="0.2">
      <c r="A870" s="115">
        <v>867.99999999999852</v>
      </c>
      <c r="B870" s="3" t="s">
        <v>771</v>
      </c>
      <c r="C870" s="4">
        <v>21.867999999999999</v>
      </c>
      <c r="D870" s="155" t="s">
        <v>151</v>
      </c>
      <c r="E870" t="s">
        <v>162</v>
      </c>
      <c r="F870" s="3" t="s">
        <v>88</v>
      </c>
      <c r="G870" s="3" t="s">
        <v>88</v>
      </c>
      <c r="H870"/>
      <c r="I870" s="82">
        <v>44305</v>
      </c>
      <c r="J870" s="3" t="s">
        <v>492</v>
      </c>
      <c r="K870" s="3" t="s">
        <v>203</v>
      </c>
      <c r="N870" s="3">
        <v>208.4</v>
      </c>
      <c r="O870" s="3">
        <v>179.25</v>
      </c>
      <c r="P870" s="3">
        <v>185.32</v>
      </c>
      <c r="Q870" s="3">
        <v>42.53</v>
      </c>
      <c r="R870" s="3">
        <v>16.829999999999998</v>
      </c>
      <c r="S870" s="3">
        <v>120.85</v>
      </c>
      <c r="T870" s="3">
        <v>94.36</v>
      </c>
      <c r="U870" s="3">
        <v>64.64</v>
      </c>
      <c r="V870" s="3">
        <v>49.69</v>
      </c>
      <c r="W870" s="3">
        <v>68.83</v>
      </c>
      <c r="X870" s="3">
        <v>88.5</v>
      </c>
      <c r="Y870" s="3">
        <v>39.880000000000003</v>
      </c>
      <c r="Z870" s="3">
        <v>99.9</v>
      </c>
      <c r="AA870" s="3">
        <v>76.239999999999995</v>
      </c>
      <c r="AB870" s="3">
        <v>79.23</v>
      </c>
      <c r="AC870" s="3">
        <v>15.62</v>
      </c>
      <c r="AD870" s="3">
        <v>46.77</v>
      </c>
      <c r="AE870" s="3">
        <v>33.869999999999997</v>
      </c>
      <c r="AF870" s="3">
        <v>41.71</v>
      </c>
      <c r="AG870" s="3">
        <v>36.25</v>
      </c>
      <c r="AH870" s="3">
        <v>44.3</v>
      </c>
      <c r="AT870" t="s">
        <v>147</v>
      </c>
      <c r="AU870" s="17" t="s">
        <v>147</v>
      </c>
    </row>
    <row r="871" spans="1:47" x14ac:dyDescent="0.2">
      <c r="A871" s="115">
        <v>868.99999999999977</v>
      </c>
      <c r="B871" s="3" t="s">
        <v>772</v>
      </c>
      <c r="C871" s="3">
        <v>21.869</v>
      </c>
      <c r="D871" s="125" t="s">
        <v>156</v>
      </c>
      <c r="E871" t="s">
        <v>491</v>
      </c>
      <c r="F871" s="3" t="s">
        <v>77</v>
      </c>
      <c r="G871" s="3" t="s">
        <v>77</v>
      </c>
      <c r="H871"/>
      <c r="I871" s="82">
        <v>44540</v>
      </c>
      <c r="J871" t="s">
        <v>142</v>
      </c>
      <c r="K871" t="s">
        <v>203</v>
      </c>
      <c r="L871"/>
      <c r="M871"/>
      <c r="N871">
        <v>172.8</v>
      </c>
      <c r="O871">
        <v>171.72</v>
      </c>
      <c r="P871">
        <v>175.44</v>
      </c>
      <c r="Q871">
        <v>40.25</v>
      </c>
      <c r="R871">
        <v>23.94</v>
      </c>
      <c r="S871">
        <v>116.36</v>
      </c>
      <c r="T871">
        <v>95.58</v>
      </c>
      <c r="U871">
        <v>61.44</v>
      </c>
      <c r="V871">
        <v>41.92</v>
      </c>
      <c r="W871">
        <v>66.87</v>
      </c>
      <c r="X871">
        <v>76.98</v>
      </c>
      <c r="Y871">
        <v>37.25</v>
      </c>
      <c r="Z871">
        <v>82.95</v>
      </c>
      <c r="AA871">
        <v>69.22</v>
      </c>
      <c r="AB871">
        <v>65.25</v>
      </c>
      <c r="AC871">
        <v>11.37</v>
      </c>
      <c r="AD871">
        <v>42.21</v>
      </c>
      <c r="AE871">
        <v>26.74</v>
      </c>
      <c r="AF871">
        <v>39.119999999999997</v>
      </c>
      <c r="AG871">
        <v>28.92</v>
      </c>
      <c r="AH871">
        <v>37.4</v>
      </c>
      <c r="AI871">
        <v>1.2050000000000001</v>
      </c>
      <c r="AJ871"/>
      <c r="AK871"/>
      <c r="AL871"/>
      <c r="AM871"/>
      <c r="AN871"/>
      <c r="AO871">
        <v>8.1999999999999993</v>
      </c>
      <c r="AP871">
        <v>45.7</v>
      </c>
      <c r="AQ871">
        <f>93.8-10.8</f>
        <v>83</v>
      </c>
      <c r="AR871">
        <v>34.799999999999997</v>
      </c>
      <c r="AS871">
        <v>15.3</v>
      </c>
    </row>
    <row r="872" spans="1:47" x14ac:dyDescent="0.2">
      <c r="A872" s="115">
        <v>870.00000000000102</v>
      </c>
      <c r="B872" s="3" t="s">
        <v>773</v>
      </c>
      <c r="C872" s="2" t="s">
        <v>774</v>
      </c>
      <c r="D872" s="125" t="s">
        <v>156</v>
      </c>
      <c r="E872" t="s">
        <v>491</v>
      </c>
      <c r="F872" s="3" t="s">
        <v>77</v>
      </c>
      <c r="G872" s="3" t="s">
        <v>77</v>
      </c>
      <c r="H872"/>
      <c r="I872" s="82">
        <v>44554</v>
      </c>
      <c r="J872" t="s">
        <v>142</v>
      </c>
      <c r="K872" t="s">
        <v>203</v>
      </c>
      <c r="L872"/>
      <c r="M872" s="123"/>
      <c r="N872">
        <v>181</v>
      </c>
      <c r="O872">
        <v>161.13</v>
      </c>
      <c r="P872">
        <v>173.86</v>
      </c>
      <c r="Q872">
        <v>33.46</v>
      </c>
      <c r="R872">
        <v>14.61</v>
      </c>
      <c r="S872">
        <v>115.35</v>
      </c>
      <c r="T872">
        <v>95.93</v>
      </c>
      <c r="U872">
        <v>57.35</v>
      </c>
      <c r="V872">
        <v>43.5</v>
      </c>
      <c r="W872">
        <v>66.98</v>
      </c>
      <c r="X872">
        <v>81.489999999999995</v>
      </c>
      <c r="Y872">
        <v>36.76</v>
      </c>
      <c r="Z872">
        <v>85.98</v>
      </c>
      <c r="AA872">
        <v>70.989999999999995</v>
      </c>
      <c r="AB872">
        <v>66.150000000000006</v>
      </c>
      <c r="AC872">
        <v>12.41</v>
      </c>
      <c r="AD872">
        <v>42.61</v>
      </c>
      <c r="AE872">
        <v>24.07</v>
      </c>
      <c r="AF872">
        <v>36.950000000000003</v>
      </c>
      <c r="AG872">
        <v>24.68</v>
      </c>
      <c r="AH872">
        <v>42.94</v>
      </c>
      <c r="AI872">
        <v>1.29</v>
      </c>
      <c r="AJ872"/>
      <c r="AK872"/>
      <c r="AL872">
        <v>8</v>
      </c>
      <c r="AM872"/>
      <c r="AN872"/>
      <c r="AO872">
        <v>9.1</v>
      </c>
      <c r="AP872">
        <v>63</v>
      </c>
      <c r="AQ872">
        <v>60.6</v>
      </c>
      <c r="AR872">
        <v>38.6</v>
      </c>
      <c r="AS872">
        <v>16.8</v>
      </c>
    </row>
    <row r="873" spans="1:47" x14ac:dyDescent="0.2">
      <c r="A873" s="115">
        <v>870.99999999999864</v>
      </c>
      <c r="B873" s="150" t="s">
        <v>775</v>
      </c>
      <c r="C873" s="3">
        <v>21.870999999999999</v>
      </c>
      <c r="D873" s="125" t="s">
        <v>156</v>
      </c>
      <c r="E873" t="s">
        <v>491</v>
      </c>
      <c r="F873" s="3" t="s">
        <v>77</v>
      </c>
      <c r="G873" s="3" t="s">
        <v>77</v>
      </c>
      <c r="H873" s="17"/>
      <c r="I873" s="82">
        <v>44554</v>
      </c>
      <c r="J873" t="s">
        <v>142</v>
      </c>
      <c r="K873" t="s">
        <v>203</v>
      </c>
      <c r="L873"/>
      <c r="M873"/>
      <c r="N873">
        <v>161</v>
      </c>
      <c r="O873">
        <v>174</v>
      </c>
      <c r="P873">
        <v>173.32</v>
      </c>
      <c r="Q873">
        <v>33.32</v>
      </c>
      <c r="R873">
        <v>21.37</v>
      </c>
      <c r="S873">
        <v>117.93</v>
      </c>
      <c r="T873">
        <v>91.47</v>
      </c>
      <c r="U873">
        <v>61.71</v>
      </c>
      <c r="V873">
        <v>42.82</v>
      </c>
      <c r="W873">
        <v>68.91</v>
      </c>
      <c r="X873">
        <v>80.67</v>
      </c>
      <c r="Y873">
        <v>37.409999999999997</v>
      </c>
      <c r="Z873">
        <v>85.93</v>
      </c>
      <c r="AA873">
        <v>69.89</v>
      </c>
      <c r="AB873">
        <v>68.16</v>
      </c>
      <c r="AC873">
        <v>11.32</v>
      </c>
      <c r="AD873">
        <v>40.29</v>
      </c>
      <c r="AE873">
        <v>29.01</v>
      </c>
      <c r="AF873">
        <v>38.18</v>
      </c>
      <c r="AG873">
        <v>37.36</v>
      </c>
      <c r="AH873">
        <v>39.71</v>
      </c>
      <c r="AI873">
        <v>1.272</v>
      </c>
      <c r="AJ873"/>
      <c r="AK873"/>
      <c r="AL873">
        <v>9</v>
      </c>
      <c r="AM873"/>
      <c r="AN873"/>
      <c r="AO873">
        <v>8.5</v>
      </c>
      <c r="AP873">
        <v>66.2</v>
      </c>
      <c r="AQ873">
        <v>39.9</v>
      </c>
      <c r="AR873">
        <v>35.799999999999997</v>
      </c>
      <c r="AS873">
        <v>16</v>
      </c>
    </row>
    <row r="874" spans="1:47" x14ac:dyDescent="0.2">
      <c r="A874" s="115">
        <v>871.99999999999989</v>
      </c>
      <c r="B874" s="3" t="s">
        <v>776</v>
      </c>
      <c r="C874" s="4">
        <v>21.872</v>
      </c>
      <c r="D874" s="125" t="s">
        <v>156</v>
      </c>
      <c r="E874" t="s">
        <v>491</v>
      </c>
      <c r="F874" s="3" t="s">
        <v>77</v>
      </c>
      <c r="G874" s="3" t="s">
        <v>77</v>
      </c>
      <c r="H874" s="17"/>
      <c r="I874" s="82">
        <v>44554</v>
      </c>
      <c r="J874" t="s">
        <v>142</v>
      </c>
      <c r="K874" t="s">
        <v>203</v>
      </c>
      <c r="L874"/>
      <c r="M874" s="123"/>
      <c r="N874">
        <v>192.2</v>
      </c>
      <c r="O874">
        <v>170.73</v>
      </c>
      <c r="P874">
        <v>179.73</v>
      </c>
      <c r="Q874">
        <v>37.74</v>
      </c>
      <c r="R874">
        <v>17.12</v>
      </c>
      <c r="S874">
        <v>120.16</v>
      </c>
      <c r="T874">
        <v>96.35</v>
      </c>
      <c r="U874">
        <v>58.03</v>
      </c>
      <c r="V874">
        <v>42.3</v>
      </c>
      <c r="W874">
        <v>66.7</v>
      </c>
      <c r="X874">
        <v>79.569999999999993</v>
      </c>
      <c r="Y874">
        <v>36.229999999999997</v>
      </c>
      <c r="Z874">
        <v>87.41</v>
      </c>
      <c r="AA874">
        <v>72.06</v>
      </c>
      <c r="AB874">
        <v>66.44</v>
      </c>
      <c r="AC874">
        <v>13.75</v>
      </c>
      <c r="AD874">
        <v>44.58</v>
      </c>
      <c r="AE874">
        <v>27.39</v>
      </c>
      <c r="AF874">
        <v>38.14</v>
      </c>
      <c r="AG874">
        <v>33.18</v>
      </c>
      <c r="AH874">
        <v>45.59</v>
      </c>
      <c r="AI874">
        <v>1.3540000000000001</v>
      </c>
      <c r="AJ874"/>
      <c r="AK874"/>
      <c r="AL874">
        <v>10</v>
      </c>
      <c r="AM874"/>
      <c r="AN874"/>
      <c r="AO874">
        <v>10.9</v>
      </c>
      <c r="AP874">
        <v>67.400000000000006</v>
      </c>
      <c r="AQ874">
        <v>60.6</v>
      </c>
      <c r="AR874">
        <v>42.5</v>
      </c>
      <c r="AS874">
        <v>18.8</v>
      </c>
    </row>
    <row r="875" spans="1:47" x14ac:dyDescent="0.2">
      <c r="A875" s="115">
        <v>872.99999999990166</v>
      </c>
      <c r="B875" s="3" t="s">
        <v>777</v>
      </c>
      <c r="C875" s="3">
        <v>21.872999999999902</v>
      </c>
      <c r="D875" s="125" t="s">
        <v>156</v>
      </c>
      <c r="E875" t="s">
        <v>491</v>
      </c>
      <c r="F875" s="3" t="s">
        <v>77</v>
      </c>
      <c r="G875" s="3" t="s">
        <v>77</v>
      </c>
      <c r="H875" s="17"/>
      <c r="I875" s="82">
        <v>44540</v>
      </c>
      <c r="J875" t="s">
        <v>142</v>
      </c>
      <c r="K875" t="s">
        <v>203</v>
      </c>
      <c r="L875"/>
      <c r="M875" s="123"/>
      <c r="N875">
        <v>192.8</v>
      </c>
      <c r="O875">
        <v>167.72</v>
      </c>
      <c r="P875">
        <v>182.15</v>
      </c>
      <c r="Q875">
        <v>41.49</v>
      </c>
      <c r="R875">
        <v>20.39</v>
      </c>
      <c r="S875">
        <v>119.99</v>
      </c>
      <c r="T875">
        <v>100.65</v>
      </c>
      <c r="U875">
        <v>60.37</v>
      </c>
      <c r="V875">
        <v>43.32</v>
      </c>
      <c r="W875">
        <v>66.95</v>
      </c>
      <c r="X875">
        <v>78.540000000000006</v>
      </c>
      <c r="Y875">
        <v>37.96</v>
      </c>
      <c r="Z875">
        <v>85.11</v>
      </c>
      <c r="AA875">
        <v>71.63</v>
      </c>
      <c r="AB875">
        <v>67.34</v>
      </c>
      <c r="AC875">
        <v>12.58</v>
      </c>
      <c r="AD875">
        <v>44.75</v>
      </c>
      <c r="AE875">
        <v>24.19</v>
      </c>
      <c r="AF875">
        <v>42.7</v>
      </c>
      <c r="AG875">
        <v>27.8</v>
      </c>
      <c r="AH875">
        <v>44.53</v>
      </c>
      <c r="AI875">
        <v>1.228</v>
      </c>
      <c r="AJ875"/>
      <c r="AK875"/>
      <c r="AL875">
        <v>16</v>
      </c>
      <c r="AM875"/>
      <c r="AN875"/>
      <c r="AO875">
        <v>8.4</v>
      </c>
      <c r="AP875">
        <v>67.5</v>
      </c>
      <c r="AQ875">
        <v>62.8</v>
      </c>
      <c r="AR875">
        <v>36.200000000000003</v>
      </c>
      <c r="AS875">
        <v>16.100000000000001</v>
      </c>
    </row>
    <row r="876" spans="1:47" x14ac:dyDescent="0.2">
      <c r="A876" s="115">
        <v>873.99999999999875</v>
      </c>
      <c r="B876" s="3" t="s">
        <v>778</v>
      </c>
      <c r="C876" s="3">
        <v>21.873999999999999</v>
      </c>
      <c r="D876" s="125" t="s">
        <v>156</v>
      </c>
      <c r="E876" t="s">
        <v>491</v>
      </c>
      <c r="F876" s="3" t="s">
        <v>77</v>
      </c>
      <c r="G876" s="3" t="s">
        <v>77</v>
      </c>
      <c r="H876" s="17"/>
      <c r="I876" s="82">
        <v>44546</v>
      </c>
      <c r="J876" t="s">
        <v>492</v>
      </c>
      <c r="K876" t="s">
        <v>203</v>
      </c>
      <c r="L876"/>
      <c r="M876" s="123"/>
      <c r="N876"/>
      <c r="O876">
        <v>167.93</v>
      </c>
      <c r="P876">
        <v>183.64</v>
      </c>
      <c r="Q876">
        <v>35.24</v>
      </c>
      <c r="R876">
        <v>20.72</v>
      </c>
      <c r="S876">
        <v>118.36</v>
      </c>
      <c r="T876">
        <v>97.8</v>
      </c>
      <c r="U876">
        <v>59.3</v>
      </c>
      <c r="V876">
        <v>48.39</v>
      </c>
      <c r="W876">
        <v>69.569999999999993</v>
      </c>
      <c r="X876">
        <v>79.55</v>
      </c>
      <c r="Y876">
        <v>36.99</v>
      </c>
      <c r="Z876">
        <v>85.86</v>
      </c>
      <c r="AA876">
        <v>71.959999999999994</v>
      </c>
      <c r="AB876">
        <v>67.91</v>
      </c>
      <c r="AC876">
        <v>12.93</v>
      </c>
      <c r="AD876">
        <v>47.52</v>
      </c>
      <c r="AE876">
        <v>26.86</v>
      </c>
      <c r="AF876">
        <v>41.6</v>
      </c>
      <c r="AG876">
        <v>28.62</v>
      </c>
      <c r="AH876">
        <v>42.23</v>
      </c>
      <c r="AI876" s="17"/>
      <c r="AJ876" s="17"/>
      <c r="AK876" s="17"/>
      <c r="AL876" s="17"/>
      <c r="AM876" s="17"/>
      <c r="AN876"/>
      <c r="AO876"/>
      <c r="AP876"/>
      <c r="AQ876"/>
      <c r="AR876"/>
      <c r="AS876"/>
    </row>
    <row r="877" spans="1:47" x14ac:dyDescent="0.2">
      <c r="A877" s="115">
        <v>875</v>
      </c>
      <c r="B877" s="3" t="s">
        <v>779</v>
      </c>
      <c r="C877" s="4">
        <v>21.875</v>
      </c>
      <c r="D877" s="125" t="s">
        <v>156</v>
      </c>
      <c r="E877" t="s">
        <v>491</v>
      </c>
      <c r="F877" s="3" t="s">
        <v>77</v>
      </c>
      <c r="G877" s="3" t="s">
        <v>77</v>
      </c>
      <c r="I877" s="82">
        <v>44546</v>
      </c>
      <c r="J877" t="s">
        <v>492</v>
      </c>
      <c r="K877" t="s">
        <v>203</v>
      </c>
      <c r="L877"/>
      <c r="M877" s="162"/>
      <c r="N877"/>
      <c r="O877">
        <v>157.6</v>
      </c>
      <c r="P877">
        <v>168.59</v>
      </c>
      <c r="Q877">
        <v>36.18</v>
      </c>
      <c r="R877">
        <v>11.61</v>
      </c>
      <c r="S877">
        <v>113.35</v>
      </c>
      <c r="T877">
        <v>93.92</v>
      </c>
      <c r="U877">
        <v>62.99</v>
      </c>
      <c r="V877">
        <v>47.72</v>
      </c>
      <c r="W877">
        <v>68.7</v>
      </c>
      <c r="X877">
        <v>82.38</v>
      </c>
      <c r="Y877">
        <v>36.71</v>
      </c>
      <c r="Z877">
        <v>87.22</v>
      </c>
      <c r="AA877">
        <v>72.41</v>
      </c>
      <c r="AB877">
        <v>68.91</v>
      </c>
      <c r="AC877">
        <v>13.58</v>
      </c>
      <c r="AD877">
        <v>46.19</v>
      </c>
      <c r="AE877">
        <v>22.75</v>
      </c>
      <c r="AF877">
        <v>40.43</v>
      </c>
      <c r="AG877">
        <v>22.5</v>
      </c>
      <c r="AH877">
        <v>41.16</v>
      </c>
      <c r="AI877"/>
      <c r="AJ877"/>
      <c r="AK877"/>
      <c r="AL877"/>
      <c r="AM877"/>
      <c r="AN877"/>
      <c r="AO877"/>
      <c r="AP877"/>
      <c r="AQ877"/>
      <c r="AR877"/>
      <c r="AS877"/>
    </row>
    <row r="878" spans="1:47" x14ac:dyDescent="0.2">
      <c r="A878" s="115">
        <v>876.00000000000125</v>
      </c>
      <c r="B878" s="3" t="s">
        <v>780</v>
      </c>
      <c r="C878" s="3">
        <v>21.876000000000001</v>
      </c>
      <c r="D878" s="125" t="s">
        <v>156</v>
      </c>
      <c r="E878" t="s">
        <v>491</v>
      </c>
      <c r="F878" s="3" t="s">
        <v>77</v>
      </c>
      <c r="G878" s="3" t="s">
        <v>77</v>
      </c>
      <c r="I878" s="82">
        <v>44554</v>
      </c>
      <c r="J878" s="17" t="s">
        <v>142</v>
      </c>
      <c r="K878" s="17" t="s">
        <v>235</v>
      </c>
      <c r="L878" s="17"/>
      <c r="M878" s="17"/>
      <c r="N878" s="17">
        <v>229.47</v>
      </c>
      <c r="O878" s="17">
        <v>171.87</v>
      </c>
      <c r="P878" s="17">
        <v>174.62</v>
      </c>
      <c r="Q878" s="17">
        <v>31.67</v>
      </c>
      <c r="R878" s="17">
        <v>21.66</v>
      </c>
      <c r="S878" s="17">
        <v>118.51</v>
      </c>
      <c r="T878" s="17">
        <v>93.21</v>
      </c>
      <c r="U878" s="50">
        <v>59.57</v>
      </c>
      <c r="V878" s="50">
        <v>44.47</v>
      </c>
      <c r="W878" s="50">
        <v>68.87</v>
      </c>
      <c r="X878" s="50">
        <v>81.95</v>
      </c>
      <c r="Y878" s="50">
        <v>34.69</v>
      </c>
      <c r="Z878" s="50">
        <v>88.84</v>
      </c>
      <c r="AA878" s="50">
        <v>77.16</v>
      </c>
      <c r="AB878" s="50">
        <v>70.959999999999994</v>
      </c>
      <c r="AC878" s="50">
        <v>14.81</v>
      </c>
      <c r="AD878" s="50">
        <v>48.86</v>
      </c>
      <c r="AE878" s="17">
        <v>32.39</v>
      </c>
      <c r="AF878" s="17">
        <v>40.340000000000003</v>
      </c>
      <c r="AG878" s="17">
        <v>36.020000000000003</v>
      </c>
      <c r="AH878" s="17">
        <v>38.44</v>
      </c>
      <c r="AI878" s="17">
        <v>1.0169999999999999</v>
      </c>
      <c r="AJ878" s="17">
        <v>45.07</v>
      </c>
      <c r="AK878" s="17"/>
      <c r="AL878"/>
      <c r="AM878" s="17">
        <v>53</v>
      </c>
      <c r="AN878" s="17">
        <v>41</v>
      </c>
      <c r="AO878" s="17"/>
      <c r="AP878" s="17"/>
      <c r="AQ878" s="17"/>
      <c r="AR878" s="17"/>
      <c r="AS878" s="17"/>
      <c r="AT878" s="17" t="s">
        <v>175</v>
      </c>
      <c r="AU878" s="17" t="s">
        <v>147</v>
      </c>
    </row>
    <row r="879" spans="1:47" x14ac:dyDescent="0.2">
      <c r="A879" s="115">
        <v>876.99999999999886</v>
      </c>
      <c r="B879" s="3" t="s">
        <v>781</v>
      </c>
      <c r="C879" s="3">
        <v>21.876999999999999</v>
      </c>
      <c r="D879" s="125" t="s">
        <v>156</v>
      </c>
      <c r="E879" t="s">
        <v>491</v>
      </c>
      <c r="F879" s="3" t="s">
        <v>77</v>
      </c>
      <c r="G879" s="3" t="s">
        <v>77</v>
      </c>
      <c r="I879" s="82">
        <v>44554</v>
      </c>
      <c r="J879" s="17" t="s">
        <v>142</v>
      </c>
      <c r="K879" s="17" t="s">
        <v>235</v>
      </c>
      <c r="L879" s="17"/>
      <c r="M879" s="17"/>
      <c r="N879" s="17">
        <v>230.27</v>
      </c>
      <c r="O879" s="17">
        <v>164.21</v>
      </c>
      <c r="P879" s="17">
        <v>169.39</v>
      </c>
      <c r="Q879" s="17">
        <v>38.39</v>
      </c>
      <c r="R879" s="17">
        <v>16.649999999999999</v>
      </c>
      <c r="S879" s="17">
        <v>112.73</v>
      </c>
      <c r="T879" s="17">
        <v>91.32</v>
      </c>
      <c r="U879" s="50">
        <v>64.77</v>
      </c>
      <c r="V879" s="50">
        <v>43.34</v>
      </c>
      <c r="W879" s="50">
        <v>69.08</v>
      </c>
      <c r="X879" s="50">
        <v>81.63</v>
      </c>
      <c r="Y879" s="50">
        <v>33.31</v>
      </c>
      <c r="Z879" s="50">
        <v>90.83</v>
      </c>
      <c r="AA879" s="50">
        <v>78.39</v>
      </c>
      <c r="AB879" s="50">
        <v>69.260000000000005</v>
      </c>
      <c r="AC879" s="50">
        <v>11.55</v>
      </c>
      <c r="AD879" s="50">
        <v>51.3</v>
      </c>
      <c r="AE879" s="17">
        <v>26.44</v>
      </c>
      <c r="AF879" s="17">
        <v>39.799999999999997</v>
      </c>
      <c r="AG879" s="17">
        <v>30.15</v>
      </c>
      <c r="AH879" s="17">
        <v>39.03</v>
      </c>
      <c r="AI879" s="17">
        <v>0.97199999999999998</v>
      </c>
      <c r="AJ879" s="17">
        <v>46.22</v>
      </c>
      <c r="AK879" s="17"/>
      <c r="AL879" s="17"/>
      <c r="AM879" s="17"/>
      <c r="AN879" s="17">
        <v>110</v>
      </c>
      <c r="AO879" s="17"/>
      <c r="AP879" s="17"/>
      <c r="AQ879" s="17"/>
      <c r="AR879" s="17"/>
      <c r="AS879" s="17"/>
      <c r="AT879" s="17" t="s">
        <v>175</v>
      </c>
      <c r="AU879" s="17" t="s">
        <v>147</v>
      </c>
    </row>
    <row r="880" spans="1:47" x14ac:dyDescent="0.2">
      <c r="A880" s="115">
        <v>878.00000000000011</v>
      </c>
      <c r="B880" s="3" t="s">
        <v>782</v>
      </c>
      <c r="C880" s="4">
        <v>21.878</v>
      </c>
      <c r="D880" s="125" t="s">
        <v>156</v>
      </c>
      <c r="E880" t="s">
        <v>491</v>
      </c>
      <c r="F880" s="3" t="s">
        <v>77</v>
      </c>
      <c r="G880" s="3" t="s">
        <v>77</v>
      </c>
      <c r="I880" s="82">
        <v>44540</v>
      </c>
      <c r="J880" s="17" t="s">
        <v>142</v>
      </c>
      <c r="K880" s="17" t="s">
        <v>235</v>
      </c>
      <c r="L880" s="17"/>
      <c r="M880" s="17"/>
      <c r="N880" s="17">
        <v>238.14</v>
      </c>
      <c r="O880" s="17">
        <v>175.87</v>
      </c>
      <c r="P880" s="17">
        <v>177.17</v>
      </c>
      <c r="Q880" s="17">
        <v>35.81</v>
      </c>
      <c r="R880" s="17">
        <v>23.4</v>
      </c>
      <c r="S880" s="17">
        <v>121.12</v>
      </c>
      <c r="T880" s="17">
        <v>97.01</v>
      </c>
      <c r="U880" s="50">
        <v>59.24</v>
      </c>
      <c r="V880" s="50">
        <v>42.21</v>
      </c>
      <c r="W880" s="50">
        <v>69.09</v>
      </c>
      <c r="X880" s="50">
        <v>80.64</v>
      </c>
      <c r="Y880" s="50">
        <v>33.18</v>
      </c>
      <c r="Z880" s="50">
        <v>88.24</v>
      </c>
      <c r="AA880" s="50">
        <v>77.37</v>
      </c>
      <c r="AB880" s="50">
        <v>67.92</v>
      </c>
      <c r="AC880" s="50">
        <v>13.88</v>
      </c>
      <c r="AD880" s="50">
        <v>51.49</v>
      </c>
      <c r="AE880" s="17">
        <v>32.03</v>
      </c>
      <c r="AF880" s="17">
        <v>41.9</v>
      </c>
      <c r="AG880" s="17">
        <v>30.14</v>
      </c>
      <c r="AH880" s="17">
        <v>39.369999999999997</v>
      </c>
      <c r="AI880" s="17">
        <v>0.94499999999999995</v>
      </c>
      <c r="AJ880" s="54"/>
      <c r="AK880" s="54"/>
      <c r="AL880" s="17"/>
      <c r="AM880" s="17"/>
      <c r="AN880" s="17"/>
      <c r="AO880" s="17"/>
      <c r="AP880" s="17"/>
      <c r="AQ880" s="17"/>
      <c r="AR880" s="17"/>
      <c r="AS880" s="17"/>
      <c r="AT880" s="17" t="s">
        <v>175</v>
      </c>
      <c r="AU880" s="17" t="s">
        <v>147</v>
      </c>
    </row>
    <row r="881" spans="1:47" x14ac:dyDescent="0.2">
      <c r="A881" s="115">
        <v>879.00000000000136</v>
      </c>
      <c r="B881" s="3">
        <v>198</v>
      </c>
      <c r="C881" s="3">
        <v>21.879000000000001</v>
      </c>
      <c r="D881" s="129" t="s">
        <v>140</v>
      </c>
      <c r="E881" t="s">
        <v>141</v>
      </c>
      <c r="F881" s="3" t="s">
        <v>61</v>
      </c>
      <c r="G881" s="3" t="s">
        <v>61</v>
      </c>
      <c r="I881" s="82">
        <v>44548</v>
      </c>
      <c r="J881" s="17" t="s">
        <v>142</v>
      </c>
      <c r="K881" s="17" t="s">
        <v>235</v>
      </c>
      <c r="L881"/>
      <c r="M881" s="17">
        <v>245.9</v>
      </c>
      <c r="N881" s="17">
        <v>251.14</v>
      </c>
      <c r="O881" s="17">
        <v>177.79</v>
      </c>
      <c r="P881" s="17">
        <v>191.6</v>
      </c>
      <c r="Q881" s="17">
        <v>38.86</v>
      </c>
      <c r="R881" s="17">
        <v>24.43</v>
      </c>
      <c r="S881" s="17">
        <v>126.1</v>
      </c>
      <c r="T881" s="17">
        <v>101.1</v>
      </c>
      <c r="U881" s="17">
        <v>52.98</v>
      </c>
      <c r="V881" s="17">
        <v>41.23</v>
      </c>
      <c r="W881" s="17">
        <v>64.53</v>
      </c>
      <c r="X881" s="17">
        <v>84.24</v>
      </c>
      <c r="Y881" s="17">
        <v>37.01</v>
      </c>
      <c r="Z881" s="17">
        <v>94.38</v>
      </c>
      <c r="AA881" s="17">
        <v>79.41</v>
      </c>
      <c r="AB881" s="17">
        <v>65.97</v>
      </c>
      <c r="AC881" s="17">
        <v>18.97</v>
      </c>
      <c r="AD881" s="17">
        <v>52.47</v>
      </c>
      <c r="AE881" s="17">
        <v>41.02</v>
      </c>
      <c r="AF881" s="17">
        <v>42.36</v>
      </c>
      <c r="AG881" s="17">
        <v>38.520000000000003</v>
      </c>
      <c r="AH881" s="17">
        <v>39.82</v>
      </c>
      <c r="AI881" s="17">
        <v>1.1399999999999999</v>
      </c>
      <c r="AJ881" s="17">
        <v>46.38</v>
      </c>
      <c r="AK881" s="17"/>
      <c r="AL881" s="17"/>
      <c r="AM881" s="17"/>
      <c r="AN881" s="17">
        <v>104</v>
      </c>
      <c r="AO881" s="17"/>
      <c r="AP881"/>
      <c r="AQ881"/>
      <c r="AR881"/>
      <c r="AS881"/>
      <c r="AT881" s="17" t="s">
        <v>175</v>
      </c>
      <c r="AU881" s="17" t="s">
        <v>147</v>
      </c>
    </row>
    <row r="882" spans="1:47" x14ac:dyDescent="0.2">
      <c r="A882" s="115">
        <v>879.99999999999898</v>
      </c>
      <c r="B882" s="3">
        <v>205</v>
      </c>
      <c r="C882" s="2" t="s">
        <v>52</v>
      </c>
      <c r="D882" s="129" t="s">
        <v>140</v>
      </c>
      <c r="E882" t="s">
        <v>141</v>
      </c>
      <c r="F882" s="3" t="s">
        <v>60</v>
      </c>
      <c r="H882" s="3" t="s">
        <v>60</v>
      </c>
      <c r="I882" s="82">
        <v>44558</v>
      </c>
      <c r="J882" s="17" t="s">
        <v>142</v>
      </c>
      <c r="K882" s="17" t="s">
        <v>235</v>
      </c>
      <c r="L882"/>
      <c r="M882" s="17">
        <v>323.8</v>
      </c>
      <c r="N882" s="17">
        <v>331.52</v>
      </c>
      <c r="O882" s="17">
        <v>175.89</v>
      </c>
      <c r="P882" s="17">
        <v>189.88</v>
      </c>
      <c r="Q882" s="17">
        <v>31.26</v>
      </c>
      <c r="R882" s="17">
        <v>20.45</v>
      </c>
      <c r="S882" s="17">
        <v>137.03</v>
      </c>
      <c r="T882" s="17">
        <v>108.62</v>
      </c>
      <c r="U882" s="17">
        <v>64.44</v>
      </c>
      <c r="V882" s="17">
        <v>46.29</v>
      </c>
      <c r="W882" s="17">
        <v>75.77</v>
      </c>
      <c r="X882" s="17">
        <v>95.75</v>
      </c>
      <c r="Y882" s="17">
        <v>43.67</v>
      </c>
      <c r="Z882" s="17">
        <v>100.19</v>
      </c>
      <c r="AA882" s="17">
        <v>83.46</v>
      </c>
      <c r="AB882" s="17">
        <v>71.430000000000007</v>
      </c>
      <c r="AC882" s="17">
        <v>8.77</v>
      </c>
      <c r="AD882" s="17">
        <v>55.95</v>
      </c>
      <c r="AE882" s="17">
        <v>24.64</v>
      </c>
      <c r="AF882" s="17">
        <v>38.090000000000003</v>
      </c>
      <c r="AG882" s="17">
        <v>30.24</v>
      </c>
      <c r="AH882" s="17">
        <v>39.119999999999997</v>
      </c>
      <c r="AI882" s="17">
        <v>1.91</v>
      </c>
      <c r="AJ882" s="17">
        <v>57.9</v>
      </c>
      <c r="AK882" s="17"/>
      <c r="AL882" s="17"/>
      <c r="AM882" s="17"/>
      <c r="AN882" s="17">
        <v>132</v>
      </c>
      <c r="AO882" s="17"/>
      <c r="AP882"/>
      <c r="AQ882"/>
      <c r="AR882"/>
      <c r="AS882"/>
      <c r="AT882" s="17" t="s">
        <v>175</v>
      </c>
      <c r="AU882" s="17" t="s">
        <v>147</v>
      </c>
    </row>
    <row r="883" spans="1:47" x14ac:dyDescent="0.2">
      <c r="A883" s="115">
        <v>881.00000000000023</v>
      </c>
      <c r="B883" s="3">
        <v>209</v>
      </c>
      <c r="C883" s="3">
        <v>21.881</v>
      </c>
      <c r="D883" s="129" t="s">
        <v>140</v>
      </c>
      <c r="E883" t="s">
        <v>141</v>
      </c>
      <c r="F883" s="3" t="s">
        <v>60</v>
      </c>
      <c r="H883" s="3" t="s">
        <v>60</v>
      </c>
      <c r="I883" s="82">
        <v>44560</v>
      </c>
      <c r="J883" s="17" t="s">
        <v>142</v>
      </c>
      <c r="K883" s="17" t="s">
        <v>203</v>
      </c>
      <c r="L883" s="17"/>
      <c r="M883" s="17">
        <v>271</v>
      </c>
      <c r="N883" s="17">
        <v>270.39</v>
      </c>
      <c r="O883" s="17">
        <v>170.36</v>
      </c>
      <c r="P883" s="17">
        <v>191.09</v>
      </c>
      <c r="Q883" s="17">
        <v>34.43</v>
      </c>
      <c r="R883" s="17">
        <v>20.28</v>
      </c>
      <c r="S883" s="17">
        <v>127.75</v>
      </c>
      <c r="T883" s="17">
        <v>104.38</v>
      </c>
      <c r="U883" s="17">
        <v>62.16</v>
      </c>
      <c r="V883" s="17">
        <v>52.01</v>
      </c>
      <c r="W883" s="17">
        <v>74.510000000000005</v>
      </c>
      <c r="X883" s="17">
        <v>93.16</v>
      </c>
      <c r="Y883" s="17">
        <v>42.58</v>
      </c>
      <c r="Z883" s="17">
        <v>99.45</v>
      </c>
      <c r="AA883" s="17">
        <v>75.91</v>
      </c>
      <c r="AB883" s="17">
        <v>72.930000000000007</v>
      </c>
      <c r="AC883" s="17">
        <v>15.63</v>
      </c>
      <c r="AD883" s="17">
        <v>50.12</v>
      </c>
      <c r="AE883" s="17">
        <v>36.9</v>
      </c>
      <c r="AF883" s="17">
        <v>39.31</v>
      </c>
      <c r="AG883" s="17">
        <v>26.69</v>
      </c>
      <c r="AH883" s="17">
        <v>45.47</v>
      </c>
      <c r="AI883" s="17">
        <v>2.5579999999999998</v>
      </c>
      <c r="AJ883" s="17"/>
      <c r="AK883" s="17"/>
      <c r="AL883" s="17"/>
      <c r="AM883" s="17"/>
      <c r="AN883" s="17"/>
      <c r="AO883" s="17">
        <v>20.56</v>
      </c>
      <c r="AP883" s="17">
        <v>70.099999999999994</v>
      </c>
      <c r="AQ883" s="17">
        <v>112.9</v>
      </c>
      <c r="AR883" s="17">
        <v>63.71</v>
      </c>
      <c r="AS883" s="17">
        <v>26.1</v>
      </c>
      <c r="AT883" s="17" t="s">
        <v>175</v>
      </c>
      <c r="AU883" s="17" t="s">
        <v>147</v>
      </c>
    </row>
    <row r="884" spans="1:47" x14ac:dyDescent="0.2">
      <c r="A884" s="115">
        <v>882.00000000000148</v>
      </c>
      <c r="B884" s="3">
        <v>199</v>
      </c>
      <c r="C884" s="3">
        <v>21.882000000000001</v>
      </c>
      <c r="D884" s="129" t="s">
        <v>140</v>
      </c>
      <c r="E884" t="s">
        <v>141</v>
      </c>
      <c r="F884" s="3" t="s">
        <v>61</v>
      </c>
      <c r="G884" s="3" t="s">
        <v>61</v>
      </c>
      <c r="H884" s="3" t="s">
        <v>61</v>
      </c>
      <c r="I884" s="82">
        <v>44549</v>
      </c>
      <c r="J884" s="17" t="s">
        <v>142</v>
      </c>
      <c r="K884" s="17" t="s">
        <v>235</v>
      </c>
      <c r="L884" s="17"/>
      <c r="M884" s="17">
        <v>230</v>
      </c>
      <c r="N884" s="17">
        <v>230.99</v>
      </c>
      <c r="O884" s="17">
        <v>169.27</v>
      </c>
      <c r="P884" s="17">
        <v>180.56</v>
      </c>
      <c r="Q884" s="17">
        <v>42.67</v>
      </c>
      <c r="R884" s="17">
        <v>21.6</v>
      </c>
      <c r="S884" s="17">
        <v>115.16</v>
      </c>
      <c r="T884" s="17">
        <v>94.19</v>
      </c>
      <c r="U884" s="17">
        <v>59.13</v>
      </c>
      <c r="V884" s="17">
        <v>40.409999999999997</v>
      </c>
      <c r="W884" s="17">
        <v>66.44</v>
      </c>
      <c r="X884" s="17">
        <v>85.67</v>
      </c>
      <c r="Y884" s="17">
        <v>34.770000000000003</v>
      </c>
      <c r="Z884" s="17">
        <v>93.69</v>
      </c>
      <c r="AA884" s="17">
        <v>79.19</v>
      </c>
      <c r="AB884" s="17">
        <v>63.7</v>
      </c>
      <c r="AC884" s="17">
        <v>14.74</v>
      </c>
      <c r="AD884" s="17">
        <v>51.09</v>
      </c>
      <c r="AE884" s="17">
        <v>31.49</v>
      </c>
      <c r="AF884" s="17">
        <v>35.36</v>
      </c>
      <c r="AG884" s="17">
        <v>38.97</v>
      </c>
      <c r="AH884" s="17">
        <v>35.44</v>
      </c>
      <c r="AI884" s="17">
        <v>1.135</v>
      </c>
      <c r="AJ884" s="17">
        <v>42.91</v>
      </c>
      <c r="AK884" s="17"/>
      <c r="AL884" s="17"/>
      <c r="AM884" s="17"/>
      <c r="AN884" s="17">
        <v>63</v>
      </c>
      <c r="AO884" s="17"/>
      <c r="AP884" s="17"/>
      <c r="AQ884" s="17"/>
      <c r="AR884" s="17"/>
      <c r="AS884" s="17"/>
      <c r="AT884" s="17" t="s">
        <v>175</v>
      </c>
      <c r="AU884" s="17" t="s">
        <v>147</v>
      </c>
    </row>
    <row r="885" spans="1:47" x14ac:dyDescent="0.2">
      <c r="A885" s="115">
        <v>882.99999999999909</v>
      </c>
      <c r="B885" s="3" t="s">
        <v>783</v>
      </c>
      <c r="C885" s="3">
        <v>21.882999999999999</v>
      </c>
      <c r="D885" s="155" t="s">
        <v>151</v>
      </c>
      <c r="E885" t="s">
        <v>152</v>
      </c>
      <c r="F885" s="17" t="s">
        <v>227</v>
      </c>
      <c r="G885" s="17"/>
      <c r="H885" s="3" t="s">
        <v>90</v>
      </c>
      <c r="I885" s="82">
        <v>44559</v>
      </c>
      <c r="J885" s="3" t="s">
        <v>142</v>
      </c>
      <c r="K885" s="3" t="s">
        <v>235</v>
      </c>
      <c r="N885" s="3">
        <v>294.39999999999998</v>
      </c>
      <c r="O885" s="3">
        <v>175.25</v>
      </c>
      <c r="P885" s="3">
        <v>194.01</v>
      </c>
      <c r="Q885" s="3">
        <v>42.41</v>
      </c>
      <c r="R885" s="3">
        <v>25.01</v>
      </c>
      <c r="S885" s="3">
        <v>120.86</v>
      </c>
      <c r="T885" s="3">
        <v>97.43</v>
      </c>
      <c r="U885" s="3">
        <v>69.5</v>
      </c>
      <c r="V885" s="3">
        <v>54.98</v>
      </c>
      <c r="W885" s="3">
        <v>77.3</v>
      </c>
      <c r="X885" s="3">
        <v>96.42</v>
      </c>
      <c r="Y885" s="3">
        <v>39.78</v>
      </c>
      <c r="Z885" s="3">
        <v>104.9</v>
      </c>
      <c r="AA885" s="3">
        <v>88.05</v>
      </c>
      <c r="AB885" s="3">
        <v>81.13</v>
      </c>
      <c r="AC885" s="3">
        <v>26.17</v>
      </c>
      <c r="AD885" s="3">
        <v>51.81</v>
      </c>
      <c r="AE885" s="3">
        <v>31.22</v>
      </c>
      <c r="AF885" s="3">
        <v>43.44</v>
      </c>
      <c r="AG885" s="3">
        <v>39.42</v>
      </c>
      <c r="AH885" s="3">
        <v>43.7</v>
      </c>
      <c r="AI885" s="3">
        <v>1.542</v>
      </c>
      <c r="AJ885" s="3">
        <v>50.8</v>
      </c>
      <c r="AO885" s="3">
        <v>12.6</v>
      </c>
      <c r="AP885" s="3">
        <v>29.9</v>
      </c>
      <c r="AR885" s="3">
        <v>54.2</v>
      </c>
      <c r="AS885" s="3">
        <v>22.8</v>
      </c>
      <c r="AT885" s="17" t="s">
        <v>147</v>
      </c>
      <c r="AU885" s="17" t="s">
        <v>147</v>
      </c>
    </row>
    <row r="886" spans="1:47" x14ac:dyDescent="0.2">
      <c r="A886" s="115">
        <v>884.00000000000034</v>
      </c>
      <c r="B886" s="3" t="s">
        <v>784</v>
      </c>
      <c r="C886" s="3">
        <v>21.884</v>
      </c>
      <c r="D886" s="155" t="s">
        <v>151</v>
      </c>
      <c r="E886" t="s">
        <v>162</v>
      </c>
      <c r="F886" s="3" t="s">
        <v>88</v>
      </c>
      <c r="G886" s="3" t="s">
        <v>88</v>
      </c>
      <c r="H886" s="17"/>
      <c r="I886" s="82">
        <v>44320</v>
      </c>
      <c r="J886" s="3" t="s">
        <v>492</v>
      </c>
      <c r="K886" s="3" t="s">
        <v>203</v>
      </c>
      <c r="N886" s="3">
        <v>199.4</v>
      </c>
      <c r="O886" s="3">
        <v>175.88</v>
      </c>
      <c r="P886" s="3">
        <v>183.96</v>
      </c>
      <c r="Q886" s="3">
        <v>41.02</v>
      </c>
      <c r="R886" s="3">
        <v>16.07</v>
      </c>
      <c r="S886" s="3">
        <v>121.77</v>
      </c>
      <c r="T886" s="3">
        <v>95.72</v>
      </c>
      <c r="U886" s="3">
        <v>66.94</v>
      </c>
      <c r="V886" s="3">
        <v>49.68</v>
      </c>
      <c r="W886" s="3">
        <v>70.37</v>
      </c>
      <c r="X886" s="3">
        <v>86.38</v>
      </c>
      <c r="Y886" s="3">
        <v>38.76</v>
      </c>
      <c r="Z886" s="3">
        <v>98.44</v>
      </c>
      <c r="AA886" s="3">
        <v>75.760000000000005</v>
      </c>
      <c r="AB886" s="3">
        <v>81.77</v>
      </c>
      <c r="AC886" s="3">
        <v>20.079999999999998</v>
      </c>
      <c r="AD886" s="3">
        <v>46.41</v>
      </c>
      <c r="AE886" s="3">
        <v>26.9</v>
      </c>
      <c r="AF886" s="3">
        <v>42.11</v>
      </c>
      <c r="AG886" s="3">
        <v>38.01</v>
      </c>
      <c r="AH886" s="3">
        <v>44.25</v>
      </c>
      <c r="AT886" t="s">
        <v>147</v>
      </c>
      <c r="AU886" s="17" t="s">
        <v>147</v>
      </c>
    </row>
    <row r="887" spans="1:47" x14ac:dyDescent="0.2">
      <c r="A887" s="115">
        <v>885.00000000000159</v>
      </c>
      <c r="B887" s="3" t="s">
        <v>785</v>
      </c>
      <c r="C887" s="3">
        <v>21.885000000000002</v>
      </c>
      <c r="D887" s="155" t="s">
        <v>151</v>
      </c>
      <c r="E887" t="s">
        <v>162</v>
      </c>
      <c r="F887" s="3" t="s">
        <v>88</v>
      </c>
      <c r="G887" s="3" t="s">
        <v>88</v>
      </c>
      <c r="I887" s="82">
        <v>44320</v>
      </c>
      <c r="J887" s="3" t="s">
        <v>492</v>
      </c>
      <c r="K887" s="3" t="s">
        <v>203</v>
      </c>
      <c r="N887" s="3">
        <v>211.9</v>
      </c>
      <c r="O887" s="3">
        <v>190.28</v>
      </c>
      <c r="P887" s="3">
        <v>44.29</v>
      </c>
      <c r="Q887" s="3">
        <v>42.76</v>
      </c>
      <c r="R887" s="3">
        <v>23.34</v>
      </c>
      <c r="S887" s="3">
        <v>120.34</v>
      </c>
      <c r="T887" s="3">
        <v>95.19</v>
      </c>
      <c r="U887" s="3">
        <v>61.57</v>
      </c>
      <c r="V887" s="3">
        <v>47.47</v>
      </c>
      <c r="W887" s="3">
        <v>67.75</v>
      </c>
      <c r="X887" s="3">
        <v>92.38</v>
      </c>
      <c r="Y887" s="3">
        <v>41.4</v>
      </c>
      <c r="Z887" s="3">
        <v>102.05</v>
      </c>
      <c r="AA887" s="3">
        <v>77.78</v>
      </c>
      <c r="AB887" s="3">
        <v>82.4</v>
      </c>
      <c r="AC887" s="3">
        <v>12.39</v>
      </c>
      <c r="AD887" s="3">
        <v>47.68</v>
      </c>
      <c r="AE887" s="3">
        <v>28.89</v>
      </c>
      <c r="AF887" s="3">
        <v>44.97</v>
      </c>
      <c r="AG887" s="3">
        <v>38.380000000000003</v>
      </c>
      <c r="AH887" s="3">
        <v>43.99</v>
      </c>
      <c r="AT887" t="s">
        <v>147</v>
      </c>
      <c r="AU887" s="17" t="s">
        <v>147</v>
      </c>
    </row>
    <row r="888" spans="1:47" x14ac:dyDescent="0.2">
      <c r="A888" s="115">
        <v>885.9999999999992</v>
      </c>
      <c r="B888" s="3" t="s">
        <v>786</v>
      </c>
      <c r="C888" s="3">
        <v>21.885999999999999</v>
      </c>
      <c r="D888" s="155" t="s">
        <v>151</v>
      </c>
      <c r="E888" t="s">
        <v>162</v>
      </c>
      <c r="F888" s="3" t="s">
        <v>88</v>
      </c>
      <c r="G888" s="3" t="s">
        <v>88</v>
      </c>
      <c r="I888" s="82">
        <v>44320</v>
      </c>
      <c r="J888" s="3" t="s">
        <v>492</v>
      </c>
      <c r="K888" s="3" t="s">
        <v>203</v>
      </c>
      <c r="M888" s="163"/>
      <c r="N888" s="3">
        <v>204.7</v>
      </c>
      <c r="O888" s="3">
        <v>174.36</v>
      </c>
      <c r="P888" s="3">
        <v>185.47</v>
      </c>
      <c r="Q888" s="3">
        <v>43.62</v>
      </c>
      <c r="R888" s="3">
        <v>19.239999999999998</v>
      </c>
      <c r="S888" s="3">
        <v>119.56</v>
      </c>
      <c r="T888" s="3">
        <v>92.45</v>
      </c>
      <c r="U888" s="3">
        <v>60.49</v>
      </c>
      <c r="V888" s="3">
        <v>47.07</v>
      </c>
      <c r="W888" s="3">
        <v>70.95</v>
      </c>
      <c r="X888" s="3">
        <v>94.22</v>
      </c>
      <c r="Y888" s="3">
        <v>39.79</v>
      </c>
      <c r="Z888" s="3">
        <v>102.04</v>
      </c>
      <c r="AA888" s="3">
        <v>78.069999999999993</v>
      </c>
      <c r="AB888" s="3">
        <v>81.22</v>
      </c>
      <c r="AC888" s="3">
        <v>10.08</v>
      </c>
      <c r="AD888" s="3">
        <v>46.81</v>
      </c>
      <c r="AE888" s="3">
        <v>29.77</v>
      </c>
      <c r="AF888" s="3">
        <v>45.72</v>
      </c>
      <c r="AG888" s="3">
        <v>38.56</v>
      </c>
      <c r="AH888" s="3">
        <v>44.67</v>
      </c>
      <c r="AT888" t="s">
        <v>147</v>
      </c>
      <c r="AU888" s="17" t="s">
        <v>147</v>
      </c>
    </row>
    <row r="889" spans="1:47" x14ac:dyDescent="0.2">
      <c r="A889" s="115">
        <v>887.00000000000045</v>
      </c>
      <c r="B889" s="3" t="s">
        <v>787</v>
      </c>
      <c r="C889" s="3">
        <v>21.887</v>
      </c>
      <c r="D889" s="155" t="s">
        <v>151</v>
      </c>
      <c r="E889" t="s">
        <v>162</v>
      </c>
      <c r="F889" s="3" t="s">
        <v>88</v>
      </c>
      <c r="G889" s="3" t="s">
        <v>88</v>
      </c>
      <c r="I889" s="82">
        <v>44320</v>
      </c>
      <c r="J889" s="3" t="s">
        <v>492</v>
      </c>
      <c r="K889" s="3" t="s">
        <v>203</v>
      </c>
      <c r="M889" s="163"/>
      <c r="N889" s="3">
        <v>203.4</v>
      </c>
      <c r="O889" s="3">
        <v>167.49</v>
      </c>
      <c r="P889" s="3">
        <v>179.85</v>
      </c>
      <c r="Q889" s="3">
        <v>43.3</v>
      </c>
      <c r="R889" s="3">
        <v>16.7</v>
      </c>
      <c r="S889" s="3">
        <v>116.51</v>
      </c>
      <c r="T889" s="3">
        <v>90.25</v>
      </c>
      <c r="U889" s="3">
        <v>65.42</v>
      </c>
      <c r="V889" s="3">
        <v>48.21</v>
      </c>
      <c r="W889" s="3">
        <v>69.599999999999994</v>
      </c>
      <c r="X889" s="3">
        <v>89.5</v>
      </c>
      <c r="Y889" s="3">
        <v>40.53</v>
      </c>
      <c r="Z889" s="3">
        <v>97.34</v>
      </c>
      <c r="AA889" s="3">
        <v>75.569999999999993</v>
      </c>
      <c r="AB889" s="3">
        <v>81.510000000000005</v>
      </c>
      <c r="AC889" s="3">
        <v>13.66</v>
      </c>
      <c r="AD889" s="3">
        <v>46.06</v>
      </c>
      <c r="AE889" s="3">
        <v>27.89</v>
      </c>
      <c r="AF889" s="3">
        <v>46.32</v>
      </c>
      <c r="AG889" s="3">
        <v>35.57</v>
      </c>
      <c r="AH889" s="3">
        <v>45.08</v>
      </c>
      <c r="AT889" t="s">
        <v>147</v>
      </c>
      <c r="AU889" s="17" t="s">
        <v>147</v>
      </c>
    </row>
    <row r="890" spans="1:47" x14ac:dyDescent="0.2">
      <c r="A890" s="115">
        <v>888.00000000000171</v>
      </c>
      <c r="B890" s="3" t="s">
        <v>788</v>
      </c>
      <c r="C890" s="3">
        <v>21.888000000000002</v>
      </c>
      <c r="D890" s="155" t="s">
        <v>151</v>
      </c>
      <c r="E890" t="s">
        <v>152</v>
      </c>
      <c r="F890" s="17" t="s">
        <v>227</v>
      </c>
      <c r="G890" s="17"/>
      <c r="H890" s="3" t="s">
        <v>90</v>
      </c>
      <c r="I890" s="82">
        <v>44355</v>
      </c>
      <c r="J890" s="3" t="s">
        <v>492</v>
      </c>
      <c r="K890" s="3" t="s">
        <v>235</v>
      </c>
      <c r="M890" s="163"/>
      <c r="N890" s="3">
        <v>214.7</v>
      </c>
      <c r="O890" s="3">
        <v>176.32</v>
      </c>
      <c r="P890" s="3">
        <v>195.23</v>
      </c>
      <c r="Q890" s="3">
        <v>44.67</v>
      </c>
      <c r="R890" s="3">
        <v>27.04</v>
      </c>
      <c r="S890" s="3">
        <v>119.85</v>
      </c>
      <c r="T890" s="3">
        <v>93.34</v>
      </c>
      <c r="U890" s="3">
        <v>66.400000000000006</v>
      </c>
      <c r="V890" s="3">
        <v>51.48</v>
      </c>
      <c r="W890" s="3">
        <v>74.52</v>
      </c>
      <c r="X890" s="3">
        <v>92.82</v>
      </c>
      <c r="Y890" s="3">
        <v>38.96</v>
      </c>
      <c r="Z890" s="3">
        <v>101.99</v>
      </c>
      <c r="AA890" s="3">
        <v>79.31</v>
      </c>
      <c r="AB890" s="3">
        <v>83.01</v>
      </c>
      <c r="AC890" s="3">
        <v>24.84</v>
      </c>
      <c r="AD890" s="3">
        <v>46.19</v>
      </c>
      <c r="AE890" s="3">
        <v>27.37</v>
      </c>
      <c r="AF890" s="3">
        <v>42.74</v>
      </c>
      <c r="AG890" s="3">
        <v>36.270000000000003</v>
      </c>
      <c r="AH890" s="3">
        <v>45.65</v>
      </c>
      <c r="AT890" t="s">
        <v>147</v>
      </c>
      <c r="AU890" s="17" t="s">
        <v>147</v>
      </c>
    </row>
    <row r="891" spans="1:47" x14ac:dyDescent="0.2">
      <c r="A891" s="115">
        <v>888.99999999999932</v>
      </c>
      <c r="B891" s="3" t="s">
        <v>789</v>
      </c>
      <c r="C891" s="3">
        <v>21.888999999999999</v>
      </c>
      <c r="D891" s="155" t="s">
        <v>151</v>
      </c>
      <c r="E891" t="s">
        <v>152</v>
      </c>
      <c r="F891" s="17" t="s">
        <v>227</v>
      </c>
      <c r="G891" s="17"/>
      <c r="H891" s="3" t="s">
        <v>90</v>
      </c>
      <c r="I891" s="82">
        <v>44326</v>
      </c>
      <c r="J891" s="3" t="s">
        <v>492</v>
      </c>
      <c r="K891" s="3" t="s">
        <v>235</v>
      </c>
      <c r="M891" s="164"/>
      <c r="N891" s="3">
        <v>219.3</v>
      </c>
      <c r="O891" s="3">
        <v>176.37</v>
      </c>
      <c r="P891" s="3">
        <v>192.97</v>
      </c>
      <c r="Q891" s="3">
        <v>43.03</v>
      </c>
      <c r="R891" s="3">
        <v>25.57</v>
      </c>
      <c r="S891" s="3">
        <v>118.81</v>
      </c>
      <c r="T891" s="3">
        <v>95.17</v>
      </c>
      <c r="U891" s="3">
        <v>68.94</v>
      </c>
      <c r="V891" s="3">
        <v>53.81</v>
      </c>
      <c r="W891" s="3">
        <v>73.569999999999993</v>
      </c>
      <c r="X891" s="3">
        <v>87.93</v>
      </c>
      <c r="Y891" s="3">
        <v>37.130000000000003</v>
      </c>
      <c r="Z891" s="3">
        <v>100.99</v>
      </c>
      <c r="AA891" s="3">
        <v>82.35</v>
      </c>
      <c r="AB891" s="3">
        <v>78.069999999999993</v>
      </c>
      <c r="AC891" s="3">
        <v>22.38</v>
      </c>
      <c r="AD891" s="3">
        <v>48.51</v>
      </c>
      <c r="AE891" s="3">
        <v>28.29</v>
      </c>
      <c r="AF891" s="3">
        <v>41.95</v>
      </c>
      <c r="AG891" s="3">
        <v>33.880000000000003</v>
      </c>
      <c r="AH891" s="3">
        <v>43.54</v>
      </c>
      <c r="AT891" t="s">
        <v>147</v>
      </c>
      <c r="AU891" s="17" t="s">
        <v>147</v>
      </c>
    </row>
    <row r="892" spans="1:47" x14ac:dyDescent="0.2">
      <c r="A892" s="115">
        <v>890.00000000000057</v>
      </c>
      <c r="B892" s="3" t="s">
        <v>790</v>
      </c>
      <c r="C892" s="12" t="s">
        <v>791</v>
      </c>
      <c r="D892" s="155" t="s">
        <v>151</v>
      </c>
      <c r="E892" t="s">
        <v>152</v>
      </c>
      <c r="F892" s="17" t="s">
        <v>227</v>
      </c>
      <c r="G892" s="17"/>
      <c r="H892" s="3" t="s">
        <v>90</v>
      </c>
      <c r="I892" s="82">
        <v>44326</v>
      </c>
      <c r="J892" s="3" t="s">
        <v>492</v>
      </c>
      <c r="K892" s="3" t="s">
        <v>203</v>
      </c>
      <c r="N892" s="3">
        <v>191.3</v>
      </c>
      <c r="O892" s="3">
        <v>177.49</v>
      </c>
      <c r="P892" s="3">
        <v>189.27</v>
      </c>
      <c r="Q892" s="3">
        <v>46.52</v>
      </c>
      <c r="R892" s="3">
        <v>24.79</v>
      </c>
      <c r="S892" s="3">
        <v>118.07</v>
      </c>
      <c r="T892" s="3">
        <v>93.49</v>
      </c>
      <c r="U892" s="3">
        <v>69.61</v>
      </c>
      <c r="V892" s="3">
        <v>52.28</v>
      </c>
      <c r="W892" s="3">
        <v>75.08</v>
      </c>
      <c r="X892" s="3">
        <v>92.43</v>
      </c>
      <c r="Y892" s="3">
        <v>38.29</v>
      </c>
      <c r="Z892" s="3">
        <v>101.14</v>
      </c>
      <c r="AA892" s="3">
        <v>76.72</v>
      </c>
      <c r="AB892" s="3">
        <v>80.88</v>
      </c>
      <c r="AC892" s="3">
        <v>21.77</v>
      </c>
      <c r="AD892" s="3">
        <v>43.4</v>
      </c>
      <c r="AE892" s="3">
        <v>28.42</v>
      </c>
      <c r="AF892" s="3">
        <v>44.54</v>
      </c>
      <c r="AG892" s="3">
        <v>35.44</v>
      </c>
      <c r="AH892" s="3">
        <v>44.78</v>
      </c>
      <c r="AT892" t="s">
        <v>147</v>
      </c>
      <c r="AU892" s="17" t="s">
        <v>147</v>
      </c>
    </row>
    <row r="893" spans="1:47" x14ac:dyDescent="0.2">
      <c r="A893" s="115">
        <v>890.99999999999818</v>
      </c>
      <c r="B893" s="3" t="s">
        <v>792</v>
      </c>
      <c r="C893" s="3">
        <v>21.890999999999998</v>
      </c>
      <c r="D893" s="155" t="s">
        <v>151</v>
      </c>
      <c r="E893" t="s">
        <v>152</v>
      </c>
      <c r="F893" s="17" t="s">
        <v>227</v>
      </c>
      <c r="G893" s="17"/>
      <c r="H893" s="3" t="s">
        <v>90</v>
      </c>
      <c r="I893" s="82">
        <v>44326</v>
      </c>
      <c r="J893" s="3" t="s">
        <v>492</v>
      </c>
      <c r="K893" s="3" t="s">
        <v>203</v>
      </c>
      <c r="N893" s="3">
        <v>189.5</v>
      </c>
      <c r="O893" s="3">
        <v>173.66</v>
      </c>
      <c r="P893" s="3">
        <v>193.96</v>
      </c>
      <c r="Q893" s="3">
        <v>43.22</v>
      </c>
      <c r="R893" s="3">
        <v>24.99</v>
      </c>
      <c r="S893" s="3">
        <v>118.74</v>
      </c>
      <c r="T893" s="3">
        <v>92.36</v>
      </c>
      <c r="U893" s="3">
        <v>69.62</v>
      </c>
      <c r="V893" s="3">
        <v>51.55</v>
      </c>
      <c r="W893" s="3">
        <v>74.08</v>
      </c>
      <c r="X893" s="3">
        <v>90.77</v>
      </c>
      <c r="Y893" s="3">
        <v>39.93</v>
      </c>
      <c r="Z893" s="3">
        <v>99.96</v>
      </c>
      <c r="AA893" s="3">
        <v>77.489999999999995</v>
      </c>
      <c r="AB893" s="3">
        <v>81.48</v>
      </c>
      <c r="AC893" s="3">
        <v>22.57</v>
      </c>
      <c r="AD893" s="3">
        <v>44.08</v>
      </c>
      <c r="AE893" s="3">
        <v>26.15</v>
      </c>
      <c r="AF893" s="3">
        <v>42.22</v>
      </c>
      <c r="AG893" s="3">
        <v>36.89</v>
      </c>
      <c r="AH893" s="3">
        <v>44.7</v>
      </c>
      <c r="AT893" t="s">
        <v>147</v>
      </c>
      <c r="AU893" s="17" t="s">
        <v>147</v>
      </c>
    </row>
    <row r="894" spans="1:47" x14ac:dyDescent="0.2">
      <c r="A894" s="115">
        <v>891.99999999999943</v>
      </c>
      <c r="B894" s="3" t="s">
        <v>789</v>
      </c>
      <c r="C894" s="3">
        <v>21.891999999999999</v>
      </c>
      <c r="D894" s="155" t="s">
        <v>151</v>
      </c>
      <c r="E894" t="s">
        <v>152</v>
      </c>
      <c r="F894" s="17" t="s">
        <v>227</v>
      </c>
      <c r="G894" s="17"/>
      <c r="H894" s="3" t="s">
        <v>90</v>
      </c>
      <c r="I894" s="82">
        <v>44325</v>
      </c>
      <c r="J894" s="3" t="s">
        <v>492</v>
      </c>
      <c r="K894" s="3" t="s">
        <v>203</v>
      </c>
      <c r="N894" s="3">
        <v>192.9</v>
      </c>
      <c r="O894" s="3">
        <v>180</v>
      </c>
      <c r="P894" s="3">
        <v>192.63</v>
      </c>
      <c r="Q894" s="3">
        <v>45.03</v>
      </c>
      <c r="R894" s="3">
        <v>27.45</v>
      </c>
      <c r="S894" s="3">
        <v>117.22</v>
      </c>
      <c r="T894" s="3">
        <v>89.36</v>
      </c>
      <c r="U894" s="3">
        <v>67.349999999999994</v>
      </c>
      <c r="V894" s="3">
        <v>54.96</v>
      </c>
      <c r="W894" s="3">
        <v>76.27</v>
      </c>
      <c r="X894" s="3">
        <v>92.58</v>
      </c>
      <c r="Y894" s="3">
        <v>37.06</v>
      </c>
      <c r="Z894" s="3">
        <v>100.62</v>
      </c>
      <c r="AA894" s="3">
        <v>75.790000000000006</v>
      </c>
      <c r="AB894" s="3">
        <v>80.8</v>
      </c>
      <c r="AC894" s="3">
        <v>24.07</v>
      </c>
      <c r="AD894" s="3">
        <v>43.82</v>
      </c>
      <c r="AE894" s="3">
        <v>28.29</v>
      </c>
      <c r="AF894" s="3">
        <v>41.89</v>
      </c>
      <c r="AG894" s="3">
        <v>40.06</v>
      </c>
      <c r="AH894" s="3">
        <v>43.45</v>
      </c>
      <c r="AT894" t="s">
        <v>147</v>
      </c>
      <c r="AU894" s="17" t="s">
        <v>147</v>
      </c>
    </row>
    <row r="895" spans="1:47" x14ac:dyDescent="0.2">
      <c r="A895" s="115">
        <v>893.00000000000068</v>
      </c>
      <c r="B895" s="3" t="s">
        <v>790</v>
      </c>
      <c r="C895" s="3">
        <v>21.893000000000001</v>
      </c>
      <c r="D895" s="155" t="s">
        <v>151</v>
      </c>
      <c r="E895" t="s">
        <v>152</v>
      </c>
      <c r="F895" s="17" t="s">
        <v>227</v>
      </c>
      <c r="G895" s="17"/>
      <c r="H895" s="3" t="s">
        <v>90</v>
      </c>
      <c r="I895" s="82">
        <v>44325</v>
      </c>
      <c r="J895" s="3" t="s">
        <v>492</v>
      </c>
      <c r="K895" s="3" t="s">
        <v>203</v>
      </c>
      <c r="N895" s="3">
        <v>201</v>
      </c>
      <c r="O895" s="3">
        <v>174.21</v>
      </c>
      <c r="P895" s="3">
        <v>189.53</v>
      </c>
      <c r="Q895" s="3">
        <v>43.55</v>
      </c>
      <c r="R895" s="3">
        <v>21.09</v>
      </c>
      <c r="S895" s="3">
        <v>116.24</v>
      </c>
      <c r="T895" s="3">
        <v>90.84</v>
      </c>
      <c r="U895" s="3">
        <v>68.540000000000006</v>
      </c>
      <c r="V895" s="3">
        <v>52.42</v>
      </c>
      <c r="W895" s="3">
        <v>74.239999999999995</v>
      </c>
      <c r="X895" s="3">
        <v>93.52</v>
      </c>
      <c r="Y895" s="3">
        <v>38.950000000000003</v>
      </c>
      <c r="Z895" s="3">
        <v>101.11</v>
      </c>
      <c r="AA895" s="3">
        <v>75.73</v>
      </c>
      <c r="AB895" s="3">
        <v>83.32</v>
      </c>
      <c r="AC895" s="3">
        <v>25.42</v>
      </c>
      <c r="AD895" s="3">
        <v>44</v>
      </c>
      <c r="AE895" s="3">
        <v>28.17</v>
      </c>
      <c r="AF895" s="3">
        <v>44.57</v>
      </c>
      <c r="AG895" s="3">
        <v>36.18</v>
      </c>
      <c r="AH895" s="3">
        <v>45.98</v>
      </c>
      <c r="AT895" t="s">
        <v>147</v>
      </c>
      <c r="AU895" s="17" t="s">
        <v>147</v>
      </c>
    </row>
    <row r="896" spans="1:47" x14ac:dyDescent="0.2">
      <c r="A896" s="115">
        <v>893.99999999999841</v>
      </c>
      <c r="B896" s="3" t="s">
        <v>792</v>
      </c>
      <c r="C896" s="3">
        <v>21.893999999999998</v>
      </c>
      <c r="D896" s="155" t="s">
        <v>151</v>
      </c>
      <c r="E896" t="s">
        <v>152</v>
      </c>
      <c r="F896" s="17" t="s">
        <v>227</v>
      </c>
      <c r="G896" s="17"/>
      <c r="H896" s="3" t="s">
        <v>90</v>
      </c>
      <c r="I896" s="82">
        <v>44325</v>
      </c>
      <c r="J896" s="3" t="s">
        <v>492</v>
      </c>
      <c r="K896" s="3" t="s">
        <v>203</v>
      </c>
      <c r="N896" s="3">
        <v>188.8</v>
      </c>
      <c r="O896" s="3">
        <v>176.19</v>
      </c>
      <c r="P896" s="3">
        <v>191.14</v>
      </c>
      <c r="Q896" s="3">
        <v>43.63</v>
      </c>
      <c r="R896" s="3">
        <v>25.51</v>
      </c>
      <c r="S896" s="3">
        <v>118.18</v>
      </c>
      <c r="T896" s="3">
        <v>92.51</v>
      </c>
      <c r="U896" s="3">
        <v>68.53</v>
      </c>
      <c r="V896" s="3">
        <v>54.19</v>
      </c>
      <c r="W896" s="3">
        <v>72.84</v>
      </c>
      <c r="X896" s="3">
        <v>90.34</v>
      </c>
      <c r="Y896" s="3">
        <v>38.19</v>
      </c>
      <c r="Z896" s="3">
        <v>99.27</v>
      </c>
      <c r="AA896" s="3">
        <v>74.77</v>
      </c>
      <c r="AB896" s="3">
        <v>81.2</v>
      </c>
      <c r="AC896" s="3">
        <v>22.49</v>
      </c>
      <c r="AD896" s="3">
        <v>43.89</v>
      </c>
      <c r="AE896" s="3">
        <v>30.62</v>
      </c>
      <c r="AF896" s="3">
        <v>40.17</v>
      </c>
      <c r="AG896" s="3">
        <v>36.24</v>
      </c>
      <c r="AH896" s="3">
        <v>44.94</v>
      </c>
      <c r="AT896" t="s">
        <v>147</v>
      </c>
      <c r="AU896" s="17" t="s">
        <v>147</v>
      </c>
    </row>
    <row r="897" spans="1:47" x14ac:dyDescent="0.2">
      <c r="A897" s="115">
        <v>894.99999999999955</v>
      </c>
      <c r="B897" s="3" t="s">
        <v>746</v>
      </c>
      <c r="C897" s="3">
        <v>21.895</v>
      </c>
      <c r="D897" s="155" t="s">
        <v>151</v>
      </c>
      <c r="E897" t="s">
        <v>162</v>
      </c>
      <c r="F897" s="3" t="s">
        <v>88</v>
      </c>
      <c r="G897" s="3" t="s">
        <v>88</v>
      </c>
      <c r="H897" s="17"/>
      <c r="I897" s="82">
        <v>44364</v>
      </c>
      <c r="J897" s="3" t="s">
        <v>492</v>
      </c>
      <c r="K897" s="3" t="s">
        <v>203</v>
      </c>
      <c r="N897" s="3">
        <v>222.1</v>
      </c>
      <c r="O897" s="3">
        <v>181.08</v>
      </c>
      <c r="P897" s="3">
        <v>191.21</v>
      </c>
      <c r="Q897" s="3">
        <v>43.24</v>
      </c>
      <c r="R897" s="3">
        <v>19.21</v>
      </c>
      <c r="S897" s="3">
        <v>123.08</v>
      </c>
      <c r="T897" s="3">
        <v>94.88</v>
      </c>
      <c r="U897" s="3">
        <v>65.84</v>
      </c>
      <c r="V897" s="3">
        <v>48.6</v>
      </c>
      <c r="W897" s="3">
        <v>71.37</v>
      </c>
      <c r="X897" s="3">
        <v>92.81</v>
      </c>
      <c r="Y897" s="3">
        <v>41.07</v>
      </c>
      <c r="Z897" s="3">
        <v>102.74</v>
      </c>
      <c r="AA897" s="3">
        <v>76.59</v>
      </c>
      <c r="AB897" s="3">
        <v>82.75</v>
      </c>
      <c r="AC897" s="3">
        <v>17.739999999999998</v>
      </c>
      <c r="AD897" s="3">
        <v>46.66</v>
      </c>
      <c r="AE897" s="3">
        <v>33.1</v>
      </c>
      <c r="AF897" s="3">
        <v>40.08</v>
      </c>
      <c r="AG897" s="3">
        <v>36.49</v>
      </c>
      <c r="AH897" s="3">
        <v>46.46</v>
      </c>
      <c r="AT897" t="s">
        <v>147</v>
      </c>
      <c r="AU897" s="17" t="s">
        <v>147</v>
      </c>
    </row>
    <row r="898" spans="1:47" x14ac:dyDescent="0.2">
      <c r="A898" s="115">
        <v>896.0000000000008</v>
      </c>
      <c r="B898" s="3" t="s">
        <v>747</v>
      </c>
      <c r="C898" s="3">
        <v>21.896000000000001</v>
      </c>
      <c r="D898" s="155" t="s">
        <v>151</v>
      </c>
      <c r="E898" t="s">
        <v>162</v>
      </c>
      <c r="F898" s="3" t="s">
        <v>88</v>
      </c>
      <c r="G898" s="3" t="s">
        <v>88</v>
      </c>
      <c r="H898" s="17"/>
      <c r="I898" s="82">
        <v>44364</v>
      </c>
      <c r="J898" s="3" t="s">
        <v>492</v>
      </c>
      <c r="K898" s="3" t="s">
        <v>203</v>
      </c>
      <c r="N898" s="3">
        <v>214.2</v>
      </c>
      <c r="O898" s="3">
        <v>180.5</v>
      </c>
      <c r="P898" s="3">
        <v>188.41</v>
      </c>
      <c r="Q898" s="3">
        <v>43.98</v>
      </c>
      <c r="R898" s="3">
        <v>19.62</v>
      </c>
      <c r="S898" s="3">
        <v>120.23</v>
      </c>
      <c r="T898" s="3">
        <v>91.78</v>
      </c>
      <c r="U898" s="3">
        <v>65.569999999999993</v>
      </c>
      <c r="V898" s="3">
        <v>49.21</v>
      </c>
      <c r="W898" s="3">
        <v>73.89</v>
      </c>
      <c r="X898" s="3">
        <v>94.52</v>
      </c>
      <c r="Y898" s="3">
        <v>43.05</v>
      </c>
      <c r="Z898" s="3">
        <v>104.18</v>
      </c>
      <c r="AA898" s="3">
        <v>77.959999999999994</v>
      </c>
      <c r="AB898" s="3">
        <v>81.89</v>
      </c>
      <c r="AC898" s="3">
        <v>15.94</v>
      </c>
      <c r="AD898" s="3">
        <v>47.37</v>
      </c>
      <c r="AE898" s="3">
        <v>32.090000000000003</v>
      </c>
      <c r="AF898" s="3">
        <v>41.23</v>
      </c>
      <c r="AG898" s="3">
        <v>37.630000000000003</v>
      </c>
      <c r="AH898" s="3">
        <v>42.66</v>
      </c>
      <c r="AT898" t="s">
        <v>147</v>
      </c>
      <c r="AU898" s="17" t="s">
        <v>147</v>
      </c>
    </row>
    <row r="899" spans="1:47" x14ac:dyDescent="0.2">
      <c r="A899" s="115">
        <v>896.99999999999841</v>
      </c>
      <c r="B899" s="3" t="s">
        <v>748</v>
      </c>
      <c r="C899" s="3">
        <v>21.896999999999998</v>
      </c>
      <c r="D899" s="155" t="s">
        <v>151</v>
      </c>
      <c r="E899" t="s">
        <v>162</v>
      </c>
      <c r="F899" s="3" t="s">
        <v>88</v>
      </c>
      <c r="G899" s="3" t="s">
        <v>88</v>
      </c>
      <c r="I899" s="82">
        <v>44364</v>
      </c>
      <c r="J899" s="3" t="s">
        <v>492</v>
      </c>
      <c r="K899" s="3" t="s">
        <v>203</v>
      </c>
      <c r="N899" s="3">
        <v>210.2</v>
      </c>
      <c r="O899" s="3">
        <v>180.27</v>
      </c>
      <c r="P899" s="3">
        <v>190.8</v>
      </c>
      <c r="Q899" s="3">
        <v>47.92</v>
      </c>
      <c r="R899" s="3">
        <v>17.84</v>
      </c>
      <c r="S899" s="3">
        <v>120.47</v>
      </c>
      <c r="T899" s="3">
        <v>86.69</v>
      </c>
      <c r="U899" s="3">
        <v>65.67</v>
      </c>
      <c r="V899" s="3">
        <v>48.76</v>
      </c>
      <c r="W899" s="3">
        <v>70.739999999999995</v>
      </c>
      <c r="X899" s="3">
        <v>91.17</v>
      </c>
      <c r="Y899" s="3">
        <v>42.08</v>
      </c>
      <c r="Z899" s="3">
        <v>102.52</v>
      </c>
      <c r="AA899" s="3">
        <v>79.14</v>
      </c>
      <c r="AB899" s="3">
        <v>86.05</v>
      </c>
      <c r="AC899" s="3">
        <v>16.82</v>
      </c>
      <c r="AD899" s="3">
        <v>47.41</v>
      </c>
      <c r="AE899" s="3">
        <v>32.28</v>
      </c>
      <c r="AF899" s="3">
        <v>43.72</v>
      </c>
      <c r="AG899" s="3">
        <v>35.14</v>
      </c>
      <c r="AH899" s="3">
        <v>45.2</v>
      </c>
      <c r="AT899" t="s">
        <v>147</v>
      </c>
      <c r="AU899" s="17" t="s">
        <v>147</v>
      </c>
    </row>
    <row r="900" spans="1:47" x14ac:dyDescent="0.2">
      <c r="A900" s="115">
        <v>897.99999999999966</v>
      </c>
      <c r="B900" s="3" t="s">
        <v>793</v>
      </c>
      <c r="C900" s="3">
        <v>21.898</v>
      </c>
      <c r="D900" s="155" t="s">
        <v>151</v>
      </c>
      <c r="E900" t="s">
        <v>152</v>
      </c>
      <c r="F900" s="17" t="s">
        <v>227</v>
      </c>
      <c r="G900" s="17"/>
      <c r="H900" s="3" t="s">
        <v>90</v>
      </c>
      <c r="I900" s="82">
        <v>44279</v>
      </c>
      <c r="J900" s="3" t="s">
        <v>492</v>
      </c>
      <c r="K900" s="3" t="s">
        <v>235</v>
      </c>
      <c r="N900" s="3">
        <v>234</v>
      </c>
      <c r="O900" s="3">
        <v>169.57</v>
      </c>
      <c r="P900" s="3">
        <v>177.23</v>
      </c>
      <c r="Q900" s="3">
        <v>42.29</v>
      </c>
      <c r="R900" s="3">
        <v>20.71</v>
      </c>
      <c r="S900" s="3">
        <v>114.85</v>
      </c>
      <c r="T900" s="3">
        <v>92.83</v>
      </c>
      <c r="U900" s="3">
        <v>70</v>
      </c>
      <c r="V900" s="3">
        <v>54.83</v>
      </c>
      <c r="W900" s="3">
        <v>78.41</v>
      </c>
      <c r="X900" s="3">
        <v>91.87</v>
      </c>
      <c r="Y900" s="3">
        <v>41.44</v>
      </c>
      <c r="Z900" s="3">
        <v>99.12</v>
      </c>
      <c r="AA900" s="3">
        <v>81.290000000000006</v>
      </c>
      <c r="AB900" s="3">
        <v>77.959999999999994</v>
      </c>
      <c r="AC900" s="3">
        <v>24.6</v>
      </c>
      <c r="AD900" s="3">
        <v>50.26</v>
      </c>
      <c r="AE900" s="3">
        <v>27.94</v>
      </c>
      <c r="AF900" s="3">
        <v>40</v>
      </c>
      <c r="AG900" s="3">
        <v>31.59</v>
      </c>
      <c r="AH900" s="3">
        <v>42.77</v>
      </c>
      <c r="AT900" t="s">
        <v>147</v>
      </c>
      <c r="AU900" s="17" t="s">
        <v>147</v>
      </c>
    </row>
    <row r="901" spans="1:47" x14ac:dyDescent="0.2">
      <c r="A901" s="115">
        <v>899.00000000000091</v>
      </c>
      <c r="B901" s="3" t="s">
        <v>768</v>
      </c>
      <c r="C901" s="3">
        <v>21.899000000000001</v>
      </c>
      <c r="D901" s="155" t="s">
        <v>151</v>
      </c>
      <c r="E901" t="s">
        <v>162</v>
      </c>
      <c r="F901" s="3" t="s">
        <v>88</v>
      </c>
      <c r="G901" s="3" t="s">
        <v>88</v>
      </c>
      <c r="I901" s="82">
        <v>44431</v>
      </c>
      <c r="J901" s="3" t="s">
        <v>492</v>
      </c>
      <c r="K901" s="3" t="s">
        <v>203</v>
      </c>
      <c r="N901" s="3">
        <v>212.6</v>
      </c>
      <c r="O901" s="3">
        <v>183.34</v>
      </c>
      <c r="P901" s="3">
        <v>195.64</v>
      </c>
      <c r="Q901" s="3">
        <v>45.52</v>
      </c>
      <c r="R901" s="3">
        <v>22.04</v>
      </c>
      <c r="S901" s="3">
        <v>123.95</v>
      </c>
      <c r="T901" s="3">
        <v>92.98</v>
      </c>
      <c r="U901" s="3">
        <v>66.3</v>
      </c>
      <c r="V901" s="3">
        <v>47.73</v>
      </c>
      <c r="W901" s="3">
        <v>72.19</v>
      </c>
      <c r="X901" s="3">
        <v>87.23</v>
      </c>
      <c r="Y901" s="3">
        <v>40.01</v>
      </c>
      <c r="Z901" s="3">
        <v>100.38</v>
      </c>
      <c r="AA901" s="3">
        <v>78.14</v>
      </c>
      <c r="AB901" s="3">
        <v>81.27</v>
      </c>
      <c r="AC901" s="3">
        <v>15.59</v>
      </c>
      <c r="AD901" s="3">
        <v>45.48</v>
      </c>
      <c r="AE901" s="3">
        <v>33.56</v>
      </c>
      <c r="AF901" s="3">
        <v>43.48</v>
      </c>
      <c r="AG901" s="3">
        <v>41.59</v>
      </c>
      <c r="AH901" s="3">
        <v>43.51</v>
      </c>
      <c r="AT901" t="s">
        <v>147</v>
      </c>
      <c r="AU901" s="17" t="s">
        <v>147</v>
      </c>
    </row>
    <row r="902" spans="1:47" x14ac:dyDescent="0.2">
      <c r="A902" s="115">
        <v>899.99999999999864</v>
      </c>
      <c r="B902" s="3" t="s">
        <v>769</v>
      </c>
      <c r="C902" s="12" t="s">
        <v>794</v>
      </c>
      <c r="D902" s="155" t="s">
        <v>151</v>
      </c>
      <c r="E902" t="s">
        <v>162</v>
      </c>
      <c r="F902" s="3" t="s">
        <v>88</v>
      </c>
      <c r="G902" s="3" t="s">
        <v>88</v>
      </c>
      <c r="I902" s="82">
        <v>44431</v>
      </c>
      <c r="J902" s="3" t="s">
        <v>492</v>
      </c>
      <c r="K902" s="3" t="s">
        <v>203</v>
      </c>
      <c r="N902" s="3">
        <v>215.1</v>
      </c>
      <c r="O902" s="3">
        <v>178.82</v>
      </c>
      <c r="P902" s="3">
        <v>199.7</v>
      </c>
      <c r="Q902" s="3">
        <v>44.95</v>
      </c>
      <c r="R902" s="3">
        <v>18.8</v>
      </c>
      <c r="S902" s="3">
        <v>124.5</v>
      </c>
      <c r="T902" s="3">
        <v>93.47</v>
      </c>
      <c r="U902" s="3">
        <v>68.489999999999995</v>
      </c>
      <c r="V902" s="3">
        <v>49.47</v>
      </c>
      <c r="W902" s="3">
        <v>73.48</v>
      </c>
      <c r="X902" s="3">
        <v>92</v>
      </c>
      <c r="Y902" s="3">
        <v>40.24</v>
      </c>
      <c r="Z902" s="3">
        <v>102.49</v>
      </c>
      <c r="AA902" s="3">
        <v>77.400000000000006</v>
      </c>
      <c r="AB902" s="3">
        <v>79.209999999999994</v>
      </c>
      <c r="AC902" s="3">
        <v>12.93</v>
      </c>
      <c r="AD902" s="3">
        <v>45.5</v>
      </c>
      <c r="AE902" s="3">
        <v>29.7</v>
      </c>
      <c r="AF902" s="3">
        <v>48.19</v>
      </c>
      <c r="AG902" s="3">
        <v>37.75</v>
      </c>
      <c r="AH902" s="3">
        <v>50.02</v>
      </c>
      <c r="AT902" t="s">
        <v>147</v>
      </c>
      <c r="AU902" s="17" t="s">
        <v>147</v>
      </c>
    </row>
    <row r="903" spans="1:47" x14ac:dyDescent="0.2">
      <c r="A903" s="115">
        <v>900.99999999999977</v>
      </c>
      <c r="B903" s="3" t="s">
        <v>770</v>
      </c>
      <c r="C903" s="3">
        <v>21.901</v>
      </c>
      <c r="D903" s="155" t="s">
        <v>151</v>
      </c>
      <c r="E903" t="s">
        <v>162</v>
      </c>
      <c r="F903" s="3" t="s">
        <v>88</v>
      </c>
      <c r="G903" s="3" t="s">
        <v>88</v>
      </c>
      <c r="I903" s="82">
        <v>44431</v>
      </c>
      <c r="J903" s="3" t="s">
        <v>492</v>
      </c>
      <c r="K903" s="3" t="s">
        <v>203</v>
      </c>
      <c r="N903" s="3">
        <v>215.6</v>
      </c>
      <c r="O903" s="3">
        <v>179.86</v>
      </c>
      <c r="P903" s="3">
        <v>189.53</v>
      </c>
      <c r="Q903" s="3">
        <v>42.88</v>
      </c>
      <c r="R903" s="3">
        <v>20.64</v>
      </c>
      <c r="S903" s="3">
        <v>124.49</v>
      </c>
      <c r="T903" s="3">
        <v>96.49</v>
      </c>
      <c r="U903" s="3">
        <v>66.63</v>
      </c>
      <c r="V903" s="3">
        <v>51.03</v>
      </c>
      <c r="W903" s="3">
        <v>73.430000000000007</v>
      </c>
      <c r="X903" s="3">
        <v>94.52</v>
      </c>
      <c r="Y903" s="3">
        <v>42.24</v>
      </c>
      <c r="Z903" s="3">
        <v>104.33</v>
      </c>
      <c r="AA903" s="3">
        <v>79.95</v>
      </c>
      <c r="AB903" s="3">
        <v>82.74</v>
      </c>
      <c r="AC903" s="3">
        <v>22.44</v>
      </c>
      <c r="AD903" s="3">
        <v>46.54</v>
      </c>
      <c r="AE903" s="3">
        <v>34.33</v>
      </c>
      <c r="AF903" s="3">
        <v>37.799999999999997</v>
      </c>
      <c r="AG903" s="3">
        <v>40.25</v>
      </c>
      <c r="AH903" s="3">
        <v>41.49</v>
      </c>
      <c r="AT903" t="s">
        <v>147</v>
      </c>
      <c r="AU903" s="17" t="s">
        <v>147</v>
      </c>
    </row>
    <row r="904" spans="1:47" x14ac:dyDescent="0.2">
      <c r="A904" s="115">
        <v>902.00000000000102</v>
      </c>
      <c r="B904" s="3" t="s">
        <v>771</v>
      </c>
      <c r="C904" s="3">
        <v>21.902000000000001</v>
      </c>
      <c r="D904" s="155" t="s">
        <v>151</v>
      </c>
      <c r="E904" t="s">
        <v>162</v>
      </c>
      <c r="F904" s="3" t="s">
        <v>88</v>
      </c>
      <c r="G904" s="3" t="s">
        <v>88</v>
      </c>
      <c r="I904" s="82">
        <v>44431</v>
      </c>
      <c r="J904" s="3" t="s">
        <v>492</v>
      </c>
      <c r="K904" s="3" t="s">
        <v>203</v>
      </c>
      <c r="N904" s="3">
        <v>208.7</v>
      </c>
      <c r="O904" s="3">
        <v>178.61</v>
      </c>
      <c r="P904" s="3">
        <v>192.6</v>
      </c>
      <c r="Q904" s="3">
        <v>41.78</v>
      </c>
      <c r="R904" s="3">
        <v>20.27</v>
      </c>
      <c r="S904" s="3">
        <v>121.71</v>
      </c>
      <c r="T904" s="3">
        <v>92.29</v>
      </c>
      <c r="U904" s="3">
        <v>65.52</v>
      </c>
      <c r="V904" s="3">
        <v>49.65</v>
      </c>
      <c r="W904" s="3">
        <v>73.010000000000005</v>
      </c>
      <c r="X904" s="3">
        <v>93.41</v>
      </c>
      <c r="Y904" s="3">
        <v>42.79</v>
      </c>
      <c r="Z904" s="3">
        <v>104.57</v>
      </c>
      <c r="AA904" s="3">
        <v>79.64</v>
      </c>
      <c r="AB904" s="3">
        <v>83.4</v>
      </c>
      <c r="AC904" s="3">
        <v>19.36</v>
      </c>
      <c r="AD904" s="3">
        <v>46.4</v>
      </c>
      <c r="AE904" s="3">
        <v>33.29</v>
      </c>
      <c r="AF904" s="3">
        <v>41.42</v>
      </c>
      <c r="AG904" s="3">
        <v>43.98</v>
      </c>
      <c r="AH904" s="3">
        <v>41</v>
      </c>
      <c r="AT904" t="s">
        <v>147</v>
      </c>
      <c r="AU904" s="17" t="s">
        <v>147</v>
      </c>
    </row>
    <row r="905" spans="1:47" x14ac:dyDescent="0.2">
      <c r="A905" s="115">
        <v>902.99999999999864</v>
      </c>
      <c r="B905" s="3" t="s">
        <v>793</v>
      </c>
      <c r="C905" s="3">
        <v>21.902999999999999</v>
      </c>
      <c r="D905" s="155" t="s">
        <v>151</v>
      </c>
      <c r="E905" t="s">
        <v>152</v>
      </c>
      <c r="F905" s="17" t="s">
        <v>227</v>
      </c>
      <c r="G905" s="17"/>
      <c r="H905" s="3" t="s">
        <v>90</v>
      </c>
      <c r="I905" s="82">
        <v>44328</v>
      </c>
      <c r="J905" s="3" t="s">
        <v>492</v>
      </c>
      <c r="K905" s="3" t="s">
        <v>203</v>
      </c>
      <c r="N905" s="3">
        <v>199</v>
      </c>
      <c r="O905" s="3">
        <v>177.58</v>
      </c>
      <c r="P905" s="3">
        <v>186.05</v>
      </c>
      <c r="Q905" s="3">
        <v>45.77</v>
      </c>
      <c r="R905" s="3">
        <v>23.16</v>
      </c>
      <c r="S905" s="3">
        <v>115.85</v>
      </c>
      <c r="T905" s="3">
        <v>89.41</v>
      </c>
      <c r="U905" s="3">
        <v>69.48</v>
      </c>
      <c r="V905" s="3">
        <v>54.25</v>
      </c>
      <c r="W905" s="3">
        <v>76.02</v>
      </c>
      <c r="X905" s="3">
        <v>92.71</v>
      </c>
      <c r="Y905" s="3">
        <v>40.1</v>
      </c>
      <c r="Z905" s="3">
        <v>102.31</v>
      </c>
      <c r="AA905" s="3">
        <v>79.709999999999994</v>
      </c>
      <c r="AB905" s="3">
        <v>83.05</v>
      </c>
      <c r="AC905" s="3">
        <v>23.07</v>
      </c>
      <c r="AD905" s="3">
        <v>45.4</v>
      </c>
      <c r="AE905" s="3">
        <v>27.1</v>
      </c>
      <c r="AF905" s="3">
        <v>41.08</v>
      </c>
      <c r="AG905" s="3">
        <v>33.83</v>
      </c>
      <c r="AH905" s="3">
        <v>42.96</v>
      </c>
      <c r="AT905" t="s">
        <v>147</v>
      </c>
      <c r="AU905" s="17" t="s">
        <v>147</v>
      </c>
    </row>
    <row r="906" spans="1:47" x14ac:dyDescent="0.2">
      <c r="A906" s="115">
        <v>903.99999999999989</v>
      </c>
      <c r="B906" s="3" t="s">
        <v>768</v>
      </c>
      <c r="C906" s="3">
        <v>21.904</v>
      </c>
      <c r="D906" s="155" t="s">
        <v>151</v>
      </c>
      <c r="E906" t="s">
        <v>162</v>
      </c>
      <c r="F906" s="3" t="s">
        <v>88</v>
      </c>
      <c r="G906" s="3" t="s">
        <v>88</v>
      </c>
      <c r="I906" s="82">
        <v>44374</v>
      </c>
      <c r="J906" s="3" t="s">
        <v>492</v>
      </c>
      <c r="K906" s="3" t="s">
        <v>203</v>
      </c>
      <c r="N906" s="3">
        <v>217.4</v>
      </c>
      <c r="O906" s="3">
        <v>183.19</v>
      </c>
      <c r="P906" s="3">
        <v>193.55</v>
      </c>
      <c r="Q906" s="3">
        <v>43.57</v>
      </c>
      <c r="R906" s="3">
        <v>16.52</v>
      </c>
      <c r="S906" s="3">
        <v>124.21</v>
      </c>
      <c r="T906" s="3">
        <v>92.94</v>
      </c>
      <c r="U906" s="3">
        <v>68.849999999999994</v>
      </c>
      <c r="V906" s="3">
        <v>49.47</v>
      </c>
      <c r="W906" s="3">
        <v>74.03</v>
      </c>
      <c r="X906" s="3">
        <v>94.62</v>
      </c>
      <c r="Y906" s="3">
        <v>42.1</v>
      </c>
      <c r="Z906" s="3">
        <v>101.45</v>
      </c>
      <c r="AA906" s="3">
        <v>78.819999999999993</v>
      </c>
      <c r="AB906" s="3">
        <v>81.510000000000005</v>
      </c>
      <c r="AC906" s="3">
        <v>10.38</v>
      </c>
      <c r="AD906" s="3">
        <v>45.58</v>
      </c>
      <c r="AE906" s="3">
        <v>28.27</v>
      </c>
      <c r="AF906" s="3">
        <v>47.29</v>
      </c>
      <c r="AG906" s="3">
        <v>34.119999999999997</v>
      </c>
      <c r="AH906" s="3">
        <v>46.96</v>
      </c>
      <c r="AT906" t="s">
        <v>147</v>
      </c>
      <c r="AU906" s="17" t="s">
        <v>147</v>
      </c>
    </row>
    <row r="907" spans="1:47" x14ac:dyDescent="0.2">
      <c r="A907" s="115">
        <v>905.00000000000114</v>
      </c>
      <c r="B907" s="3" t="s">
        <v>769</v>
      </c>
      <c r="C907" s="3">
        <v>21.905000000000001</v>
      </c>
      <c r="D907" s="155" t="s">
        <v>151</v>
      </c>
      <c r="E907" t="s">
        <v>162</v>
      </c>
      <c r="F907" s="3" t="s">
        <v>88</v>
      </c>
      <c r="G907" s="3" t="s">
        <v>88</v>
      </c>
      <c r="I907" s="82">
        <v>44374</v>
      </c>
      <c r="J907" s="3" t="s">
        <v>492</v>
      </c>
      <c r="K907" s="3" t="s">
        <v>203</v>
      </c>
      <c r="N907" s="3">
        <v>195.7</v>
      </c>
      <c r="O907" s="3">
        <v>182.79</v>
      </c>
      <c r="P907" s="3">
        <v>191.82</v>
      </c>
      <c r="Q907" s="3">
        <v>40.81</v>
      </c>
      <c r="R907" s="3">
        <v>20.93</v>
      </c>
      <c r="S907" s="3">
        <v>123.84</v>
      </c>
      <c r="T907" s="3">
        <v>96.01</v>
      </c>
      <c r="U907" s="3">
        <v>67.63</v>
      </c>
      <c r="V907" s="3">
        <v>50.18</v>
      </c>
      <c r="W907" s="3">
        <v>73.77</v>
      </c>
      <c r="X907" s="3">
        <v>93.14</v>
      </c>
      <c r="Y907" s="3">
        <v>43.41</v>
      </c>
      <c r="Z907" s="3">
        <v>105.34</v>
      </c>
      <c r="AA907" s="3">
        <v>79.8</v>
      </c>
      <c r="AB907" s="3">
        <v>84.21</v>
      </c>
      <c r="AC907" s="3">
        <v>10.02</v>
      </c>
      <c r="AD907" s="3">
        <v>46.39</v>
      </c>
      <c r="AE907" s="3">
        <v>33.450000000000003</v>
      </c>
      <c r="AF907" s="3">
        <v>38.51</v>
      </c>
      <c r="AG907" s="3">
        <v>38.81</v>
      </c>
      <c r="AH907" s="3">
        <v>43.04</v>
      </c>
      <c r="AT907" t="s">
        <v>147</v>
      </c>
      <c r="AU907" s="17" t="s">
        <v>147</v>
      </c>
    </row>
    <row r="908" spans="1:47" x14ac:dyDescent="0.2">
      <c r="A908" s="115">
        <v>905.99999999999886</v>
      </c>
      <c r="B908" s="3" t="s">
        <v>770</v>
      </c>
      <c r="C908" s="3">
        <v>21.905999999999999</v>
      </c>
      <c r="D908" s="155" t="s">
        <v>151</v>
      </c>
      <c r="E908" t="s">
        <v>162</v>
      </c>
      <c r="F908" s="3" t="s">
        <v>88</v>
      </c>
      <c r="G908" s="3" t="s">
        <v>88</v>
      </c>
      <c r="I908" s="82">
        <v>44374</v>
      </c>
      <c r="J908" s="3" t="s">
        <v>492</v>
      </c>
      <c r="K908" s="3" t="s">
        <v>203</v>
      </c>
      <c r="N908" s="3">
        <v>205.6</v>
      </c>
      <c r="O908" s="3">
        <v>177.6</v>
      </c>
      <c r="P908" s="3">
        <v>188.06</v>
      </c>
      <c r="Q908" s="3">
        <v>44.62</v>
      </c>
      <c r="R908" s="3">
        <v>17.350000000000001</v>
      </c>
      <c r="S908" s="3">
        <v>121.67</v>
      </c>
      <c r="T908" s="3">
        <v>90.92</v>
      </c>
      <c r="U908" s="3">
        <v>64.83</v>
      </c>
      <c r="V908" s="3">
        <v>48.08</v>
      </c>
      <c r="W908" s="3">
        <v>71.52</v>
      </c>
      <c r="X908" s="3">
        <v>93.13</v>
      </c>
      <c r="Y908" s="3">
        <v>42.5</v>
      </c>
      <c r="Z908" s="3">
        <v>103.26</v>
      </c>
      <c r="AA908" s="3">
        <v>79.23</v>
      </c>
      <c r="AB908" s="3">
        <v>80.540000000000006</v>
      </c>
      <c r="AC908" s="3">
        <v>10.72</v>
      </c>
      <c r="AD908" s="3">
        <v>47.1</v>
      </c>
      <c r="AE908" s="3">
        <v>33.19</v>
      </c>
      <c r="AF908" s="3">
        <v>44.16</v>
      </c>
      <c r="AG908" s="3">
        <v>36</v>
      </c>
      <c r="AH908" s="3">
        <v>44.99</v>
      </c>
      <c r="AT908" t="s">
        <v>147</v>
      </c>
      <c r="AU908" s="17" t="s">
        <v>147</v>
      </c>
    </row>
    <row r="909" spans="1:47" x14ac:dyDescent="0.2">
      <c r="A909" s="115">
        <v>907</v>
      </c>
      <c r="B909" s="3" t="s">
        <v>771</v>
      </c>
      <c r="C909" s="3">
        <v>21.907</v>
      </c>
      <c r="D909" s="155" t="s">
        <v>151</v>
      </c>
      <c r="E909" t="s">
        <v>162</v>
      </c>
      <c r="F909" s="3" t="s">
        <v>88</v>
      </c>
      <c r="G909" s="3" t="s">
        <v>88</v>
      </c>
      <c r="I909" s="82">
        <v>44374</v>
      </c>
      <c r="J909" s="3" t="s">
        <v>492</v>
      </c>
      <c r="K909" s="3" t="s">
        <v>235</v>
      </c>
      <c r="N909" s="3">
        <v>239.7</v>
      </c>
      <c r="O909" s="3">
        <v>183.76</v>
      </c>
      <c r="P909" s="3">
        <v>192.81</v>
      </c>
      <c r="Q909" s="3">
        <v>44.29</v>
      </c>
      <c r="R909" s="3">
        <v>16.78</v>
      </c>
      <c r="S909" s="3">
        <v>126.03</v>
      </c>
      <c r="T909" s="3">
        <v>96.03</v>
      </c>
      <c r="U909" s="3">
        <v>67.41</v>
      </c>
      <c r="V909" s="3">
        <v>50.36</v>
      </c>
      <c r="W909" s="3">
        <v>72.09</v>
      </c>
      <c r="X909" s="3">
        <v>94.44</v>
      </c>
      <c r="Y909" s="3">
        <v>41.74</v>
      </c>
      <c r="Z909" s="3">
        <v>104.49</v>
      </c>
      <c r="AA909" s="3">
        <v>82.37</v>
      </c>
      <c r="AB909" s="3">
        <v>80.489999999999995</v>
      </c>
      <c r="AC909" s="3">
        <v>15.09</v>
      </c>
      <c r="AD909" s="3">
        <v>47.19</v>
      </c>
      <c r="AE909" s="3">
        <v>31.33</v>
      </c>
      <c r="AF909" s="3">
        <v>41.93</v>
      </c>
      <c r="AG909" s="3">
        <v>37.29</v>
      </c>
      <c r="AH909" s="3">
        <v>45.36</v>
      </c>
      <c r="AT909" t="s">
        <v>147</v>
      </c>
      <c r="AU909" s="17" t="s">
        <v>147</v>
      </c>
    </row>
    <row r="910" spans="1:47" x14ac:dyDescent="0.2">
      <c r="A910" s="115">
        <v>908.00000000000125</v>
      </c>
      <c r="B910" s="3" t="s">
        <v>795</v>
      </c>
      <c r="C910" s="3">
        <v>21.908000000000001</v>
      </c>
      <c r="D910" s="155" t="s">
        <v>151</v>
      </c>
      <c r="E910" t="s">
        <v>162</v>
      </c>
      <c r="F910" s="3" t="s">
        <v>88</v>
      </c>
      <c r="G910" s="3" t="s">
        <v>88</v>
      </c>
      <c r="I910" s="82">
        <v>44350</v>
      </c>
      <c r="J910" s="3" t="s">
        <v>492</v>
      </c>
      <c r="K910" s="3" t="s">
        <v>235</v>
      </c>
      <c r="N910" s="3">
        <v>282.2</v>
      </c>
      <c r="O910" s="3">
        <v>185.4</v>
      </c>
      <c r="P910" s="3">
        <v>192.62</v>
      </c>
      <c r="Q910" s="3">
        <v>42.57</v>
      </c>
      <c r="R910" s="3">
        <v>19.68</v>
      </c>
      <c r="S910" s="3">
        <v>127.47</v>
      </c>
      <c r="T910" s="3">
        <v>99.44</v>
      </c>
      <c r="U910" s="3">
        <v>62.81</v>
      </c>
      <c r="V910" s="3">
        <v>47.81</v>
      </c>
      <c r="W910" s="3">
        <v>71.069999999999993</v>
      </c>
      <c r="X910" s="3">
        <v>93.72</v>
      </c>
      <c r="Y910" s="3">
        <v>40.11</v>
      </c>
      <c r="Z910" s="3">
        <v>104.31</v>
      </c>
      <c r="AA910" s="3">
        <v>85.62</v>
      </c>
      <c r="AB910" s="3">
        <v>79.760000000000005</v>
      </c>
      <c r="AC910" s="3">
        <v>14.93</v>
      </c>
      <c r="AD910" s="3">
        <v>56.2</v>
      </c>
      <c r="AE910" s="3">
        <v>30.06</v>
      </c>
      <c r="AF910" s="3">
        <v>40.99</v>
      </c>
      <c r="AG910" s="3">
        <v>34.99</v>
      </c>
      <c r="AH910" s="3">
        <v>42.38</v>
      </c>
      <c r="AT910" t="s">
        <v>147</v>
      </c>
      <c r="AU910" s="17" t="s">
        <v>147</v>
      </c>
    </row>
    <row r="911" spans="1:47" x14ac:dyDescent="0.2">
      <c r="A911" s="115">
        <v>908.99999999999886</v>
      </c>
      <c r="B911" s="3" t="s">
        <v>796</v>
      </c>
      <c r="C911" s="3">
        <v>21.908999999999999</v>
      </c>
      <c r="D911" s="155" t="s">
        <v>151</v>
      </c>
      <c r="E911" t="s">
        <v>162</v>
      </c>
      <c r="F911" s="3" t="s">
        <v>88</v>
      </c>
      <c r="G911" s="3" t="s">
        <v>88</v>
      </c>
      <c r="H911" s="17"/>
      <c r="I911" s="82">
        <v>44346</v>
      </c>
      <c r="J911" s="3" t="s">
        <v>492</v>
      </c>
      <c r="K911" s="3" t="s">
        <v>235</v>
      </c>
      <c r="N911" s="3">
        <v>276.7</v>
      </c>
      <c r="O911" s="3">
        <v>182.52</v>
      </c>
      <c r="P911" s="3">
        <v>194.03</v>
      </c>
      <c r="Q911" s="3">
        <v>41.12</v>
      </c>
      <c r="R911" s="3">
        <v>15.42</v>
      </c>
      <c r="S911" s="3">
        <v>127.16</v>
      </c>
      <c r="T911" s="3">
        <v>101.54</v>
      </c>
      <c r="U911" s="3">
        <v>65.44</v>
      </c>
      <c r="V911" s="3">
        <v>50.05</v>
      </c>
      <c r="W911" s="3">
        <v>69.83</v>
      </c>
      <c r="X911" s="3">
        <v>89.6</v>
      </c>
      <c r="Y911" s="3">
        <v>40.79</v>
      </c>
      <c r="Z911" s="3">
        <v>101.49</v>
      </c>
      <c r="AA911" s="3">
        <v>84.55</v>
      </c>
      <c r="AB911" s="3">
        <v>80.69</v>
      </c>
      <c r="AC911" s="3">
        <v>13.53</v>
      </c>
      <c r="AD911" s="3">
        <v>53.96</v>
      </c>
      <c r="AE911" s="3">
        <v>29.11</v>
      </c>
      <c r="AF911" s="3">
        <v>40.83</v>
      </c>
      <c r="AG911" s="3">
        <v>35.9</v>
      </c>
      <c r="AH911" s="3">
        <v>42.76</v>
      </c>
      <c r="AT911" s="17" t="s">
        <v>147</v>
      </c>
      <c r="AU911" s="17" t="s">
        <v>147</v>
      </c>
    </row>
    <row r="912" spans="1:47" x14ac:dyDescent="0.2">
      <c r="A912" s="115">
        <v>910.00000000000011</v>
      </c>
      <c r="B912" s="3" t="s">
        <v>797</v>
      </c>
      <c r="C912" s="12" t="s">
        <v>798</v>
      </c>
      <c r="D912" s="155" t="s">
        <v>151</v>
      </c>
      <c r="E912" t="s">
        <v>162</v>
      </c>
      <c r="F912" s="3" t="s">
        <v>88</v>
      </c>
      <c r="G912" s="3" t="s">
        <v>88</v>
      </c>
      <c r="H912" s="17"/>
      <c r="I912" s="82">
        <v>44374</v>
      </c>
      <c r="J912" s="3" t="s">
        <v>492</v>
      </c>
      <c r="K912" s="3" t="s">
        <v>235</v>
      </c>
      <c r="N912" s="3">
        <v>287.7</v>
      </c>
      <c r="O912" s="3">
        <v>187.01</v>
      </c>
      <c r="P912" s="3">
        <v>195.54</v>
      </c>
      <c r="Q912" s="3">
        <v>43.88</v>
      </c>
      <c r="R912" s="3">
        <v>15.92</v>
      </c>
      <c r="S912" s="3">
        <v>129.09</v>
      </c>
      <c r="T912" s="3">
        <v>100.12</v>
      </c>
      <c r="U912" s="3">
        <v>68.64</v>
      </c>
      <c r="V912" s="3">
        <v>48.34</v>
      </c>
      <c r="W912" s="3">
        <v>74.78</v>
      </c>
      <c r="X912" s="3">
        <v>91.94</v>
      </c>
      <c r="Y912" s="3">
        <v>43.15</v>
      </c>
      <c r="Z912" s="3">
        <v>102.72</v>
      </c>
      <c r="AA912" s="3">
        <v>83.29</v>
      </c>
      <c r="AB912" s="3">
        <v>80.27</v>
      </c>
      <c r="AC912" s="3">
        <v>17.13</v>
      </c>
      <c r="AD912" s="3">
        <v>53.66</v>
      </c>
      <c r="AE912" s="3">
        <v>30.27</v>
      </c>
      <c r="AF912" s="3">
        <v>42.6</v>
      </c>
      <c r="AG912" s="3">
        <v>33.54</v>
      </c>
      <c r="AH912" s="3">
        <v>46.19</v>
      </c>
      <c r="AT912" s="17" t="s">
        <v>147</v>
      </c>
      <c r="AU912" s="17" t="s">
        <v>147</v>
      </c>
    </row>
    <row r="913" spans="1:47" x14ac:dyDescent="0.2">
      <c r="A913" s="115">
        <v>911.00000000000136</v>
      </c>
      <c r="B913" s="3" t="s">
        <v>799</v>
      </c>
      <c r="C913" s="3">
        <v>21.911000000000001</v>
      </c>
      <c r="D913" s="155" t="s">
        <v>151</v>
      </c>
      <c r="E913" t="s">
        <v>162</v>
      </c>
      <c r="F913" s="3" t="s">
        <v>88</v>
      </c>
      <c r="G913" s="3" t="s">
        <v>88</v>
      </c>
      <c r="H913" s="17"/>
      <c r="I913" s="82">
        <v>44346</v>
      </c>
      <c r="J913" s="3" t="s">
        <v>492</v>
      </c>
      <c r="K913" s="3" t="s">
        <v>235</v>
      </c>
      <c r="N913" s="3">
        <v>286.3</v>
      </c>
      <c r="O913" s="3">
        <v>180.65</v>
      </c>
      <c r="P913" s="3">
        <v>193.84</v>
      </c>
      <c r="Q913" s="3">
        <v>40.68</v>
      </c>
      <c r="R913" s="3">
        <v>15.04</v>
      </c>
      <c r="S913" s="3">
        <v>128.44</v>
      </c>
      <c r="T913" s="3">
        <v>103.07</v>
      </c>
      <c r="U913" s="3">
        <v>65.72</v>
      </c>
      <c r="V913" s="3">
        <v>49.04</v>
      </c>
      <c r="W913" s="3">
        <v>71.3</v>
      </c>
      <c r="X913" s="3">
        <v>87.46</v>
      </c>
      <c r="Y913" s="3">
        <v>38.9</v>
      </c>
      <c r="Z913" s="3">
        <v>100.83</v>
      </c>
      <c r="AA913" s="3">
        <v>81.72</v>
      </c>
      <c r="AB913" s="3">
        <v>81.44</v>
      </c>
      <c r="AC913" s="3">
        <v>16.97</v>
      </c>
      <c r="AD913" s="3">
        <v>53.27</v>
      </c>
      <c r="AE913" s="3">
        <v>31.45</v>
      </c>
      <c r="AF913" s="3">
        <v>40.590000000000003</v>
      </c>
      <c r="AG913" s="3">
        <v>33.909999999999997</v>
      </c>
      <c r="AH913" s="3">
        <v>45.04</v>
      </c>
      <c r="AT913" s="17" t="s">
        <v>147</v>
      </c>
      <c r="AU913" s="17" t="s">
        <v>147</v>
      </c>
    </row>
    <row r="914" spans="1:47" x14ac:dyDescent="0.2">
      <c r="A914" s="115">
        <v>911.99999999999909</v>
      </c>
      <c r="B914" s="3" t="s">
        <v>766</v>
      </c>
      <c r="C914" s="3">
        <v>21.911999999999999</v>
      </c>
      <c r="D914" s="155" t="s">
        <v>151</v>
      </c>
      <c r="E914" t="s">
        <v>162</v>
      </c>
      <c r="F914" s="3" t="s">
        <v>88</v>
      </c>
      <c r="G914" s="3" t="s">
        <v>88</v>
      </c>
      <c r="H914" s="17"/>
      <c r="I914" s="82">
        <v>44334</v>
      </c>
      <c r="J914" s="3" t="s">
        <v>492</v>
      </c>
      <c r="K914" s="3" t="s">
        <v>203</v>
      </c>
      <c r="N914" s="3">
        <v>206.7</v>
      </c>
      <c r="O914" s="3">
        <v>173.88</v>
      </c>
      <c r="P914" s="3">
        <v>188.58</v>
      </c>
      <c r="Q914" s="3">
        <v>43.51</v>
      </c>
      <c r="R914" s="3">
        <v>16.3</v>
      </c>
      <c r="S914" s="3">
        <v>119.02</v>
      </c>
      <c r="T914" s="3">
        <v>89.82</v>
      </c>
      <c r="U914" s="3">
        <v>63.41</v>
      </c>
      <c r="V914" s="3">
        <v>49.69</v>
      </c>
      <c r="W914" s="3">
        <v>71.040000000000006</v>
      </c>
      <c r="X914" s="3">
        <v>93.29</v>
      </c>
      <c r="Y914" s="3">
        <v>40.1</v>
      </c>
      <c r="Z914" s="3">
        <v>102.76</v>
      </c>
      <c r="AA914" s="3">
        <v>78.86</v>
      </c>
      <c r="AB914" s="3">
        <v>81.63</v>
      </c>
      <c r="AC914" s="3">
        <v>16.36</v>
      </c>
      <c r="AD914" s="3">
        <v>46.37</v>
      </c>
      <c r="AE914" s="3">
        <v>28.05</v>
      </c>
      <c r="AF914" s="3">
        <v>43.39</v>
      </c>
      <c r="AG914" s="3">
        <v>38.43</v>
      </c>
      <c r="AH914" s="3">
        <v>42.95</v>
      </c>
      <c r="AT914" s="17" t="s">
        <v>147</v>
      </c>
      <c r="AU914" s="17" t="s">
        <v>147</v>
      </c>
    </row>
    <row r="915" spans="1:47" x14ac:dyDescent="0.2">
      <c r="A915" s="115">
        <v>913.00000000000023</v>
      </c>
      <c r="B915" s="3" t="s">
        <v>767</v>
      </c>
      <c r="C915" s="3">
        <v>21.913</v>
      </c>
      <c r="D915" s="155" t="s">
        <v>151</v>
      </c>
      <c r="E915" t="s">
        <v>162</v>
      </c>
      <c r="F915" s="3" t="s">
        <v>88</v>
      </c>
      <c r="G915" s="3" t="s">
        <v>88</v>
      </c>
      <c r="H915" s="17"/>
      <c r="I915" s="82">
        <v>44334</v>
      </c>
      <c r="J915" s="3" t="s">
        <v>492</v>
      </c>
      <c r="K915" s="3" t="s">
        <v>203</v>
      </c>
      <c r="N915" s="3">
        <v>205.4</v>
      </c>
      <c r="O915" s="3">
        <v>177.5</v>
      </c>
      <c r="P915" s="3">
        <v>187.99</v>
      </c>
      <c r="Q915" s="3">
        <v>43.79</v>
      </c>
      <c r="R915" s="3">
        <v>20.65</v>
      </c>
      <c r="S915" s="3">
        <v>118.62</v>
      </c>
      <c r="T915" s="3">
        <v>92.2</v>
      </c>
      <c r="U915" s="3">
        <v>64.11</v>
      </c>
      <c r="V915" s="3">
        <v>47.45</v>
      </c>
      <c r="W915" s="3">
        <v>72.459999999999994</v>
      </c>
      <c r="X915" s="3">
        <v>96.61</v>
      </c>
      <c r="Y915" s="3">
        <v>39.700000000000003</v>
      </c>
      <c r="Z915" s="3">
        <v>103.43</v>
      </c>
      <c r="AA915" s="3">
        <v>79.290000000000006</v>
      </c>
      <c r="AB915" s="3">
        <v>82.39</v>
      </c>
      <c r="AC915" s="3">
        <v>16.63</v>
      </c>
      <c r="AD915" s="3">
        <v>47.39</v>
      </c>
      <c r="AE915" s="3">
        <v>31.92</v>
      </c>
      <c r="AF915" s="3">
        <v>41.33</v>
      </c>
      <c r="AG915" s="3">
        <v>39.090000000000003</v>
      </c>
      <c r="AH915" s="3">
        <v>44.08</v>
      </c>
      <c r="AT915" s="17" t="s">
        <v>147</v>
      </c>
      <c r="AU915" s="17" t="s">
        <v>147</v>
      </c>
    </row>
    <row r="916" spans="1:47" x14ac:dyDescent="0.2">
      <c r="A916" s="115">
        <v>914.00000000000148</v>
      </c>
      <c r="B916" s="3" t="s">
        <v>746</v>
      </c>
      <c r="C916" s="3">
        <v>21.914000000000001</v>
      </c>
      <c r="D916" s="155" t="s">
        <v>151</v>
      </c>
      <c r="E916" t="s">
        <v>162</v>
      </c>
      <c r="F916" s="3" t="s">
        <v>88</v>
      </c>
      <c r="G916" s="3" t="s">
        <v>88</v>
      </c>
      <c r="H916" s="17"/>
      <c r="I916" s="82">
        <v>44445</v>
      </c>
      <c r="J916" s="3" t="s">
        <v>492</v>
      </c>
      <c r="K916" s="3" t="s">
        <v>203</v>
      </c>
      <c r="N916" s="3">
        <v>224.5</v>
      </c>
      <c r="O916" s="3">
        <v>181.16</v>
      </c>
      <c r="P916" s="3">
        <v>191.63</v>
      </c>
      <c r="Q916" s="3">
        <v>42.78</v>
      </c>
      <c r="R916" s="3">
        <v>16.329999999999998</v>
      </c>
      <c r="S916" s="3">
        <v>123.67</v>
      </c>
      <c r="T916" s="3">
        <v>94.53</v>
      </c>
      <c r="U916" s="3">
        <v>66.5</v>
      </c>
      <c r="V916" s="3">
        <v>48.37</v>
      </c>
      <c r="W916" s="3">
        <v>70.66</v>
      </c>
      <c r="X916" s="3">
        <v>87.26</v>
      </c>
      <c r="Y916" s="3">
        <v>40.020000000000003</v>
      </c>
      <c r="Z916" s="3">
        <v>99.91</v>
      </c>
      <c r="AA916" s="3">
        <v>75.7</v>
      </c>
      <c r="AB916" s="3">
        <v>82.11</v>
      </c>
      <c r="AC916" s="3">
        <v>19.2</v>
      </c>
      <c r="AD916" s="3">
        <v>46.52</v>
      </c>
      <c r="AE916" s="3">
        <v>32.39</v>
      </c>
      <c r="AF916" s="3">
        <v>41.98</v>
      </c>
      <c r="AG916" s="3">
        <v>37.83</v>
      </c>
      <c r="AH916" s="3">
        <v>46.43</v>
      </c>
      <c r="AT916" s="17" t="s">
        <v>147</v>
      </c>
      <c r="AU916" s="17" t="s">
        <v>147</v>
      </c>
    </row>
    <row r="917" spans="1:47" x14ac:dyDescent="0.2">
      <c r="A917" s="115">
        <v>914.99999999999909</v>
      </c>
      <c r="B917" s="3" t="s">
        <v>747</v>
      </c>
      <c r="C917" s="3">
        <v>21.914999999999999</v>
      </c>
      <c r="D917" s="155" t="s">
        <v>151</v>
      </c>
      <c r="E917" t="s">
        <v>162</v>
      </c>
      <c r="F917" s="3" t="s">
        <v>88</v>
      </c>
      <c r="G917" s="3" t="s">
        <v>88</v>
      </c>
      <c r="H917" s="17"/>
      <c r="I917" s="82">
        <v>44445</v>
      </c>
      <c r="J917" s="3" t="s">
        <v>492</v>
      </c>
      <c r="K917" s="3" t="s">
        <v>203</v>
      </c>
      <c r="N917" s="3">
        <v>228.4</v>
      </c>
      <c r="O917" s="3">
        <v>182.7</v>
      </c>
      <c r="P917" s="3">
        <v>191.08</v>
      </c>
      <c r="Q917" s="3">
        <v>44.6</v>
      </c>
      <c r="R917" s="3">
        <v>13.24</v>
      </c>
      <c r="S917" s="3">
        <v>124</v>
      </c>
      <c r="T917" s="3">
        <v>97.62</v>
      </c>
      <c r="U917" s="3">
        <v>69.739999999999995</v>
      </c>
      <c r="V917" s="3">
        <v>52.43</v>
      </c>
      <c r="W917" s="3">
        <v>73.45</v>
      </c>
      <c r="X917" s="3">
        <v>94.93</v>
      </c>
      <c r="Y917" s="3">
        <v>41.28</v>
      </c>
      <c r="Z917" s="3">
        <v>102.89</v>
      </c>
      <c r="AA917" s="3">
        <v>76.599999999999994</v>
      </c>
      <c r="AB917" s="3">
        <v>84.81</v>
      </c>
      <c r="AC917" s="3">
        <v>19.38</v>
      </c>
      <c r="AD917" s="3">
        <v>45.86</v>
      </c>
      <c r="AE917" s="3">
        <v>27.81</v>
      </c>
      <c r="AF917" s="3">
        <v>43.32</v>
      </c>
      <c r="AG917" s="3">
        <v>31.59</v>
      </c>
      <c r="AH917" s="3">
        <v>47.24</v>
      </c>
      <c r="AT917" s="17" t="s">
        <v>147</v>
      </c>
      <c r="AU917" s="17" t="s">
        <v>147</v>
      </c>
    </row>
    <row r="918" spans="1:47" x14ac:dyDescent="0.2">
      <c r="A918" s="115">
        <v>916.00000000000034</v>
      </c>
      <c r="B918" s="3" t="s">
        <v>748</v>
      </c>
      <c r="C918" s="3">
        <v>21.916</v>
      </c>
      <c r="D918" s="155" t="s">
        <v>151</v>
      </c>
      <c r="E918" t="s">
        <v>162</v>
      </c>
      <c r="F918" s="3" t="s">
        <v>88</v>
      </c>
      <c r="G918" s="3" t="s">
        <v>88</v>
      </c>
      <c r="H918" s="17"/>
      <c r="I918" s="82">
        <v>44445</v>
      </c>
      <c r="J918" s="3" t="s">
        <v>492</v>
      </c>
      <c r="K918" s="3" t="s">
        <v>203</v>
      </c>
      <c r="N918" s="3">
        <v>226.5</v>
      </c>
      <c r="O918" s="3">
        <v>179.33</v>
      </c>
      <c r="P918" s="3">
        <v>190.07</v>
      </c>
      <c r="Q918" s="3">
        <v>39.57</v>
      </c>
      <c r="R918" s="3">
        <v>15.28</v>
      </c>
      <c r="S918" s="3">
        <v>123.49</v>
      </c>
      <c r="T918" s="3">
        <v>95.69</v>
      </c>
      <c r="U918" s="3">
        <v>66.959999999999994</v>
      </c>
      <c r="V918" s="3">
        <v>50.07</v>
      </c>
      <c r="W918" s="3">
        <v>73.17</v>
      </c>
      <c r="X918" s="3">
        <v>92.29</v>
      </c>
      <c r="Y918" s="3">
        <v>42.14</v>
      </c>
      <c r="Z918" s="3">
        <v>100.44</v>
      </c>
      <c r="AA918" s="3">
        <v>77.5</v>
      </c>
      <c r="AB918" s="3">
        <v>81.650000000000006</v>
      </c>
      <c r="AC918" s="3">
        <v>8.48</v>
      </c>
      <c r="AD918" s="3">
        <v>46.03</v>
      </c>
      <c r="AE918" s="3">
        <v>29.5</v>
      </c>
      <c r="AF918" s="3">
        <v>44.51</v>
      </c>
      <c r="AG918" s="3">
        <v>35.630000000000003</v>
      </c>
      <c r="AH918" s="3">
        <v>44.09</v>
      </c>
      <c r="AT918" s="17" t="s">
        <v>147</v>
      </c>
      <c r="AU918" s="17" t="s">
        <v>147</v>
      </c>
    </row>
    <row r="919" spans="1:47" x14ac:dyDescent="0.2">
      <c r="A919" s="115">
        <v>917.00000000000159</v>
      </c>
      <c r="B919" s="3">
        <v>80</v>
      </c>
      <c r="C919" s="3">
        <v>21.917000000000002</v>
      </c>
      <c r="D919" s="126" t="s">
        <v>168</v>
      </c>
      <c r="E919" t="s">
        <v>232</v>
      </c>
      <c r="F919" s="17" t="s">
        <v>251</v>
      </c>
      <c r="G919" s="17"/>
      <c r="H919" s="3" t="s">
        <v>800</v>
      </c>
      <c r="I919" s="141"/>
      <c r="J919" s="16" t="s">
        <v>142</v>
      </c>
      <c r="K919" s="17" t="s">
        <v>203</v>
      </c>
      <c r="L919" s="17"/>
      <c r="M919" s="17"/>
      <c r="N919" s="17">
        <v>168.4</v>
      </c>
      <c r="O919" s="17"/>
      <c r="P919" s="17"/>
      <c r="Q919" s="17"/>
      <c r="R919" s="17"/>
      <c r="S919" s="17"/>
      <c r="T919" s="17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17"/>
      <c r="AF919" s="17"/>
      <c r="AG919" s="17"/>
      <c r="AH919" s="17"/>
      <c r="AI919" s="17">
        <v>1.742</v>
      </c>
      <c r="AJ919" s="17"/>
      <c r="AK919" s="17"/>
      <c r="AL919" s="17">
        <v>14</v>
      </c>
      <c r="AM919" s="17"/>
      <c r="AN919" s="17"/>
      <c r="AO919" s="17">
        <v>10.6</v>
      </c>
      <c r="AP919" s="17">
        <v>62.9</v>
      </c>
      <c r="AQ919" s="17">
        <v>39.700000000000003</v>
      </c>
      <c r="AR919" s="17">
        <v>39.700000000000003</v>
      </c>
      <c r="AS919" s="17">
        <v>16.8</v>
      </c>
      <c r="AT919" s="17" t="s">
        <v>147</v>
      </c>
      <c r="AU919" s="17" t="s">
        <v>147</v>
      </c>
    </row>
    <row r="920" spans="1:47" x14ac:dyDescent="0.2">
      <c r="A920" s="115">
        <v>917.99999999999932</v>
      </c>
      <c r="B920" s="3">
        <v>88</v>
      </c>
      <c r="C920" s="3">
        <v>21.917999999999999</v>
      </c>
      <c r="D920" s="139" t="s">
        <v>179</v>
      </c>
      <c r="E920" t="s">
        <v>180</v>
      </c>
      <c r="F920" t="s">
        <v>181</v>
      </c>
      <c r="G920" s="17"/>
      <c r="H920" s="3" t="s">
        <v>199</v>
      </c>
      <c r="I920" s="82">
        <v>44546</v>
      </c>
      <c r="J920" t="s">
        <v>142</v>
      </c>
      <c r="K920" s="17" t="s">
        <v>203</v>
      </c>
      <c r="L920"/>
      <c r="M920"/>
      <c r="N920">
        <v>223.1</v>
      </c>
      <c r="O920">
        <v>194.23</v>
      </c>
      <c r="P920">
        <v>206.67</v>
      </c>
      <c r="Q920">
        <v>52.43</v>
      </c>
      <c r="R920">
        <v>20.23</v>
      </c>
      <c r="S920">
        <v>126.24</v>
      </c>
      <c r="T920">
        <v>102.06</v>
      </c>
      <c r="U920">
        <v>56.85</v>
      </c>
      <c r="V920">
        <v>42.74</v>
      </c>
      <c r="W920">
        <v>65.88</v>
      </c>
      <c r="X920">
        <v>85.06</v>
      </c>
      <c r="Y920">
        <v>38.479999999999997</v>
      </c>
      <c r="Z920">
        <v>93.03</v>
      </c>
      <c r="AA920">
        <v>70.77</v>
      </c>
      <c r="AB920">
        <v>64.930000000000007</v>
      </c>
      <c r="AC920">
        <v>16.95</v>
      </c>
      <c r="AD920">
        <v>48.62</v>
      </c>
      <c r="AE920">
        <v>31.36</v>
      </c>
      <c r="AF920">
        <v>39.49</v>
      </c>
      <c r="AG920">
        <v>31.35</v>
      </c>
      <c r="AH920">
        <v>42.25</v>
      </c>
      <c r="AI920">
        <v>1.33</v>
      </c>
      <c r="AJ920"/>
      <c r="AK920"/>
      <c r="AL920">
        <v>31</v>
      </c>
      <c r="AM920"/>
      <c r="AN920"/>
      <c r="AO920">
        <v>15.6</v>
      </c>
      <c r="AP920">
        <v>84.8</v>
      </c>
      <c r="AQ920">
        <v>55.6</v>
      </c>
      <c r="AR920">
        <v>50.4</v>
      </c>
      <c r="AS920">
        <v>18.600000000000001</v>
      </c>
      <c r="AT920" s="17" t="s">
        <v>147</v>
      </c>
      <c r="AU920" s="17" t="s">
        <v>147</v>
      </c>
    </row>
    <row r="921" spans="1:47" x14ac:dyDescent="0.2">
      <c r="A921" s="115">
        <v>919.00000000000045</v>
      </c>
      <c r="B921" s="3">
        <v>78</v>
      </c>
      <c r="C921" s="3">
        <v>21.919</v>
      </c>
      <c r="D921" s="139" t="s">
        <v>179</v>
      </c>
      <c r="E921" t="s">
        <v>180</v>
      </c>
      <c r="F921" t="s">
        <v>181</v>
      </c>
      <c r="G921" s="17"/>
      <c r="H921" s="3" t="s">
        <v>182</v>
      </c>
      <c r="I921" s="82">
        <v>44515</v>
      </c>
      <c r="J921" t="s">
        <v>142</v>
      </c>
      <c r="K921" s="17" t="s">
        <v>203</v>
      </c>
      <c r="L921"/>
      <c r="M921"/>
      <c r="N921">
        <v>242.6</v>
      </c>
      <c r="O921">
        <v>199.6</v>
      </c>
      <c r="P921">
        <v>215</v>
      </c>
      <c r="Q921">
        <v>56.7</v>
      </c>
      <c r="R921">
        <v>21.24</v>
      </c>
      <c r="S921">
        <v>128.16999999999999</v>
      </c>
      <c r="T921">
        <v>103.9</v>
      </c>
      <c r="U921">
        <v>58.48</v>
      </c>
      <c r="V921">
        <v>45.04</v>
      </c>
      <c r="W921">
        <v>68.680000000000007</v>
      </c>
      <c r="X921">
        <v>85.45</v>
      </c>
      <c r="Y921">
        <v>39.07</v>
      </c>
      <c r="Z921">
        <v>94.08</v>
      </c>
      <c r="AA921">
        <v>72.56</v>
      </c>
      <c r="AB921">
        <v>67.02</v>
      </c>
      <c r="AC921">
        <v>16.87</v>
      </c>
      <c r="AD921">
        <v>50.17</v>
      </c>
      <c r="AE921">
        <v>29.24</v>
      </c>
      <c r="AF921">
        <v>40.86</v>
      </c>
      <c r="AG921">
        <v>32.450000000000003</v>
      </c>
      <c r="AH921">
        <v>47.1</v>
      </c>
      <c r="AI921">
        <v>1.5029999999999999</v>
      </c>
      <c r="AJ921"/>
      <c r="AK921"/>
      <c r="AL921">
        <v>26</v>
      </c>
      <c r="AM921"/>
      <c r="AN921"/>
      <c r="AO921">
        <v>16.2</v>
      </c>
      <c r="AP921">
        <v>90.6</v>
      </c>
      <c r="AQ921">
        <v>55.6</v>
      </c>
      <c r="AR921">
        <v>50.4</v>
      </c>
      <c r="AS921">
        <v>21.4</v>
      </c>
      <c r="AT921" s="17" t="s">
        <v>147</v>
      </c>
      <c r="AU921" s="17" t="s">
        <v>147</v>
      </c>
    </row>
    <row r="922" spans="1:47" x14ac:dyDescent="0.2">
      <c r="A922" s="115">
        <v>920.00000000000171</v>
      </c>
      <c r="B922" s="3" t="s">
        <v>801</v>
      </c>
      <c r="C922" s="12" t="s">
        <v>802</v>
      </c>
      <c r="D922" s="139" t="s">
        <v>179</v>
      </c>
      <c r="E922" t="s">
        <v>180</v>
      </c>
      <c r="F922" t="s">
        <v>181</v>
      </c>
      <c r="G922" s="17"/>
      <c r="H922" s="3" t="s">
        <v>268</v>
      </c>
      <c r="I922" s="82">
        <v>44504</v>
      </c>
      <c r="J922" t="s">
        <v>142</v>
      </c>
      <c r="K922" s="17" t="s">
        <v>203</v>
      </c>
      <c r="L922"/>
      <c r="M922"/>
      <c r="N922">
        <v>222</v>
      </c>
      <c r="O922">
        <v>184.54</v>
      </c>
      <c r="P922">
        <v>191.31</v>
      </c>
      <c r="Q922">
        <v>43.04</v>
      </c>
      <c r="R922">
        <v>22.71</v>
      </c>
      <c r="S922">
        <v>122.43</v>
      </c>
      <c r="T922">
        <v>94.55</v>
      </c>
      <c r="U922">
        <v>63.05</v>
      </c>
      <c r="V922">
        <v>45.26</v>
      </c>
      <c r="W922">
        <v>69.760000000000005</v>
      </c>
      <c r="X922">
        <v>83.9</v>
      </c>
      <c r="Y922">
        <v>36.840000000000003</v>
      </c>
      <c r="Z922">
        <v>93.75</v>
      </c>
      <c r="AA922">
        <v>77.010000000000005</v>
      </c>
      <c r="AB922">
        <v>70.88</v>
      </c>
      <c r="AC922">
        <v>13.27</v>
      </c>
      <c r="AD922">
        <v>45.61</v>
      </c>
      <c r="AE922">
        <v>31.85</v>
      </c>
      <c r="AF922">
        <v>44.19</v>
      </c>
      <c r="AG922">
        <v>38.22</v>
      </c>
      <c r="AH922">
        <v>44.27</v>
      </c>
      <c r="AI922">
        <v>1.1839999999999999</v>
      </c>
      <c r="AJ922"/>
      <c r="AK922"/>
      <c r="AL922"/>
      <c r="AM922"/>
      <c r="AN922"/>
      <c r="AO922">
        <v>12.8</v>
      </c>
      <c r="AP922">
        <v>59.3</v>
      </c>
      <c r="AQ922">
        <v>103.8</v>
      </c>
      <c r="AR922">
        <v>43.7</v>
      </c>
      <c r="AS922">
        <v>18.5</v>
      </c>
      <c r="AT922" s="17" t="s">
        <v>147</v>
      </c>
      <c r="AU922" s="17" t="s">
        <v>147</v>
      </c>
    </row>
    <row r="923" spans="1:47" x14ac:dyDescent="0.2">
      <c r="A923" s="115">
        <v>920.99999999999932</v>
      </c>
      <c r="B923" s="3">
        <v>195</v>
      </c>
      <c r="C923" s="3">
        <v>21.920999999999999</v>
      </c>
      <c r="D923" s="126" t="s">
        <v>168</v>
      </c>
      <c r="E923" t="s">
        <v>169</v>
      </c>
      <c r="F923" s="28" t="s">
        <v>170</v>
      </c>
      <c r="G923" s="9" t="s">
        <v>30</v>
      </c>
      <c r="H923" s="28"/>
      <c r="I923" s="82">
        <v>44493</v>
      </c>
      <c r="J923" s="16" t="s">
        <v>142</v>
      </c>
      <c r="K923" s="17" t="s">
        <v>235</v>
      </c>
      <c r="L923" s="17"/>
      <c r="M923" s="17"/>
      <c r="N923" s="17"/>
      <c r="O923" s="54"/>
      <c r="P923" s="54"/>
      <c r="Q923" s="54"/>
      <c r="R923" s="54"/>
      <c r="S923" s="54"/>
      <c r="T923" s="54"/>
      <c r="U923" s="165"/>
      <c r="V923" s="165"/>
      <c r="W923" s="165"/>
      <c r="X923" s="165"/>
      <c r="Y923" s="165"/>
      <c r="Z923" s="165"/>
      <c r="AA923" s="165"/>
      <c r="AB923" s="165"/>
      <c r="AC923" s="165"/>
      <c r="AD923" s="165"/>
      <c r="AE923" s="54"/>
      <c r="AF923" s="54"/>
      <c r="AG923" s="54"/>
      <c r="AH923" s="54"/>
      <c r="AI923" s="54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3" t="s">
        <v>168</v>
      </c>
      <c r="AU923" s="3"/>
    </row>
    <row r="924" spans="1:47" x14ac:dyDescent="0.2">
      <c r="A924" s="115">
        <v>922.00000000000057</v>
      </c>
      <c r="B924" s="3">
        <v>203</v>
      </c>
      <c r="C924" s="12">
        <v>21.922000000000001</v>
      </c>
      <c r="D924" s="126" t="s">
        <v>168</v>
      </c>
      <c r="E924" t="s">
        <v>169</v>
      </c>
      <c r="F924" s="28" t="s">
        <v>170</v>
      </c>
      <c r="G924" s="9" t="s">
        <v>30</v>
      </c>
      <c r="H924" s="17"/>
      <c r="I924" s="81">
        <v>44489</v>
      </c>
      <c r="J924" s="16" t="s">
        <v>142</v>
      </c>
      <c r="K924" s="17" t="s">
        <v>235</v>
      </c>
      <c r="L924"/>
      <c r="M924"/>
      <c r="N924"/>
      <c r="O924" s="54"/>
      <c r="P924" s="54"/>
      <c r="Q924" s="54"/>
      <c r="R924" s="54"/>
      <c r="S924" s="54"/>
      <c r="T924" s="54"/>
      <c r="U924" s="165"/>
      <c r="V924" s="165"/>
      <c r="W924" s="165"/>
      <c r="X924" s="165"/>
      <c r="Y924" s="165"/>
      <c r="Z924" s="165"/>
      <c r="AA924" s="165"/>
      <c r="AB924" s="165"/>
      <c r="AC924" s="165"/>
      <c r="AD924" s="165"/>
      <c r="AE924" s="54"/>
      <c r="AF924" s="54"/>
      <c r="AG924" s="54"/>
      <c r="AH924" s="54"/>
      <c r="AI924" s="54"/>
      <c r="AJ924"/>
      <c r="AK924"/>
      <c r="AL924"/>
      <c r="AM924"/>
      <c r="AN924"/>
      <c r="AO924"/>
      <c r="AP924"/>
      <c r="AQ924"/>
      <c r="AR924"/>
      <c r="AS924"/>
      <c r="AT924" s="3" t="s">
        <v>168</v>
      </c>
      <c r="AU924" s="3"/>
    </row>
    <row r="925" spans="1:47" x14ac:dyDescent="0.2">
      <c r="A925" s="115">
        <v>922.99999999999829</v>
      </c>
      <c r="B925" s="3">
        <v>197</v>
      </c>
      <c r="C925" s="3">
        <v>21.922999999999998</v>
      </c>
      <c r="D925" s="129" t="s">
        <v>140</v>
      </c>
      <c r="E925" t="s">
        <v>141</v>
      </c>
      <c r="F925" s="3" t="s">
        <v>61</v>
      </c>
      <c r="G925" s="3" t="s">
        <v>61</v>
      </c>
      <c r="H925" s="3" t="s">
        <v>61</v>
      </c>
      <c r="I925" s="82">
        <v>44548</v>
      </c>
      <c r="J925" s="17" t="s">
        <v>142</v>
      </c>
      <c r="K925" s="17" t="s">
        <v>235</v>
      </c>
      <c r="L925" s="17"/>
      <c r="M925" s="17">
        <v>242.4</v>
      </c>
      <c r="N925" s="17">
        <v>252</v>
      </c>
      <c r="O925" s="17">
        <v>179.49</v>
      </c>
      <c r="P925" s="17">
        <v>191.95</v>
      </c>
      <c r="Q925" s="17">
        <v>41.5</v>
      </c>
      <c r="R925" s="17">
        <v>24.44</v>
      </c>
      <c r="S925" s="17">
        <v>121.82</v>
      </c>
      <c r="T925" s="17">
        <v>97.76</v>
      </c>
      <c r="U925" s="17">
        <v>56.6</v>
      </c>
      <c r="V925" s="17">
        <v>39.950000000000003</v>
      </c>
      <c r="W925" s="17">
        <v>64.53</v>
      </c>
      <c r="X925" s="17">
        <v>84.53</v>
      </c>
      <c r="Y925" s="17">
        <v>36.51</v>
      </c>
      <c r="Z925" s="17">
        <v>93.63</v>
      </c>
      <c r="AA925" s="17">
        <v>79.069999999999993</v>
      </c>
      <c r="AB925" s="17">
        <v>65.23</v>
      </c>
      <c r="AC925" s="17">
        <v>16.239999999999998</v>
      </c>
      <c r="AD925" s="17">
        <v>52.61</v>
      </c>
      <c r="AE925" s="17">
        <v>42.18</v>
      </c>
      <c r="AF925" s="17">
        <v>33.44</v>
      </c>
      <c r="AG925" s="17">
        <v>44.36</v>
      </c>
      <c r="AH925" s="17">
        <v>38.299999999999997</v>
      </c>
      <c r="AI925" s="17">
        <v>1.1140000000000001</v>
      </c>
      <c r="AJ925" s="17">
        <v>53.11</v>
      </c>
      <c r="AK925" s="17" t="s">
        <v>172</v>
      </c>
      <c r="AL925" s="17"/>
      <c r="AM925" s="17"/>
      <c r="AN925" s="17">
        <v>114</v>
      </c>
      <c r="AO925" s="17"/>
      <c r="AP925" s="17"/>
      <c r="AQ925" s="17"/>
      <c r="AR925" s="17"/>
      <c r="AS925" s="17"/>
      <c r="AT925" s="17" t="s">
        <v>175</v>
      </c>
      <c r="AU925" s="17" t="s">
        <v>147</v>
      </c>
    </row>
    <row r="926" spans="1:47" x14ac:dyDescent="0.2">
      <c r="A926" s="115">
        <v>923.99999999999955</v>
      </c>
      <c r="B926" s="3">
        <v>204</v>
      </c>
      <c r="C926" s="3">
        <v>21.923999999999999</v>
      </c>
      <c r="D926" s="129" t="s">
        <v>140</v>
      </c>
      <c r="E926" t="s">
        <v>141</v>
      </c>
      <c r="F926" s="3" t="s">
        <v>60</v>
      </c>
      <c r="G926" s="3" t="s">
        <v>60</v>
      </c>
      <c r="H926" s="3" t="s">
        <v>60</v>
      </c>
      <c r="I926" s="82">
        <v>44558</v>
      </c>
      <c r="J926" s="17" t="s">
        <v>142</v>
      </c>
      <c r="K926" s="17" t="s">
        <v>235</v>
      </c>
      <c r="L926" s="17"/>
      <c r="M926" s="17">
        <v>280.8</v>
      </c>
      <c r="N926" s="17">
        <v>289.92</v>
      </c>
      <c r="O926" s="17">
        <v>155.66999999999999</v>
      </c>
      <c r="P926" s="17">
        <v>171.15</v>
      </c>
      <c r="Q926" s="17">
        <v>31.31</v>
      </c>
      <c r="R926" s="17">
        <v>18.21</v>
      </c>
      <c r="S926" s="17">
        <v>115.94</v>
      </c>
      <c r="T926" s="17">
        <v>98.13</v>
      </c>
      <c r="U926" s="17">
        <v>64.010000000000005</v>
      </c>
      <c r="V926" s="17">
        <v>56.2</v>
      </c>
      <c r="W926" s="17">
        <v>74.989999999999995</v>
      </c>
      <c r="X926" s="17">
        <v>93.46</v>
      </c>
      <c r="Y926" s="17">
        <v>36.700000000000003</v>
      </c>
      <c r="Z926" s="17">
        <v>101.67</v>
      </c>
      <c r="AA926" s="17">
        <v>83.91</v>
      </c>
      <c r="AB926" s="17">
        <v>73.83</v>
      </c>
      <c r="AC926" s="17">
        <v>13.39</v>
      </c>
      <c r="AD926" s="17">
        <v>55.6</v>
      </c>
      <c r="AE926" s="17">
        <v>23.23</v>
      </c>
      <c r="AF926" s="17">
        <v>35.880000000000003</v>
      </c>
      <c r="AG926" s="17">
        <v>34.130000000000003</v>
      </c>
      <c r="AH926" s="17">
        <v>39.4</v>
      </c>
      <c r="AI926" s="17">
        <v>2.1259999999999999</v>
      </c>
      <c r="AJ926" s="17">
        <v>53.79</v>
      </c>
      <c r="AK926" s="17" t="s">
        <v>172</v>
      </c>
      <c r="AL926" s="17"/>
      <c r="AM926" s="17"/>
      <c r="AN926" s="17">
        <v>113</v>
      </c>
      <c r="AO926" s="17"/>
      <c r="AP926" s="17"/>
      <c r="AQ926" s="17"/>
      <c r="AR926" s="17"/>
      <c r="AS926" s="17"/>
      <c r="AT926" s="17" t="s">
        <v>175</v>
      </c>
      <c r="AU926" s="17" t="s">
        <v>147</v>
      </c>
    </row>
    <row r="927" spans="1:47" x14ac:dyDescent="0.2">
      <c r="A927" s="115">
        <v>925.00000000000068</v>
      </c>
      <c r="B927" s="3">
        <v>200</v>
      </c>
      <c r="C927" s="3">
        <v>21.925000000000001</v>
      </c>
      <c r="D927" s="129" t="s">
        <v>140</v>
      </c>
      <c r="E927" t="s">
        <v>141</v>
      </c>
      <c r="F927" s="3" t="s">
        <v>61</v>
      </c>
      <c r="G927" s="17"/>
      <c r="H927" s="3" t="s">
        <v>61</v>
      </c>
      <c r="I927" s="82">
        <v>44549</v>
      </c>
      <c r="J927" s="17" t="s">
        <v>142</v>
      </c>
      <c r="K927" s="17" t="s">
        <v>235</v>
      </c>
      <c r="L927" s="17"/>
      <c r="M927" s="17">
        <v>252</v>
      </c>
      <c r="N927" s="17">
        <v>253.45</v>
      </c>
      <c r="O927" s="17">
        <v>196.9</v>
      </c>
      <c r="P927" s="17">
        <v>201.75</v>
      </c>
      <c r="Q927" s="17">
        <v>40.92</v>
      </c>
      <c r="R927" s="17">
        <v>31.12</v>
      </c>
      <c r="S927" s="17">
        <v>130.26</v>
      </c>
      <c r="T927" s="17">
        <v>103.1</v>
      </c>
      <c r="U927" s="17">
        <v>52.12</v>
      </c>
      <c r="V927" s="17">
        <v>40.29</v>
      </c>
      <c r="W927" s="17">
        <v>68.44</v>
      </c>
      <c r="X927" s="17">
        <v>84.9</v>
      </c>
      <c r="Y927" s="17">
        <v>37.090000000000003</v>
      </c>
      <c r="Z927" s="17">
        <v>94.89</v>
      </c>
      <c r="AA927" s="17">
        <v>80.959999999999994</v>
      </c>
      <c r="AB927" s="17">
        <v>67.430000000000007</v>
      </c>
      <c r="AC927" s="17">
        <v>19.940000000000001</v>
      </c>
      <c r="AD927" s="17">
        <v>53.65</v>
      </c>
      <c r="AE927" s="17">
        <v>51.73</v>
      </c>
      <c r="AF927" s="17">
        <v>38.75</v>
      </c>
      <c r="AG927" s="17">
        <v>50.04</v>
      </c>
      <c r="AH927" s="17">
        <v>39.68</v>
      </c>
      <c r="AI927" s="17">
        <v>1.089</v>
      </c>
      <c r="AJ927" s="17">
        <v>48.3</v>
      </c>
      <c r="AK927" s="17" t="s">
        <v>173</v>
      </c>
      <c r="AL927" s="17"/>
      <c r="AM927" s="17"/>
      <c r="AN927" s="17">
        <v>81</v>
      </c>
      <c r="AO927" s="17"/>
      <c r="AP927" s="17"/>
      <c r="AQ927" s="17"/>
      <c r="AR927" s="17"/>
      <c r="AS927" s="17"/>
      <c r="AT927" s="17" t="s">
        <v>175</v>
      </c>
      <c r="AU927" s="17" t="s">
        <v>147</v>
      </c>
    </row>
    <row r="928" spans="1:47" x14ac:dyDescent="0.2">
      <c r="A928" s="115">
        <v>925.99999999999841</v>
      </c>
      <c r="B928" s="3">
        <v>86</v>
      </c>
      <c r="C928" s="3">
        <v>21.925999999999998</v>
      </c>
      <c r="D928" s="139" t="s">
        <v>179</v>
      </c>
      <c r="E928" s="17" t="s">
        <v>180</v>
      </c>
      <c r="F928" s="17" t="s">
        <v>181</v>
      </c>
      <c r="G928" s="17"/>
      <c r="H928" s="3" t="s">
        <v>280</v>
      </c>
      <c r="I928" s="82">
        <v>44521</v>
      </c>
      <c r="J928" t="s">
        <v>142</v>
      </c>
      <c r="K928" s="17" t="s">
        <v>203</v>
      </c>
      <c r="L928"/>
      <c r="M928">
        <v>210</v>
      </c>
      <c r="N928" s="17">
        <v>211.9</v>
      </c>
      <c r="O928">
        <v>188.42</v>
      </c>
      <c r="P928">
        <v>195.57</v>
      </c>
      <c r="Q928">
        <v>49.48</v>
      </c>
      <c r="R928">
        <v>21.89</v>
      </c>
      <c r="S928">
        <v>123.74</v>
      </c>
      <c r="T928">
        <v>97.41</v>
      </c>
      <c r="U928">
        <v>58.66</v>
      </c>
      <c r="V928">
        <v>43.27</v>
      </c>
      <c r="W928">
        <v>68.989999999999995</v>
      </c>
      <c r="X928">
        <v>82.66</v>
      </c>
      <c r="Y928">
        <v>34.57</v>
      </c>
      <c r="Z928">
        <v>92.31</v>
      </c>
      <c r="AA928">
        <v>76.959999999999994</v>
      </c>
      <c r="AB928">
        <v>70.459999999999994</v>
      </c>
      <c r="AC928">
        <v>15.48</v>
      </c>
      <c r="AD928">
        <v>46.45</v>
      </c>
      <c r="AE928">
        <v>32.69</v>
      </c>
      <c r="AF928">
        <v>39.700000000000003</v>
      </c>
      <c r="AG928">
        <v>37</v>
      </c>
      <c r="AH928">
        <v>40.26</v>
      </c>
      <c r="AI928" s="17">
        <v>1.131</v>
      </c>
      <c r="AJ928"/>
      <c r="AK928"/>
      <c r="AL928"/>
      <c r="AM928"/>
      <c r="AN928"/>
      <c r="AO928">
        <v>12.5</v>
      </c>
      <c r="AP928">
        <v>60.6</v>
      </c>
      <c r="AQ928">
        <v>95</v>
      </c>
      <c r="AR928">
        <v>39.799999999999997</v>
      </c>
      <c r="AS928">
        <v>16.7</v>
      </c>
      <c r="AT928" t="s">
        <v>147</v>
      </c>
    </row>
    <row r="929" spans="1:47" x14ac:dyDescent="0.2">
      <c r="A929" s="115">
        <v>926.99999999999955</v>
      </c>
      <c r="B929" s="3">
        <v>75</v>
      </c>
      <c r="C929" s="3">
        <v>21.927</v>
      </c>
      <c r="D929" s="139" t="s">
        <v>179</v>
      </c>
      <c r="E929" s="17" t="s">
        <v>180</v>
      </c>
      <c r="F929" s="17" t="s">
        <v>181</v>
      </c>
      <c r="G929" s="17"/>
      <c r="H929" s="3" t="s">
        <v>268</v>
      </c>
      <c r="I929" s="82">
        <v>44506</v>
      </c>
      <c r="J929" t="s">
        <v>142</v>
      </c>
      <c r="K929" t="s">
        <v>206</v>
      </c>
      <c r="L929"/>
      <c r="M929">
        <v>225</v>
      </c>
      <c r="N929" s="17">
        <v>229.1</v>
      </c>
      <c r="O929">
        <v>180.58</v>
      </c>
      <c r="P929">
        <v>194.22</v>
      </c>
      <c r="Q929">
        <v>40.42</v>
      </c>
      <c r="R929">
        <v>20.92</v>
      </c>
      <c r="S929">
        <v>125.93</v>
      </c>
      <c r="T929">
        <v>105.02</v>
      </c>
      <c r="U929">
        <v>60.2</v>
      </c>
      <c r="V929">
        <v>43.18</v>
      </c>
      <c r="W929">
        <v>66.98</v>
      </c>
      <c r="X929">
        <v>81.56</v>
      </c>
      <c r="Y929">
        <v>38.49</v>
      </c>
      <c r="Z929">
        <v>93.04</v>
      </c>
      <c r="AA929">
        <v>76.03</v>
      </c>
      <c r="AB929">
        <v>69.209999999999994</v>
      </c>
      <c r="AC929">
        <v>14.95</v>
      </c>
      <c r="AD929">
        <v>47.03</v>
      </c>
      <c r="AE929">
        <v>33.07</v>
      </c>
      <c r="AF929">
        <v>41.15</v>
      </c>
      <c r="AG929">
        <v>33.76</v>
      </c>
      <c r="AH929">
        <v>44.09</v>
      </c>
      <c r="AI929" s="17">
        <v>1.1990000000000001</v>
      </c>
      <c r="AJ929"/>
      <c r="AK929"/>
      <c r="AL929"/>
      <c r="AM929"/>
      <c r="AN929"/>
      <c r="AO929">
        <v>13.3</v>
      </c>
      <c r="AP929">
        <v>55.4</v>
      </c>
      <c r="AQ929">
        <v>115.2</v>
      </c>
      <c r="AR929">
        <v>42.8</v>
      </c>
      <c r="AS929">
        <v>17.8</v>
      </c>
      <c r="AT929" t="s">
        <v>147</v>
      </c>
    </row>
    <row r="930" spans="1:47" x14ac:dyDescent="0.2">
      <c r="A930" s="115">
        <v>928.0000000000008</v>
      </c>
      <c r="B930" s="3">
        <v>166</v>
      </c>
      <c r="C930" s="3">
        <v>21.928000000000001</v>
      </c>
      <c r="D930" s="129" t="s">
        <v>140</v>
      </c>
      <c r="E930" t="s">
        <v>141</v>
      </c>
      <c r="F930" s="3" t="s">
        <v>61</v>
      </c>
      <c r="G930" s="17"/>
      <c r="H930" s="3" t="s">
        <v>61</v>
      </c>
      <c r="I930" s="82">
        <v>44504</v>
      </c>
      <c r="J930" s="17" t="s">
        <v>142</v>
      </c>
      <c r="K930" s="17" t="s">
        <v>203</v>
      </c>
      <c r="L930" s="17"/>
      <c r="M930" s="17">
        <v>162.9</v>
      </c>
      <c r="N930" s="17">
        <v>166</v>
      </c>
      <c r="O930" s="17">
        <v>186.3</v>
      </c>
      <c r="P930" s="17">
        <v>188.48</v>
      </c>
      <c r="Q930" s="17">
        <v>40.020000000000003</v>
      </c>
      <c r="R930" s="17">
        <v>30.22</v>
      </c>
      <c r="S930" s="17">
        <v>119.22</v>
      </c>
      <c r="T930" s="17">
        <v>96.97</v>
      </c>
      <c r="U930" s="50">
        <v>55.85</v>
      </c>
      <c r="V930" s="50">
        <v>39.94</v>
      </c>
      <c r="W930" s="50">
        <v>68.489999999999995</v>
      </c>
      <c r="X930" s="50">
        <v>82.52</v>
      </c>
      <c r="Y930" s="50">
        <v>34.5</v>
      </c>
      <c r="Z930" s="50">
        <v>89.59</v>
      </c>
      <c r="AA930" s="50">
        <v>70.45</v>
      </c>
      <c r="AB930" s="50">
        <v>63.75</v>
      </c>
      <c r="AC930" s="50">
        <v>10.76</v>
      </c>
      <c r="AD930" s="50">
        <v>40.090000000000003</v>
      </c>
      <c r="AE930" s="17">
        <v>42.45</v>
      </c>
      <c r="AF930" s="17">
        <v>43.02</v>
      </c>
      <c r="AG930" s="17">
        <v>39.36</v>
      </c>
      <c r="AH930" s="17">
        <v>36.39</v>
      </c>
      <c r="AI930" s="17">
        <v>1.2290000000000001</v>
      </c>
      <c r="AJ930" s="17"/>
      <c r="AK930" s="17"/>
      <c r="AL930" s="17">
        <v>14.5</v>
      </c>
      <c r="AM930" s="17"/>
      <c r="AN930" s="17"/>
      <c r="AO930" s="17">
        <v>9.1</v>
      </c>
      <c r="AP930" s="17">
        <v>63.7</v>
      </c>
      <c r="AQ930" s="17">
        <v>43.7</v>
      </c>
      <c r="AR930" s="17">
        <v>31.6</v>
      </c>
      <c r="AS930" s="17">
        <v>13.5</v>
      </c>
      <c r="AT930" s="3"/>
      <c r="AU930" s="3"/>
    </row>
    <row r="931" spans="1:47" x14ac:dyDescent="0.2">
      <c r="A931" s="115">
        <v>928.99999999999852</v>
      </c>
      <c r="B931" s="3">
        <v>169</v>
      </c>
      <c r="C931" s="3">
        <v>21.928999999999998</v>
      </c>
      <c r="D931" s="129" t="s">
        <v>140</v>
      </c>
      <c r="E931" t="s">
        <v>141</v>
      </c>
      <c r="F931" s="3" t="s">
        <v>61</v>
      </c>
      <c r="G931" s="17"/>
      <c r="H931" s="3" t="s">
        <v>61</v>
      </c>
      <c r="I931" s="82">
        <v>44505</v>
      </c>
      <c r="J931" s="17" t="s">
        <v>142</v>
      </c>
      <c r="K931" s="17" t="s">
        <v>203</v>
      </c>
      <c r="L931" s="17"/>
      <c r="M931" s="17">
        <v>192.9</v>
      </c>
      <c r="N931" s="17">
        <v>198.1</v>
      </c>
      <c r="O931" s="17">
        <v>198.06</v>
      </c>
      <c r="P931" s="17">
        <v>199.19</v>
      </c>
      <c r="Q931" s="17">
        <v>43.03</v>
      </c>
      <c r="R931" s="17">
        <v>33.26</v>
      </c>
      <c r="S931" s="17">
        <v>123.19</v>
      </c>
      <c r="T931" s="17">
        <v>100.76</v>
      </c>
      <c r="U931" s="50">
        <v>55.21</v>
      </c>
      <c r="V931" s="50">
        <v>41.28</v>
      </c>
      <c r="W931" s="50">
        <v>71.09</v>
      </c>
      <c r="X931" s="50">
        <v>84.16</v>
      </c>
      <c r="Y931" s="50">
        <v>36.19</v>
      </c>
      <c r="Z931" s="50">
        <v>91.9</v>
      </c>
      <c r="AA931" s="50">
        <v>74.03</v>
      </c>
      <c r="AB931" s="50">
        <v>65.69</v>
      </c>
      <c r="AC931" s="50">
        <v>9.35</v>
      </c>
      <c r="AD931" s="50">
        <v>44.11</v>
      </c>
      <c r="AE931" s="17">
        <v>52.53</v>
      </c>
      <c r="AF931" s="17">
        <v>48.83</v>
      </c>
      <c r="AG931" s="17">
        <v>38.43</v>
      </c>
      <c r="AH931" s="17">
        <v>36.020000000000003</v>
      </c>
      <c r="AI931" s="17">
        <v>1.5760000000000001</v>
      </c>
      <c r="AJ931" s="17"/>
      <c r="AK931" s="17"/>
      <c r="AL931" s="17">
        <v>12.5</v>
      </c>
      <c r="AM931" s="17"/>
      <c r="AN931" s="17"/>
      <c r="AO931" s="17">
        <v>12.6</v>
      </c>
      <c r="AP931" s="17">
        <v>73.599999999999994</v>
      </c>
      <c r="AQ931" s="17">
        <v>57.9</v>
      </c>
      <c r="AR931" s="17">
        <v>38.6</v>
      </c>
      <c r="AS931" s="17">
        <v>16.7</v>
      </c>
      <c r="AT931" s="3"/>
      <c r="AU931" s="3"/>
    </row>
    <row r="932" spans="1:47" x14ac:dyDescent="0.2">
      <c r="A932" s="115">
        <v>929.99999999999977</v>
      </c>
      <c r="B932" s="3">
        <v>167</v>
      </c>
      <c r="C932" s="12" t="s">
        <v>803</v>
      </c>
      <c r="D932" s="129" t="s">
        <v>140</v>
      </c>
      <c r="E932" t="s">
        <v>141</v>
      </c>
      <c r="F932" s="3" t="s">
        <v>61</v>
      </c>
      <c r="G932" s="17"/>
      <c r="H932" s="3" t="s">
        <v>61</v>
      </c>
      <c r="I932" s="82">
        <v>44504</v>
      </c>
      <c r="J932" s="17" t="s">
        <v>142</v>
      </c>
      <c r="K932" s="17" t="s">
        <v>203</v>
      </c>
      <c r="L932" s="17"/>
      <c r="M932" s="17">
        <v>178.2</v>
      </c>
      <c r="N932" s="17">
        <v>181.9</v>
      </c>
      <c r="O932" s="17">
        <v>190.75</v>
      </c>
      <c r="P932" s="17">
        <v>194.02</v>
      </c>
      <c r="Q932" s="17">
        <v>38.03</v>
      </c>
      <c r="R932" s="17">
        <v>32.72</v>
      </c>
      <c r="S932" s="17">
        <v>123.46</v>
      </c>
      <c r="T932" s="17">
        <v>97.43</v>
      </c>
      <c r="U932" s="50">
        <v>52.46</v>
      </c>
      <c r="V932" s="50">
        <v>39.57</v>
      </c>
      <c r="W932" s="50">
        <v>67.86</v>
      </c>
      <c r="X932" s="50">
        <v>89.48</v>
      </c>
      <c r="Y932" s="50">
        <v>71.290000000000006</v>
      </c>
      <c r="Z932" s="50">
        <v>89.38</v>
      </c>
      <c r="AA932" s="50">
        <v>69.930000000000007</v>
      </c>
      <c r="AB932" s="50">
        <v>60.93</v>
      </c>
      <c r="AC932" s="50">
        <v>11.39</v>
      </c>
      <c r="AD932" s="50">
        <v>43.47</v>
      </c>
      <c r="AE932" s="17">
        <v>42.22</v>
      </c>
      <c r="AF932" s="17">
        <v>39.67</v>
      </c>
      <c r="AG932" s="17">
        <v>37.04</v>
      </c>
      <c r="AH932" s="17">
        <v>30.95</v>
      </c>
      <c r="AI932" s="17">
        <v>1.4690000000000001</v>
      </c>
      <c r="AJ932" s="17"/>
      <c r="AK932" s="17"/>
      <c r="AL932" s="17">
        <v>23</v>
      </c>
      <c r="AM932" s="17"/>
      <c r="AN932" s="17"/>
      <c r="AO932" s="17">
        <v>10.9</v>
      </c>
      <c r="AP932" s="17">
        <v>70.3</v>
      </c>
      <c r="AQ932" s="17">
        <v>39.700000000000003</v>
      </c>
      <c r="AR932" s="17">
        <v>35.799999999999997</v>
      </c>
      <c r="AS932" s="17">
        <v>15.5</v>
      </c>
      <c r="AT932" s="3"/>
      <c r="AU932" s="3"/>
    </row>
    <row r="933" spans="1:47" x14ac:dyDescent="0.2">
      <c r="A933" s="115">
        <v>931.00000000000091</v>
      </c>
      <c r="B933" s="3">
        <v>168</v>
      </c>
      <c r="C933" s="3">
        <v>21.931000000000001</v>
      </c>
      <c r="D933" s="129" t="s">
        <v>140</v>
      </c>
      <c r="E933" t="s">
        <v>141</v>
      </c>
      <c r="F933" s="3" t="s">
        <v>61</v>
      </c>
      <c r="G933"/>
      <c r="H933" s="3" t="s">
        <v>61</v>
      </c>
      <c r="I933" s="82">
        <v>44505</v>
      </c>
      <c r="J933" s="17" t="s">
        <v>142</v>
      </c>
      <c r="K933" s="17" t="s">
        <v>203</v>
      </c>
      <c r="L933" s="17"/>
      <c r="M933" s="17">
        <v>160.1</v>
      </c>
      <c r="N933" s="17">
        <v>161.19999999999999</v>
      </c>
      <c r="O933" s="17">
        <v>171.99</v>
      </c>
      <c r="P933" s="17">
        <v>181.84</v>
      </c>
      <c r="Q933" s="17">
        <v>36.46</v>
      </c>
      <c r="R933" s="17">
        <v>25.83</v>
      </c>
      <c r="S933" s="17">
        <v>117.49</v>
      </c>
      <c r="T933" s="17">
        <v>94.47</v>
      </c>
      <c r="U933" s="50">
        <v>57.23</v>
      </c>
      <c r="V933" s="50">
        <v>41.45</v>
      </c>
      <c r="W933" s="50">
        <v>68.09</v>
      </c>
      <c r="X933" s="50">
        <v>83.18</v>
      </c>
      <c r="Y933" s="50">
        <v>33.06</v>
      </c>
      <c r="Z933" s="50">
        <v>89.68</v>
      </c>
      <c r="AA933" s="50">
        <v>68.92</v>
      </c>
      <c r="AB933" s="50">
        <v>63.35</v>
      </c>
      <c r="AC933" s="50">
        <v>13.44</v>
      </c>
      <c r="AD933" s="50">
        <v>40.36</v>
      </c>
      <c r="AE933" s="17">
        <v>40.64</v>
      </c>
      <c r="AF933" s="17">
        <v>41.61</v>
      </c>
      <c r="AG933" s="17">
        <v>31.66</v>
      </c>
      <c r="AH933" s="17">
        <v>33.090000000000003</v>
      </c>
      <c r="AI933" s="17">
        <v>1.2170000000000001</v>
      </c>
      <c r="AJ933" s="17"/>
      <c r="AK933" s="17"/>
      <c r="AL933" s="17">
        <v>13</v>
      </c>
      <c r="AM933" s="17"/>
      <c r="AN933" s="17"/>
      <c r="AO933" s="17">
        <v>11.7</v>
      </c>
      <c r="AP933" s="17">
        <v>60.1</v>
      </c>
      <c r="AQ933" s="17">
        <v>41.9</v>
      </c>
      <c r="AR933" s="17">
        <v>32.1</v>
      </c>
      <c r="AS933" s="17">
        <v>13.4</v>
      </c>
      <c r="AT933" s="3"/>
      <c r="AU933" s="3"/>
    </row>
    <row r="934" spans="1:47" x14ac:dyDescent="0.2">
      <c r="A934" s="115">
        <v>931.99999999999864</v>
      </c>
      <c r="B934" s="3">
        <v>153</v>
      </c>
      <c r="C934" s="3">
        <v>21.931999999999999</v>
      </c>
      <c r="D934" s="129" t="s">
        <v>140</v>
      </c>
      <c r="E934" t="s">
        <v>141</v>
      </c>
      <c r="F934" s="3" t="s">
        <v>61</v>
      </c>
      <c r="G934"/>
      <c r="H934" s="3" t="s">
        <v>61</v>
      </c>
      <c r="I934" s="82">
        <v>44489</v>
      </c>
      <c r="J934" s="17" t="s">
        <v>142</v>
      </c>
      <c r="K934" s="16" t="s">
        <v>203</v>
      </c>
      <c r="L934" s="17"/>
      <c r="M934">
        <v>180.7</v>
      </c>
      <c r="N934" s="17">
        <v>179.4</v>
      </c>
      <c r="O934" s="17">
        <v>175.65</v>
      </c>
      <c r="P934" s="17">
        <v>173.45</v>
      </c>
      <c r="Q934" s="17">
        <v>33.130000000000003</v>
      </c>
      <c r="R934" s="17">
        <v>26.98</v>
      </c>
      <c r="S934" s="17">
        <v>118.57</v>
      </c>
      <c r="T934" s="17">
        <v>100.26</v>
      </c>
      <c r="U934" s="50">
        <v>56.18</v>
      </c>
      <c r="V934" s="50">
        <v>43.37</v>
      </c>
      <c r="W934" s="50">
        <v>64.180000000000007</v>
      </c>
      <c r="X934" s="50">
        <v>79.39</v>
      </c>
      <c r="Y934" s="50">
        <v>35.9</v>
      </c>
      <c r="Z934" s="50">
        <v>85.05</v>
      </c>
      <c r="AA934" s="50">
        <v>66.47</v>
      </c>
      <c r="AB934" s="50">
        <v>62.12</v>
      </c>
      <c r="AC934" s="50">
        <v>15.9</v>
      </c>
      <c r="AD934" s="50">
        <v>45.07</v>
      </c>
      <c r="AE934" s="17">
        <v>35.659999999999997</v>
      </c>
      <c r="AF934" s="17">
        <v>35.96</v>
      </c>
      <c r="AG934" s="17">
        <v>32.130000000000003</v>
      </c>
      <c r="AH934" s="17">
        <v>33.08</v>
      </c>
      <c r="AI934" s="17">
        <v>1.1850000000000001</v>
      </c>
      <c r="AJ934" s="17"/>
      <c r="AK934" s="17"/>
      <c r="AL934" s="17">
        <v>29</v>
      </c>
      <c r="AM934" s="17"/>
      <c r="AN934" s="17"/>
      <c r="AO934" s="17">
        <v>8</v>
      </c>
      <c r="AP934" s="17">
        <v>57.9</v>
      </c>
      <c r="AQ934" s="17">
        <v>49.8</v>
      </c>
      <c r="AR934" s="17">
        <v>32.9</v>
      </c>
      <c r="AS934" s="17">
        <v>14.2</v>
      </c>
      <c r="AT934" s="3"/>
      <c r="AU934" s="3"/>
    </row>
    <row r="935" spans="1:47" x14ac:dyDescent="0.2">
      <c r="A935" s="115">
        <v>932.99999999999977</v>
      </c>
      <c r="B935" s="3" t="s">
        <v>804</v>
      </c>
      <c r="C935" s="3">
        <v>21.933</v>
      </c>
      <c r="D935" s="129" t="s">
        <v>140</v>
      </c>
      <c r="E935" t="s">
        <v>141</v>
      </c>
      <c r="F935" s="3" t="s">
        <v>61</v>
      </c>
      <c r="G935"/>
      <c r="H935" s="3" t="s">
        <v>61</v>
      </c>
      <c r="I935" s="82">
        <v>44507</v>
      </c>
      <c r="J935" s="17" t="s">
        <v>142</v>
      </c>
      <c r="K935" s="17" t="s">
        <v>203</v>
      </c>
      <c r="L935" s="17"/>
      <c r="M935" s="17">
        <v>175.2</v>
      </c>
      <c r="N935" s="17">
        <v>178.5</v>
      </c>
      <c r="O935" s="17">
        <v>173.88</v>
      </c>
      <c r="P935" s="17">
        <v>182.07</v>
      </c>
      <c r="Q935" s="17">
        <v>35.880000000000003</v>
      </c>
      <c r="R935" s="17">
        <v>27.15</v>
      </c>
      <c r="S935" s="17">
        <v>118.23</v>
      </c>
      <c r="T935" s="17">
        <v>96.39</v>
      </c>
      <c r="U935" s="50">
        <v>58.14</v>
      </c>
      <c r="V935" s="50">
        <v>41.46</v>
      </c>
      <c r="W935" s="50">
        <v>67.27</v>
      </c>
      <c r="X935" s="50">
        <v>81.69</v>
      </c>
      <c r="Y935" s="50">
        <v>37.090000000000003</v>
      </c>
      <c r="Z935" s="50">
        <v>90.73</v>
      </c>
      <c r="AA935" s="50">
        <v>72.17</v>
      </c>
      <c r="AB935" s="50">
        <v>64.760000000000005</v>
      </c>
      <c r="AC935" s="50">
        <v>13.03</v>
      </c>
      <c r="AD935" s="50">
        <v>43.04</v>
      </c>
      <c r="AE935" s="17">
        <v>39.880000000000003</v>
      </c>
      <c r="AF935" s="17">
        <v>41.72</v>
      </c>
      <c r="AG935" s="17">
        <v>39.53</v>
      </c>
      <c r="AH935" s="17">
        <v>36.32</v>
      </c>
      <c r="AI935" s="17">
        <v>1.3009999999999999</v>
      </c>
      <c r="AJ935" s="17"/>
      <c r="AK935" s="17"/>
      <c r="AL935" s="17">
        <v>25</v>
      </c>
      <c r="AM935" s="17"/>
      <c r="AN935" s="17"/>
      <c r="AO935" s="17">
        <v>9.6</v>
      </c>
      <c r="AP935" s="17">
        <v>64.099999999999994</v>
      </c>
      <c r="AQ935" s="17">
        <v>42.9</v>
      </c>
      <c r="AR935" s="17">
        <v>35.9</v>
      </c>
      <c r="AS935" s="17">
        <v>15.4</v>
      </c>
      <c r="AT935" s="3"/>
      <c r="AU935" s="3"/>
    </row>
    <row r="936" spans="1:47" x14ac:dyDescent="0.2">
      <c r="A936" s="115">
        <v>934.00000000000102</v>
      </c>
      <c r="B936" s="3">
        <v>89</v>
      </c>
      <c r="C936" s="3">
        <v>21.934000000000001</v>
      </c>
      <c r="D936" s="139" t="s">
        <v>179</v>
      </c>
      <c r="E936" s="17" t="s">
        <v>180</v>
      </c>
      <c r="F936" s="17" t="s">
        <v>181</v>
      </c>
      <c r="G936" s="3">
        <v>8</v>
      </c>
      <c r="H936" s="17"/>
      <c r="I936" s="82">
        <v>44546</v>
      </c>
      <c r="J936" s="17" t="s">
        <v>142</v>
      </c>
      <c r="K936" s="17" t="s">
        <v>235</v>
      </c>
      <c r="L936"/>
      <c r="M936" s="17">
        <v>265</v>
      </c>
      <c r="N936" s="17">
        <v>262.62</v>
      </c>
      <c r="O936" s="17">
        <v>196.51</v>
      </c>
      <c r="P936" s="17">
        <v>203.9</v>
      </c>
      <c r="Q936" s="17">
        <v>49.97</v>
      </c>
      <c r="R936" s="17">
        <v>19.62</v>
      </c>
      <c r="S936" s="17">
        <v>127.83</v>
      </c>
      <c r="T936" s="17">
        <v>108.47</v>
      </c>
      <c r="U936" s="50">
        <v>55.39</v>
      </c>
      <c r="V936" s="50">
        <v>46.1</v>
      </c>
      <c r="W936" s="50">
        <v>63.42</v>
      </c>
      <c r="X936" s="50">
        <v>82.27</v>
      </c>
      <c r="Y936" s="50">
        <v>43.17</v>
      </c>
      <c r="Z936" s="50">
        <v>93.85</v>
      </c>
      <c r="AA936" s="50">
        <v>79.27</v>
      </c>
      <c r="AB936" s="50">
        <v>66.180000000000007</v>
      </c>
      <c r="AC936" s="50">
        <v>10.07</v>
      </c>
      <c r="AD936" s="50">
        <v>54.28</v>
      </c>
      <c r="AE936" s="17">
        <v>28.41</v>
      </c>
      <c r="AF936" s="17">
        <v>42.8</v>
      </c>
      <c r="AG936" s="17">
        <v>32.58</v>
      </c>
      <c r="AH936" s="17">
        <v>44.41</v>
      </c>
      <c r="AI936" s="17">
        <v>1.5189999999999999</v>
      </c>
      <c r="AJ936" s="17">
        <v>24.51</v>
      </c>
      <c r="AK936" s="17" t="s">
        <v>172</v>
      </c>
      <c r="AL936" s="17"/>
      <c r="AM936" s="17"/>
      <c r="AN936" s="17">
        <v>113</v>
      </c>
      <c r="AO936" s="17"/>
      <c r="AP936" s="17"/>
      <c r="AQ936" s="17"/>
      <c r="AR936" s="17"/>
      <c r="AS936" s="17"/>
      <c r="AT936" s="17" t="s">
        <v>175</v>
      </c>
      <c r="AU936" s="17" t="s">
        <v>174</v>
      </c>
    </row>
    <row r="937" spans="1:47" x14ac:dyDescent="0.2">
      <c r="A937" s="115">
        <v>934.99999999999875</v>
      </c>
      <c r="B937" s="3">
        <v>91</v>
      </c>
      <c r="C937" s="3">
        <v>21.934999999999999</v>
      </c>
      <c r="D937" s="139" t="s">
        <v>179</v>
      </c>
      <c r="E937" s="17" t="s">
        <v>180</v>
      </c>
      <c r="F937" s="17" t="s">
        <v>181</v>
      </c>
      <c r="G937" s="17"/>
      <c r="H937" s="3" t="s">
        <v>182</v>
      </c>
      <c r="I937" s="82">
        <v>44546</v>
      </c>
      <c r="J937" s="17" t="s">
        <v>142</v>
      </c>
      <c r="K937" s="17" t="s">
        <v>235</v>
      </c>
      <c r="L937"/>
      <c r="M937" s="17">
        <v>255</v>
      </c>
      <c r="N937" s="17">
        <v>256.67</v>
      </c>
      <c r="O937" s="17">
        <v>188.97</v>
      </c>
      <c r="P937" s="17">
        <v>192.89</v>
      </c>
      <c r="Q937" s="17">
        <v>47.9</v>
      </c>
      <c r="R937" s="17">
        <v>18.899999999999999</v>
      </c>
      <c r="S937" s="17">
        <v>126.31</v>
      </c>
      <c r="T937" s="17">
        <v>106.84</v>
      </c>
      <c r="U937" s="50">
        <v>56.69</v>
      </c>
      <c r="V937" s="50">
        <v>44.66</v>
      </c>
      <c r="W937" s="50">
        <v>61.78</v>
      </c>
      <c r="X937" s="50">
        <v>82.38</v>
      </c>
      <c r="Y937" s="50">
        <v>41.39</v>
      </c>
      <c r="Z937" s="50">
        <v>93.83</v>
      </c>
      <c r="AA937" s="50">
        <v>80.239999999999995</v>
      </c>
      <c r="AB937" s="50">
        <v>65.52</v>
      </c>
      <c r="AC937" s="50">
        <v>13.94</v>
      </c>
      <c r="AD937" s="50">
        <v>54.78</v>
      </c>
      <c r="AE937" s="17">
        <v>31.58</v>
      </c>
      <c r="AF937" s="17">
        <v>35.799999999999997</v>
      </c>
      <c r="AG937" s="17">
        <v>28.57</v>
      </c>
      <c r="AH937" s="17">
        <v>40.04</v>
      </c>
      <c r="AI937" s="17">
        <v>1.3580000000000001</v>
      </c>
      <c r="AJ937" s="17">
        <v>24.62</v>
      </c>
      <c r="AK937" s="17" t="s">
        <v>172</v>
      </c>
      <c r="AL937" s="17"/>
      <c r="AM937" s="17"/>
      <c r="AN937" s="17">
        <v>127</v>
      </c>
      <c r="AO937" s="17"/>
      <c r="AP937" s="17"/>
      <c r="AQ937" s="17"/>
      <c r="AR937" s="17"/>
      <c r="AS937" s="17"/>
      <c r="AT937" s="17" t="s">
        <v>175</v>
      </c>
      <c r="AU937" s="17" t="s">
        <v>174</v>
      </c>
    </row>
    <row r="938" spans="1:47" x14ac:dyDescent="0.2">
      <c r="A938" s="115">
        <v>936</v>
      </c>
      <c r="B938" s="3">
        <v>92</v>
      </c>
      <c r="C938" s="3">
        <v>21.936</v>
      </c>
      <c r="D938" s="139" t="s">
        <v>179</v>
      </c>
      <c r="E938" s="17" t="s">
        <v>180</v>
      </c>
      <c r="F938" s="17" t="s">
        <v>181</v>
      </c>
      <c r="G938" s="17"/>
      <c r="H938" s="3" t="s">
        <v>182</v>
      </c>
      <c r="I938" s="82">
        <v>44554</v>
      </c>
      <c r="J938" s="17" t="s">
        <v>142</v>
      </c>
      <c r="K938" s="17" t="s">
        <v>235</v>
      </c>
      <c r="L938"/>
      <c r="M938" s="17">
        <v>250</v>
      </c>
      <c r="N938" s="17">
        <v>249.14</v>
      </c>
      <c r="O938" s="17">
        <v>187.15</v>
      </c>
      <c r="P938" s="17">
        <v>197.83</v>
      </c>
      <c r="Q938" s="17">
        <v>42.74</v>
      </c>
      <c r="R938" s="17">
        <v>17.73</v>
      </c>
      <c r="S938" s="17">
        <v>132.16999999999999</v>
      </c>
      <c r="T938" s="17">
        <v>112.35</v>
      </c>
      <c r="U938" s="50">
        <v>58.45</v>
      </c>
      <c r="V938" s="50">
        <v>44.84</v>
      </c>
      <c r="W938" s="50">
        <v>64.8</v>
      </c>
      <c r="X938" s="50">
        <v>83.66</v>
      </c>
      <c r="Y938" s="50">
        <v>38.17</v>
      </c>
      <c r="Z938" s="50">
        <v>94.36</v>
      </c>
      <c r="AA938" s="50">
        <v>79.84</v>
      </c>
      <c r="AB938" s="50">
        <v>61.44</v>
      </c>
      <c r="AC938" s="50">
        <v>12.53</v>
      </c>
      <c r="AD938" s="50">
        <v>53.44</v>
      </c>
      <c r="AE938" s="17">
        <v>25.26</v>
      </c>
      <c r="AF938" s="17">
        <v>29.85</v>
      </c>
      <c r="AG938" s="17">
        <v>25.99</v>
      </c>
      <c r="AH938" s="17">
        <v>40.619999999999997</v>
      </c>
      <c r="AI938" s="17">
        <v>1.4379999999999999</v>
      </c>
      <c r="AJ938" s="17">
        <v>27.08</v>
      </c>
      <c r="AK938" s="17" t="s">
        <v>173</v>
      </c>
      <c r="AL938" s="17">
        <v>16</v>
      </c>
      <c r="AM938" s="17"/>
      <c r="AN938" s="17">
        <v>107</v>
      </c>
      <c r="AO938" s="17"/>
      <c r="AP938" s="17"/>
      <c r="AQ938" s="17"/>
      <c r="AR938" s="17"/>
      <c r="AS938" s="17"/>
      <c r="AT938" s="17" t="s">
        <v>175</v>
      </c>
      <c r="AU938" s="17" t="s">
        <v>174</v>
      </c>
    </row>
    <row r="939" spans="1:47" x14ac:dyDescent="0.2">
      <c r="A939" s="115">
        <v>937.00000000000114</v>
      </c>
      <c r="B939" s="3">
        <v>94</v>
      </c>
      <c r="C939" s="3">
        <v>21.937000000000001</v>
      </c>
      <c r="D939" s="139" t="s">
        <v>179</v>
      </c>
      <c r="E939" s="17" t="s">
        <v>180</v>
      </c>
      <c r="F939" s="17" t="s">
        <v>181</v>
      </c>
      <c r="G939" s="17"/>
      <c r="H939" s="3" t="s">
        <v>182</v>
      </c>
      <c r="I939" s="82">
        <v>44554</v>
      </c>
      <c r="J939" s="17" t="s">
        <v>142</v>
      </c>
      <c r="K939" s="17" t="s">
        <v>235</v>
      </c>
      <c r="L939"/>
      <c r="M939" s="17">
        <v>275</v>
      </c>
      <c r="N939" s="17">
        <v>275.32</v>
      </c>
      <c r="O939" s="17">
        <v>198.59</v>
      </c>
      <c r="P939" s="17">
        <v>203.91</v>
      </c>
      <c r="Q939" s="17">
        <v>50.94</v>
      </c>
      <c r="R939" s="17">
        <v>21.75</v>
      </c>
      <c r="S939" s="17">
        <v>136.12</v>
      </c>
      <c r="T939" s="17">
        <v>116.5</v>
      </c>
      <c r="U939" s="50">
        <v>59</v>
      </c>
      <c r="V939" s="50">
        <v>46.73</v>
      </c>
      <c r="W939" s="50">
        <v>69.290000000000006</v>
      </c>
      <c r="X939" s="50">
        <v>82.46</v>
      </c>
      <c r="Y939" s="50">
        <v>44.98</v>
      </c>
      <c r="Z939" s="50">
        <v>92.63</v>
      </c>
      <c r="AA939" s="50">
        <v>79.77</v>
      </c>
      <c r="AB939" s="50">
        <v>64.47</v>
      </c>
      <c r="AC939" s="50">
        <v>15.47</v>
      </c>
      <c r="AD939" s="50">
        <v>56.12</v>
      </c>
      <c r="AE939" s="17">
        <v>26.91</v>
      </c>
      <c r="AF939" s="17">
        <v>36.979999999999997</v>
      </c>
      <c r="AG939" s="17">
        <v>34.33</v>
      </c>
      <c r="AH939" s="17">
        <v>41.31</v>
      </c>
      <c r="AI939" s="17">
        <v>1.115</v>
      </c>
      <c r="AJ939" s="17">
        <v>29.58</v>
      </c>
      <c r="AK939" s="17" t="s">
        <v>173</v>
      </c>
      <c r="AL939" s="17">
        <v>7</v>
      </c>
      <c r="AM939" s="17"/>
      <c r="AN939" s="17">
        <v>122</v>
      </c>
      <c r="AO939" s="17"/>
      <c r="AP939" s="17"/>
      <c r="AQ939" s="17"/>
      <c r="AR939" s="17"/>
      <c r="AS939" s="17"/>
      <c r="AT939" s="17" t="s">
        <v>175</v>
      </c>
      <c r="AU939" s="17" t="s">
        <v>174</v>
      </c>
    </row>
    <row r="940" spans="1:47" x14ac:dyDescent="0.2">
      <c r="A940" s="115">
        <v>937.99999999999886</v>
      </c>
      <c r="B940" s="3">
        <v>93</v>
      </c>
      <c r="C940" s="3">
        <v>21.937999999999999</v>
      </c>
      <c r="D940" s="139" t="s">
        <v>179</v>
      </c>
      <c r="E940" s="17" t="s">
        <v>180</v>
      </c>
      <c r="F940" s="17" t="s">
        <v>181</v>
      </c>
      <c r="H940" s="3">
        <v>259</v>
      </c>
      <c r="I940" s="82">
        <v>44554</v>
      </c>
      <c r="J940" s="17" t="s">
        <v>142</v>
      </c>
      <c r="K940" s="17" t="s">
        <v>235</v>
      </c>
      <c r="L940"/>
      <c r="M940" s="17">
        <v>275</v>
      </c>
      <c r="N940" s="17">
        <v>280.75</v>
      </c>
      <c r="O940" s="17">
        <v>197.36</v>
      </c>
      <c r="P940" s="17">
        <v>202.48</v>
      </c>
      <c r="Q940" s="17">
        <v>50.84</v>
      </c>
      <c r="R940" s="17">
        <v>19.059999999999999</v>
      </c>
      <c r="S940" s="17">
        <v>132.35</v>
      </c>
      <c r="T940" s="17">
        <v>113.73</v>
      </c>
      <c r="U940" s="50">
        <v>54.75</v>
      </c>
      <c r="V940" s="50">
        <v>45.8</v>
      </c>
      <c r="W940" s="50">
        <v>64.06</v>
      </c>
      <c r="X940" s="50">
        <v>83.22</v>
      </c>
      <c r="Y940" s="50">
        <v>43.45</v>
      </c>
      <c r="Z940" s="50">
        <v>93.71</v>
      </c>
      <c r="AA940" s="50">
        <v>78.13</v>
      </c>
      <c r="AB940" s="50">
        <v>66.77</v>
      </c>
      <c r="AC940" s="50">
        <v>11.83</v>
      </c>
      <c r="AD940" s="50">
        <v>55.49</v>
      </c>
      <c r="AE940" s="17">
        <v>30.38</v>
      </c>
      <c r="AF940" s="17">
        <v>31.21</v>
      </c>
      <c r="AG940" s="17">
        <v>30.51</v>
      </c>
      <c r="AH940" s="17">
        <v>42.06</v>
      </c>
      <c r="AI940" s="17">
        <v>1.258</v>
      </c>
      <c r="AJ940" s="17">
        <v>28.369999999999997</v>
      </c>
      <c r="AK940" s="17" t="s">
        <v>172</v>
      </c>
      <c r="AL940" s="17"/>
      <c r="AM940" s="17"/>
      <c r="AN940" s="17">
        <v>141</v>
      </c>
      <c r="AO940" s="17"/>
      <c r="AP940" s="17"/>
      <c r="AQ940" s="17"/>
      <c r="AR940" s="17"/>
      <c r="AS940" s="17"/>
      <c r="AT940" s="17" t="s">
        <v>175</v>
      </c>
      <c r="AU940" s="17" t="s">
        <v>174</v>
      </c>
    </row>
    <row r="941" spans="1:47" x14ac:dyDescent="0.2">
      <c r="A941" s="115">
        <v>939</v>
      </c>
      <c r="B941" s="3">
        <v>90</v>
      </c>
      <c r="C941" s="3">
        <v>21.939</v>
      </c>
      <c r="D941" s="139" t="s">
        <v>179</v>
      </c>
      <c r="E941" s="17" t="s">
        <v>180</v>
      </c>
      <c r="F941" s="17" t="s">
        <v>181</v>
      </c>
      <c r="G941" s="3">
        <v>8</v>
      </c>
      <c r="H941" s="17"/>
      <c r="I941" s="82">
        <v>44546</v>
      </c>
      <c r="J941" s="17" t="s">
        <v>142</v>
      </c>
      <c r="K941" s="17" t="s">
        <v>235</v>
      </c>
      <c r="L941"/>
      <c r="M941" s="17">
        <v>265</v>
      </c>
      <c r="N941" s="17">
        <v>263.83</v>
      </c>
      <c r="O941" s="17">
        <v>198.31</v>
      </c>
      <c r="P941" s="17">
        <v>206.74</v>
      </c>
      <c r="Q941" s="17">
        <v>42.88</v>
      </c>
      <c r="R941" s="17">
        <v>22.02</v>
      </c>
      <c r="S941" s="17">
        <v>140.77000000000001</v>
      </c>
      <c r="T941" s="17">
        <v>115.6</v>
      </c>
      <c r="U941" s="50">
        <v>58.53</v>
      </c>
      <c r="V941" s="50">
        <v>47.08</v>
      </c>
      <c r="W941" s="50">
        <v>66.12</v>
      </c>
      <c r="X941" s="50">
        <v>82.26</v>
      </c>
      <c r="Y941" s="50">
        <v>42.39</v>
      </c>
      <c r="Z941" s="50">
        <v>91.79</v>
      </c>
      <c r="AA941" s="50">
        <v>79.03</v>
      </c>
      <c r="AB941" s="50">
        <v>62.07</v>
      </c>
      <c r="AC941" s="50">
        <v>17.100000000000001</v>
      </c>
      <c r="AD941" s="50">
        <v>54.97</v>
      </c>
      <c r="AE941" s="17">
        <v>31.68</v>
      </c>
      <c r="AF941" s="17">
        <v>44.57</v>
      </c>
      <c r="AG941" s="17">
        <v>33</v>
      </c>
      <c r="AH941" s="17">
        <v>42.95</v>
      </c>
      <c r="AI941" s="17">
        <v>1.2549999999999999</v>
      </c>
      <c r="AJ941" s="17">
        <v>29.1</v>
      </c>
      <c r="AK941" s="17" t="s">
        <v>172</v>
      </c>
      <c r="AL941" s="17"/>
      <c r="AM941" s="17"/>
      <c r="AN941" s="17">
        <v>128</v>
      </c>
      <c r="AO941" s="17"/>
      <c r="AP941" s="17"/>
      <c r="AQ941" s="17"/>
      <c r="AR941" s="17"/>
      <c r="AS941" s="17"/>
      <c r="AT941" s="17" t="s">
        <v>175</v>
      </c>
      <c r="AU941" s="17" t="s">
        <v>174</v>
      </c>
    </row>
    <row r="942" spans="1:47" x14ac:dyDescent="0.2">
      <c r="A942" s="115">
        <v>940.00000000000125</v>
      </c>
      <c r="B942" s="3">
        <v>206</v>
      </c>
      <c r="C942" s="12" t="s">
        <v>805</v>
      </c>
      <c r="D942" s="129" t="s">
        <v>140</v>
      </c>
      <c r="E942" t="s">
        <v>141</v>
      </c>
      <c r="F942" s="3" t="s">
        <v>60</v>
      </c>
      <c r="G942" s="17"/>
      <c r="H942" s="3" t="s">
        <v>60</v>
      </c>
      <c r="I942" s="82">
        <v>44558</v>
      </c>
      <c r="J942" s="17" t="s">
        <v>142</v>
      </c>
      <c r="K942" s="17" t="s">
        <v>203</v>
      </c>
      <c r="L942"/>
      <c r="M942">
        <v>215.4</v>
      </c>
      <c r="N942" s="17">
        <v>218.02</v>
      </c>
      <c r="O942">
        <v>154.57</v>
      </c>
      <c r="P942">
        <v>173.21</v>
      </c>
      <c r="Q942">
        <v>27.65</v>
      </c>
      <c r="R942">
        <v>20.62</v>
      </c>
      <c r="S942">
        <v>116.68</v>
      </c>
      <c r="T942">
        <v>97.27</v>
      </c>
      <c r="U942">
        <v>64.150000000000006</v>
      </c>
      <c r="V942">
        <v>51.83</v>
      </c>
      <c r="W942">
        <v>73.47</v>
      </c>
      <c r="X942">
        <v>90.97</v>
      </c>
      <c r="Y942">
        <v>41.75</v>
      </c>
      <c r="Z942">
        <v>96.32</v>
      </c>
      <c r="AA942">
        <v>74.930000000000007</v>
      </c>
      <c r="AB942">
        <v>74.69</v>
      </c>
      <c r="AC942">
        <v>14.12</v>
      </c>
      <c r="AD942">
        <v>45.27</v>
      </c>
      <c r="AE942">
        <v>26.23</v>
      </c>
      <c r="AF942">
        <v>29.25</v>
      </c>
      <c r="AG942">
        <v>27.59</v>
      </c>
      <c r="AH942">
        <v>33.97</v>
      </c>
      <c r="AI942"/>
      <c r="AJ942"/>
      <c r="AK942"/>
      <c r="AL942">
        <v>39</v>
      </c>
      <c r="AM942"/>
      <c r="AN942"/>
      <c r="AO942">
        <v>8.35</v>
      </c>
      <c r="AP942">
        <v>64.41</v>
      </c>
      <c r="AQ942">
        <v>51.86</v>
      </c>
      <c r="AR942">
        <v>49.72</v>
      </c>
      <c r="AS942">
        <v>22.1</v>
      </c>
      <c r="AT942" s="17" t="s">
        <v>147</v>
      </c>
      <c r="AU942" s="17" t="s">
        <v>147</v>
      </c>
    </row>
    <row r="943" spans="1:47" x14ac:dyDescent="0.2">
      <c r="A943" s="115">
        <v>940.99999999999898</v>
      </c>
      <c r="B943" s="3">
        <v>48</v>
      </c>
      <c r="C943" s="3">
        <v>21.940999999999999</v>
      </c>
      <c r="D943" s="129" t="s">
        <v>140</v>
      </c>
      <c r="F943" s="3" t="s">
        <v>60</v>
      </c>
      <c r="G943" s="17"/>
      <c r="H943" s="3" t="s">
        <v>60</v>
      </c>
      <c r="I943" s="82">
        <v>44613</v>
      </c>
      <c r="J943" s="17" t="s">
        <v>142</v>
      </c>
      <c r="K943" s="17" t="s">
        <v>203</v>
      </c>
      <c r="L943" s="17"/>
      <c r="M943" s="17">
        <v>208.02</v>
      </c>
      <c r="N943" s="17">
        <v>208.12</v>
      </c>
      <c r="O943" s="17">
        <v>153.29</v>
      </c>
      <c r="P943" s="17">
        <v>162.74</v>
      </c>
      <c r="Q943" s="17">
        <v>31.98</v>
      </c>
      <c r="R943" s="17">
        <v>14.83</v>
      </c>
      <c r="S943" s="17">
        <v>111.72</v>
      </c>
      <c r="T943" s="17">
        <v>93.58</v>
      </c>
      <c r="U943" s="50">
        <v>63.88</v>
      </c>
      <c r="V943" s="50">
        <v>47.46</v>
      </c>
      <c r="W943" s="50">
        <v>68.87</v>
      </c>
      <c r="X943" s="50">
        <v>83.1</v>
      </c>
      <c r="Y943" s="50">
        <v>35.799999999999997</v>
      </c>
      <c r="Z943" s="50">
        <v>92.12</v>
      </c>
      <c r="AA943" s="50">
        <v>72.58</v>
      </c>
      <c r="AB943" s="50">
        <v>70.569999999999993</v>
      </c>
      <c r="AC943" s="50">
        <v>12.28</v>
      </c>
      <c r="AD943" s="50">
        <v>47.39</v>
      </c>
      <c r="AE943" s="17">
        <v>26.86</v>
      </c>
      <c r="AF943" s="17">
        <v>39.200000000000003</v>
      </c>
      <c r="AG943" s="17">
        <v>28.16</v>
      </c>
      <c r="AH943" s="17">
        <v>42.06</v>
      </c>
      <c r="AI943" s="17"/>
      <c r="AJ943" s="17"/>
      <c r="AK943" s="17"/>
      <c r="AL943" s="17"/>
      <c r="AM943" s="17"/>
      <c r="AN943" s="17"/>
      <c r="AO943" s="17">
        <f>8.94-3.28</f>
        <v>5.66</v>
      </c>
      <c r="AP943" s="17"/>
      <c r="AQ943" s="17">
        <v>130.62</v>
      </c>
      <c r="AR943" s="17">
        <v>50.58</v>
      </c>
      <c r="AS943" s="17">
        <v>21.1</v>
      </c>
      <c r="AT943" s="3"/>
      <c r="AU943" s="3"/>
    </row>
    <row r="944" spans="1:47" x14ac:dyDescent="0.2">
      <c r="A944" s="115">
        <v>942.00000000000023</v>
      </c>
      <c r="B944" s="3">
        <v>208</v>
      </c>
      <c r="C944" s="3">
        <v>21.942</v>
      </c>
      <c r="D944" s="129" t="s">
        <v>140</v>
      </c>
      <c r="E944" t="s">
        <v>141</v>
      </c>
      <c r="F944" s="3" t="s">
        <v>60</v>
      </c>
      <c r="G944" s="17"/>
      <c r="H944" s="3" t="s">
        <v>60</v>
      </c>
      <c r="I944" s="82">
        <v>44558</v>
      </c>
      <c r="J944" s="17" t="s">
        <v>142</v>
      </c>
      <c r="K944" s="17" t="s">
        <v>203</v>
      </c>
      <c r="L944"/>
      <c r="M944">
        <v>216.1</v>
      </c>
      <c r="N944" s="17">
        <v>217.19</v>
      </c>
      <c r="O944">
        <v>150.79</v>
      </c>
      <c r="P944">
        <v>166.18</v>
      </c>
      <c r="Q944">
        <v>23.41</v>
      </c>
      <c r="R944">
        <v>16.89</v>
      </c>
      <c r="S944">
        <v>115.06</v>
      </c>
      <c r="T944">
        <v>93.83</v>
      </c>
      <c r="U944">
        <v>65.64</v>
      </c>
      <c r="V944">
        <v>49.57</v>
      </c>
      <c r="W944">
        <v>74.17</v>
      </c>
      <c r="X944">
        <v>89.71</v>
      </c>
      <c r="Y944">
        <v>41.27</v>
      </c>
      <c r="Z944">
        <v>96.6</v>
      </c>
      <c r="AA944">
        <v>75.66</v>
      </c>
      <c r="AB944">
        <v>75.540000000000006</v>
      </c>
      <c r="AC944">
        <v>16.25</v>
      </c>
      <c r="AD944">
        <v>46.23</v>
      </c>
      <c r="AE944">
        <v>25.52</v>
      </c>
      <c r="AF944">
        <v>37.68</v>
      </c>
      <c r="AG944">
        <v>33.17</v>
      </c>
      <c r="AH944">
        <v>34.74</v>
      </c>
      <c r="AI944"/>
      <c r="AJ944"/>
      <c r="AK944"/>
      <c r="AL944"/>
      <c r="AM944"/>
      <c r="AN944"/>
      <c r="AO944">
        <v>12.49</v>
      </c>
      <c r="AP944">
        <v>58.18</v>
      </c>
      <c r="AQ944">
        <v>93.02</v>
      </c>
      <c r="AR944">
        <v>49.59</v>
      </c>
      <c r="AS944">
        <v>21.4</v>
      </c>
    </row>
    <row r="945" spans="1:47" x14ac:dyDescent="0.2">
      <c r="A945" s="115">
        <v>943.00000000000136</v>
      </c>
      <c r="B945" s="3" t="s">
        <v>806</v>
      </c>
      <c r="C945" s="3">
        <v>21.943000000000001</v>
      </c>
      <c r="D945" s="155" t="s">
        <v>151</v>
      </c>
      <c r="E945" t="s">
        <v>162</v>
      </c>
      <c r="F945" s="3" t="s">
        <v>88</v>
      </c>
      <c r="G945" s="3" t="s">
        <v>88</v>
      </c>
      <c r="H945" s="17"/>
      <c r="I945" s="82">
        <v>44333</v>
      </c>
      <c r="J945" s="3" t="s">
        <v>492</v>
      </c>
      <c r="K945" s="3" t="s">
        <v>235</v>
      </c>
      <c r="N945" s="3">
        <v>254.9</v>
      </c>
      <c r="U945" s="6"/>
      <c r="V945" s="6"/>
      <c r="W945" s="6"/>
      <c r="X945" s="6"/>
      <c r="Y945" s="6"/>
      <c r="Z945" s="6"/>
      <c r="AA945" s="6"/>
      <c r="AB945" s="6"/>
      <c r="AC945" s="6"/>
      <c r="AD945" s="6"/>
      <c r="AI945" s="3">
        <v>1.752</v>
      </c>
      <c r="AQ945" s="3">
        <f>118.1+78.8</f>
        <v>196.89999999999998</v>
      </c>
      <c r="AR945" s="3">
        <v>57.9</v>
      </c>
      <c r="AS945" s="3">
        <v>24.8</v>
      </c>
      <c r="AT945" s="17" t="s">
        <v>147</v>
      </c>
      <c r="AU945" s="17" t="s">
        <v>147</v>
      </c>
    </row>
    <row r="946" spans="1:47" x14ac:dyDescent="0.2">
      <c r="A946" s="115">
        <v>943.99999999999909</v>
      </c>
      <c r="B946" s="3">
        <v>83</v>
      </c>
      <c r="C946" s="3">
        <v>21.943999999999999</v>
      </c>
      <c r="D946" s="139" t="s">
        <v>179</v>
      </c>
      <c r="E946" s="17" t="s">
        <v>180</v>
      </c>
      <c r="F946" s="17" t="s">
        <v>181</v>
      </c>
      <c r="G946" s="17"/>
      <c r="H946" s="3" t="s">
        <v>268</v>
      </c>
      <c r="I946" s="82">
        <v>44521</v>
      </c>
      <c r="J946" s="17" t="s">
        <v>142</v>
      </c>
      <c r="K946" s="17" t="s">
        <v>235</v>
      </c>
      <c r="L946" s="17"/>
      <c r="M946" s="17">
        <v>255</v>
      </c>
      <c r="N946" s="17">
        <v>253.53</v>
      </c>
      <c r="O946" s="17">
        <v>192.83</v>
      </c>
      <c r="P946" s="17">
        <v>196.09</v>
      </c>
      <c r="Q946" s="17">
        <v>48.03</v>
      </c>
      <c r="R946" s="17">
        <v>23.2</v>
      </c>
      <c r="S946" s="17">
        <v>129.49</v>
      </c>
      <c r="T946" s="17">
        <v>107.14</v>
      </c>
      <c r="U946" s="50">
        <v>52.26</v>
      </c>
      <c r="V946" s="50">
        <v>46.01</v>
      </c>
      <c r="W946" s="50">
        <v>63.91</v>
      </c>
      <c r="X946" s="50">
        <v>79.52</v>
      </c>
      <c r="Y946" s="50">
        <v>38.67</v>
      </c>
      <c r="Z946" s="50">
        <v>93.77</v>
      </c>
      <c r="AA946" s="50">
        <v>81.19</v>
      </c>
      <c r="AB946" s="50">
        <v>66.8</v>
      </c>
      <c r="AC946" s="50">
        <v>15.9</v>
      </c>
      <c r="AD946" s="50">
        <v>51.93</v>
      </c>
      <c r="AE946" s="17">
        <v>32.19</v>
      </c>
      <c r="AF946" s="17">
        <v>36.51</v>
      </c>
      <c r="AG946" s="17">
        <v>31.84</v>
      </c>
      <c r="AH946" s="17">
        <v>36.950000000000003</v>
      </c>
      <c r="AI946" s="17">
        <v>1.1120000000000001</v>
      </c>
      <c r="AJ946" s="17">
        <v>40.25</v>
      </c>
      <c r="AK946" s="17" t="s">
        <v>173</v>
      </c>
      <c r="AL946" s="17"/>
      <c r="AM946" s="17"/>
      <c r="AN946" s="17"/>
      <c r="AO946" s="17"/>
      <c r="AP946" s="17"/>
      <c r="AQ946" s="17">
        <v>102.9</v>
      </c>
      <c r="AR946" s="17"/>
      <c r="AS946" s="17"/>
      <c r="AT946" s="17" t="s">
        <v>175</v>
      </c>
      <c r="AU946" s="17" t="s">
        <v>174</v>
      </c>
    </row>
    <row r="947" spans="1:47" x14ac:dyDescent="0.2">
      <c r="A947" s="115">
        <v>945.00000000000023</v>
      </c>
      <c r="B947" s="3">
        <v>85</v>
      </c>
      <c r="C947" s="3">
        <v>21.945</v>
      </c>
      <c r="D947" s="139" t="s">
        <v>179</v>
      </c>
      <c r="E947" s="17" t="s">
        <v>180</v>
      </c>
      <c r="F947" s="17" t="s">
        <v>181</v>
      </c>
      <c r="G947" s="17"/>
      <c r="H947" s="3" t="s">
        <v>182</v>
      </c>
      <c r="I947" s="82">
        <v>44521</v>
      </c>
      <c r="J947" s="17" t="s">
        <v>142</v>
      </c>
      <c r="K947" s="17" t="s">
        <v>235</v>
      </c>
      <c r="L947" s="17"/>
      <c r="M947" s="17">
        <v>275</v>
      </c>
      <c r="N947" s="17">
        <v>281.39999999999998</v>
      </c>
      <c r="O947" s="17">
        <v>186.39</v>
      </c>
      <c r="P947" s="17">
        <v>192.32</v>
      </c>
      <c r="Q947" s="17">
        <v>37.270000000000003</v>
      </c>
      <c r="R947" s="17">
        <v>17.739999999999998</v>
      </c>
      <c r="S947" s="17">
        <v>131.69</v>
      </c>
      <c r="T947" s="17">
        <v>106.7</v>
      </c>
      <c r="U947" s="50">
        <v>59.83</v>
      </c>
      <c r="V947" s="50">
        <v>44.45</v>
      </c>
      <c r="W947" s="50">
        <v>67.48</v>
      </c>
      <c r="X947" s="50">
        <v>84.45</v>
      </c>
      <c r="Y947" s="50">
        <v>41.05</v>
      </c>
      <c r="Z947" s="50">
        <v>94.85</v>
      </c>
      <c r="AA947" s="50">
        <v>86.03</v>
      </c>
      <c r="AB947" s="50">
        <v>72.900000000000006</v>
      </c>
      <c r="AC947" s="50">
        <v>13.3</v>
      </c>
      <c r="AD947" s="50">
        <v>54.45</v>
      </c>
      <c r="AE947" s="17">
        <v>30.2</v>
      </c>
      <c r="AF947" s="17">
        <v>38.19</v>
      </c>
      <c r="AG947" s="17">
        <v>34.11</v>
      </c>
      <c r="AH947" s="17">
        <v>39.270000000000003</v>
      </c>
      <c r="AI947" s="17">
        <v>1.129</v>
      </c>
      <c r="AJ947" s="17">
        <v>34.07</v>
      </c>
      <c r="AK947" s="17" t="s">
        <v>172</v>
      </c>
      <c r="AL947" s="17"/>
      <c r="AM947" s="17"/>
      <c r="AN947" s="17">
        <v>131</v>
      </c>
      <c r="AO947" s="17"/>
      <c r="AP947" s="17"/>
      <c r="AQ947" s="17"/>
      <c r="AR947" s="17"/>
      <c r="AS947" s="17"/>
      <c r="AT947" s="17" t="s">
        <v>175</v>
      </c>
      <c r="AU947" s="17" t="s">
        <v>174</v>
      </c>
    </row>
    <row r="948" spans="1:47" x14ac:dyDescent="0.2">
      <c r="A948" s="115">
        <v>946.00000000000148</v>
      </c>
      <c r="B948" s="3">
        <v>84</v>
      </c>
      <c r="C948" s="3">
        <v>21.946000000000002</v>
      </c>
      <c r="D948" s="139" t="s">
        <v>179</v>
      </c>
      <c r="E948" s="17" t="s">
        <v>180</v>
      </c>
      <c r="F948" s="17" t="s">
        <v>181</v>
      </c>
      <c r="G948" s="3">
        <v>259</v>
      </c>
      <c r="I948" s="82">
        <v>44521</v>
      </c>
      <c r="J948" s="17" t="s">
        <v>142</v>
      </c>
      <c r="K948" s="17" t="s">
        <v>235</v>
      </c>
      <c r="L948" s="17"/>
      <c r="M948" s="17">
        <v>255</v>
      </c>
      <c r="N948" s="17">
        <v>257.75</v>
      </c>
      <c r="O948" s="17">
        <v>186.26</v>
      </c>
      <c r="P948" s="17">
        <v>194.04</v>
      </c>
      <c r="Q948" s="17">
        <v>43.73</v>
      </c>
      <c r="R948" s="17">
        <v>20.260000000000002</v>
      </c>
      <c r="S948" s="17">
        <v>129.78</v>
      </c>
      <c r="T948" s="17">
        <v>103.01</v>
      </c>
      <c r="U948" s="50">
        <v>55.68</v>
      </c>
      <c r="V948" s="50">
        <v>45.99</v>
      </c>
      <c r="W948" s="50">
        <v>66.59</v>
      </c>
      <c r="X948" s="50">
        <v>83.62</v>
      </c>
      <c r="Y948" s="50">
        <v>39.299999999999997</v>
      </c>
      <c r="Z948" s="50">
        <v>94.53</v>
      </c>
      <c r="AA948" s="50">
        <v>84.22</v>
      </c>
      <c r="AB948" s="50">
        <v>70.13</v>
      </c>
      <c r="AC948" s="50">
        <v>11.16</v>
      </c>
      <c r="AD948" s="50">
        <v>51.8</v>
      </c>
      <c r="AE948" s="17">
        <v>30.34</v>
      </c>
      <c r="AF948" s="17">
        <v>36.18</v>
      </c>
      <c r="AG948" s="17">
        <v>35.229999999999997</v>
      </c>
      <c r="AH948" s="17">
        <v>42.47</v>
      </c>
      <c r="AI948" s="17">
        <v>1.2050000000000001</v>
      </c>
      <c r="AJ948" s="17">
        <v>40.18</v>
      </c>
      <c r="AK948" s="17" t="s">
        <v>173</v>
      </c>
      <c r="AL948" s="17"/>
      <c r="AM948" s="17"/>
      <c r="AN948" s="17">
        <v>117</v>
      </c>
      <c r="AO948" s="17"/>
      <c r="AP948" s="17"/>
      <c r="AQ948" s="17"/>
      <c r="AR948" s="17"/>
      <c r="AS948" s="17"/>
      <c r="AT948" s="17" t="s">
        <v>175</v>
      </c>
      <c r="AU948" s="17" t="s">
        <v>174</v>
      </c>
    </row>
    <row r="949" spans="1:47" x14ac:dyDescent="0.2">
      <c r="A949" s="115">
        <v>946.9999999999992</v>
      </c>
      <c r="B949" s="3">
        <v>82</v>
      </c>
      <c r="C949" s="3">
        <v>21.946999999999999</v>
      </c>
      <c r="D949" s="139" t="s">
        <v>179</v>
      </c>
      <c r="E949" s="17" t="s">
        <v>180</v>
      </c>
      <c r="F949" s="17" t="s">
        <v>181</v>
      </c>
      <c r="G949" s="17"/>
      <c r="H949" s="3" t="s">
        <v>268</v>
      </c>
      <c r="I949" s="82">
        <v>44516</v>
      </c>
      <c r="J949" s="17" t="s">
        <v>142</v>
      </c>
      <c r="K949" s="17" t="s">
        <v>235</v>
      </c>
      <c r="L949" s="17"/>
      <c r="M949" s="17">
        <v>255</v>
      </c>
      <c r="N949" s="17">
        <v>255.72</v>
      </c>
      <c r="O949" s="17">
        <v>192.94</v>
      </c>
      <c r="P949" s="17">
        <v>195.94</v>
      </c>
      <c r="Q949" s="17">
        <v>41.52</v>
      </c>
      <c r="R949" s="17">
        <v>18.91</v>
      </c>
      <c r="S949" s="17">
        <v>132.97999999999999</v>
      </c>
      <c r="T949" s="17">
        <v>106.9</v>
      </c>
      <c r="U949" s="50">
        <v>55.77</v>
      </c>
      <c r="V949" s="50">
        <v>45.9</v>
      </c>
      <c r="W949" s="50">
        <v>63.19</v>
      </c>
      <c r="X949" s="50">
        <v>81.59</v>
      </c>
      <c r="Y949" s="50">
        <v>42.27</v>
      </c>
      <c r="Z949" s="50">
        <v>94.14</v>
      </c>
      <c r="AA949" s="50">
        <v>82.41</v>
      </c>
      <c r="AB949" s="50">
        <v>67.22</v>
      </c>
      <c r="AC949" s="50">
        <v>11.52</v>
      </c>
      <c r="AD949" s="50">
        <v>51.94</v>
      </c>
      <c r="AE949" s="17">
        <v>34.57</v>
      </c>
      <c r="AF949" s="17">
        <v>36.47</v>
      </c>
      <c r="AG949" s="17">
        <v>31.93</v>
      </c>
      <c r="AH949" s="17">
        <v>43.94</v>
      </c>
      <c r="AI949" s="17">
        <v>1.069</v>
      </c>
      <c r="AJ949" s="17">
        <v>41.3</v>
      </c>
      <c r="AK949" s="17" t="s">
        <v>173</v>
      </c>
      <c r="AL949" s="17"/>
      <c r="AM949" s="17"/>
      <c r="AN949" s="17">
        <v>103</v>
      </c>
      <c r="AO949" s="17"/>
      <c r="AP949" s="17"/>
      <c r="AQ949" s="17"/>
      <c r="AR949" s="17"/>
      <c r="AS949" s="17"/>
      <c r="AT949" s="17" t="s">
        <v>175</v>
      </c>
      <c r="AU949" s="17" t="s">
        <v>174</v>
      </c>
    </row>
    <row r="950" spans="1:47" x14ac:dyDescent="0.2">
      <c r="A950" s="115">
        <v>948.00000000000045</v>
      </c>
      <c r="B950" s="3">
        <v>81</v>
      </c>
      <c r="C950" s="3">
        <v>21.948</v>
      </c>
      <c r="D950" s="139" t="s">
        <v>179</v>
      </c>
      <c r="E950" s="17" t="s">
        <v>180</v>
      </c>
      <c r="F950" s="17" t="s">
        <v>181</v>
      </c>
      <c r="G950" s="17"/>
      <c r="H950" s="3" t="s">
        <v>268</v>
      </c>
      <c r="I950" s="82">
        <v>44516</v>
      </c>
      <c r="J950" s="17" t="s">
        <v>142</v>
      </c>
      <c r="K950" s="17" t="s">
        <v>235</v>
      </c>
      <c r="L950" s="17"/>
      <c r="M950" s="17">
        <v>275</v>
      </c>
      <c r="N950" s="17">
        <v>291.14</v>
      </c>
      <c r="O950" s="17">
        <v>197.12</v>
      </c>
      <c r="P950" s="17">
        <v>200.96</v>
      </c>
      <c r="Q950" s="17">
        <v>37.39</v>
      </c>
      <c r="R950" s="17">
        <v>22.14</v>
      </c>
      <c r="S950" s="17">
        <v>142.27000000000001</v>
      </c>
      <c r="T950" s="17">
        <v>110.23</v>
      </c>
      <c r="U950" s="50">
        <v>54.9</v>
      </c>
      <c r="V950" s="50">
        <v>44.72</v>
      </c>
      <c r="W950" s="50">
        <v>65.33</v>
      </c>
      <c r="X950" s="50">
        <v>83.11</v>
      </c>
      <c r="Y950" s="50">
        <v>40.39</v>
      </c>
      <c r="Z950" s="50">
        <v>94.13</v>
      </c>
      <c r="AA950" s="50">
        <v>83.23</v>
      </c>
      <c r="AB950" s="50">
        <v>69.88</v>
      </c>
      <c r="AC950" s="50">
        <v>10.83</v>
      </c>
      <c r="AD950" s="50">
        <v>53.78</v>
      </c>
      <c r="AE950" s="17">
        <v>34.79</v>
      </c>
      <c r="AF950" s="17">
        <v>37.47</v>
      </c>
      <c r="AG950" s="17">
        <v>31.88</v>
      </c>
      <c r="AH950" s="17">
        <v>42.45</v>
      </c>
      <c r="AI950" s="17">
        <v>0.97899999999999998</v>
      </c>
      <c r="AJ950" s="17">
        <v>47.81</v>
      </c>
      <c r="AK950" s="17" t="s">
        <v>172</v>
      </c>
      <c r="AL950" s="17"/>
      <c r="AM950" s="17"/>
      <c r="AN950" s="17"/>
      <c r="AO950" s="17"/>
      <c r="AP950" s="17"/>
      <c r="AQ950" s="17">
        <v>125.65</v>
      </c>
      <c r="AR950" s="17"/>
      <c r="AS950" s="17"/>
      <c r="AT950" s="17" t="s">
        <v>175</v>
      </c>
      <c r="AU950" s="17" t="s">
        <v>174</v>
      </c>
    </row>
    <row r="951" spans="1:47" x14ac:dyDescent="0.2">
      <c r="A951" s="115">
        <v>949.00000000000159</v>
      </c>
      <c r="B951" s="3">
        <v>7</v>
      </c>
      <c r="C951" s="3">
        <v>21.949000000000002</v>
      </c>
      <c r="D951" s="85" t="s">
        <v>187</v>
      </c>
      <c r="E951" t="s">
        <v>188</v>
      </c>
      <c r="F951" s="3">
        <v>262</v>
      </c>
      <c r="G951" s="3">
        <v>262</v>
      </c>
      <c r="H951" s="17"/>
      <c r="I951" s="82">
        <v>44545</v>
      </c>
      <c r="J951" s="17" t="s">
        <v>142</v>
      </c>
      <c r="K951" s="17" t="s">
        <v>235</v>
      </c>
      <c r="L951" s="17">
        <v>232</v>
      </c>
      <c r="M951" s="17"/>
      <c r="N951" s="17">
        <v>198.29</v>
      </c>
      <c r="O951" s="17">
        <v>176.54</v>
      </c>
      <c r="P951" s="17">
        <v>185.67</v>
      </c>
      <c r="Q951" s="17">
        <v>44.89</v>
      </c>
      <c r="R951" s="17">
        <v>13.86</v>
      </c>
      <c r="S951" s="17">
        <v>116.53</v>
      </c>
      <c r="T951" s="17">
        <v>94.13</v>
      </c>
      <c r="U951" s="50">
        <v>61.42</v>
      </c>
      <c r="V951" s="50">
        <v>48.29</v>
      </c>
      <c r="W951" s="50">
        <v>64.98</v>
      </c>
      <c r="X951" s="50">
        <v>74.16</v>
      </c>
      <c r="Y951" s="50">
        <v>43.47</v>
      </c>
      <c r="Z951" s="50">
        <v>85.46</v>
      </c>
      <c r="AA951" s="50">
        <v>70.97</v>
      </c>
      <c r="AB951" s="50">
        <v>68.95</v>
      </c>
      <c r="AC951" s="50">
        <v>3</v>
      </c>
      <c r="AD951" s="50">
        <v>46.77</v>
      </c>
      <c r="AE951" s="17">
        <v>33.44</v>
      </c>
      <c r="AF951" s="17">
        <v>41.42</v>
      </c>
      <c r="AG951" s="17">
        <v>34.75</v>
      </c>
      <c r="AH951" s="17">
        <v>38.659999999999997</v>
      </c>
      <c r="AI951" s="17">
        <v>1.113</v>
      </c>
      <c r="AJ951" s="17">
        <v>28.56</v>
      </c>
      <c r="AK951" s="17" t="s">
        <v>172</v>
      </c>
      <c r="AL951" s="17"/>
      <c r="AM951" s="17"/>
      <c r="AN951" s="17">
        <v>97</v>
      </c>
      <c r="AO951" s="17"/>
      <c r="AP951" s="17"/>
      <c r="AQ951" s="17"/>
      <c r="AR951" s="17"/>
      <c r="AS951" s="17"/>
      <c r="AT951" s="17" t="s">
        <v>175</v>
      </c>
      <c r="AU951" s="17" t="s">
        <v>175</v>
      </c>
    </row>
    <row r="952" spans="1:47" x14ac:dyDescent="0.2">
      <c r="A952" s="115">
        <v>949.99999999999932</v>
      </c>
      <c r="B952" s="3">
        <v>11</v>
      </c>
      <c r="C952" s="2" t="s">
        <v>78</v>
      </c>
      <c r="D952" s="85" t="s">
        <v>187</v>
      </c>
      <c r="E952" t="s">
        <v>188</v>
      </c>
      <c r="F952" s="3">
        <v>262</v>
      </c>
      <c r="G952" s="3">
        <v>262</v>
      </c>
      <c r="I952" s="82">
        <v>44557</v>
      </c>
      <c r="J952" s="17" t="s">
        <v>142</v>
      </c>
      <c r="K952" s="17" t="s">
        <v>235</v>
      </c>
      <c r="L952" s="17">
        <v>245</v>
      </c>
      <c r="M952" s="17"/>
      <c r="N952" s="17">
        <v>189.68</v>
      </c>
      <c r="O952" s="17">
        <v>172.43</v>
      </c>
      <c r="P952" s="17">
        <v>185.37</v>
      </c>
      <c r="Q952" s="17">
        <v>46.8</v>
      </c>
      <c r="R952" s="17">
        <v>15.36</v>
      </c>
      <c r="S952" s="17">
        <v>113.81</v>
      </c>
      <c r="T952" s="17">
        <v>87.47</v>
      </c>
      <c r="U952" s="50">
        <v>58.67</v>
      </c>
      <c r="V952" s="50">
        <v>44.01</v>
      </c>
      <c r="W952" s="50">
        <v>61.36</v>
      </c>
      <c r="X952" s="50">
        <v>76.36</v>
      </c>
      <c r="Y952" s="50">
        <v>38.82</v>
      </c>
      <c r="Z952" s="50">
        <v>87.32</v>
      </c>
      <c r="AA952" s="50">
        <v>72.87</v>
      </c>
      <c r="AB952" s="50">
        <v>68.16</v>
      </c>
      <c r="AC952" s="50">
        <v>5.62</v>
      </c>
      <c r="AD952" s="50">
        <v>45.4</v>
      </c>
      <c r="AE952" s="17">
        <v>28.82</v>
      </c>
      <c r="AF952" s="17">
        <v>38.979999999999997</v>
      </c>
      <c r="AG952" s="17">
        <v>38.979999999999997</v>
      </c>
      <c r="AH952" s="17">
        <v>38.94</v>
      </c>
      <c r="AI952" s="17">
        <v>1.0660000000000001</v>
      </c>
      <c r="AJ952" s="17">
        <v>31.85</v>
      </c>
      <c r="AK952" s="17" t="s">
        <v>173</v>
      </c>
      <c r="AL952" s="17"/>
      <c r="AM952" s="17"/>
      <c r="AN952" s="17">
        <v>78</v>
      </c>
      <c r="AO952" s="17"/>
      <c r="AP952" s="17"/>
      <c r="AQ952" s="17"/>
      <c r="AR952" s="17"/>
      <c r="AS952" s="17"/>
      <c r="AT952" s="17" t="s">
        <v>175</v>
      </c>
      <c r="AU952" s="17" t="s">
        <v>175</v>
      </c>
    </row>
    <row r="953" spans="1:47" x14ac:dyDescent="0.2">
      <c r="A953" s="115">
        <v>951.00000000000045</v>
      </c>
      <c r="C953" s="3">
        <v>21.951000000000001</v>
      </c>
      <c r="D953" s="102"/>
      <c r="I953" s="82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 t="s">
        <v>175</v>
      </c>
    </row>
    <row r="954" spans="1:47" x14ac:dyDescent="0.2">
      <c r="A954" s="115">
        <v>952.00000000000171</v>
      </c>
      <c r="C954" s="3">
        <v>21.952000000000002</v>
      </c>
      <c r="D954" s="102"/>
      <c r="I954" s="82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 t="s">
        <v>175</v>
      </c>
    </row>
    <row r="955" spans="1:47" x14ac:dyDescent="0.2">
      <c r="A955" s="115">
        <v>952.99999999999943</v>
      </c>
      <c r="C955" s="3">
        <v>21.952999999999999</v>
      </c>
      <c r="D955" s="102"/>
      <c r="I955" s="82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 t="s">
        <v>175</v>
      </c>
    </row>
    <row r="956" spans="1:47" x14ac:dyDescent="0.2">
      <c r="A956" s="115">
        <v>954.00000000000068</v>
      </c>
      <c r="C956" s="3">
        <v>21.954000000000001</v>
      </c>
      <c r="D956" s="102"/>
      <c r="I956" s="82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 t="s">
        <v>175</v>
      </c>
    </row>
    <row r="957" spans="1:47" x14ac:dyDescent="0.2">
      <c r="A957" s="115">
        <v>954.99999999999829</v>
      </c>
      <c r="C957" s="3">
        <v>21.954999999999998</v>
      </c>
      <c r="D957" s="102"/>
      <c r="I957" s="82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 t="s">
        <v>175</v>
      </c>
    </row>
    <row r="958" spans="1:47" x14ac:dyDescent="0.2">
      <c r="A958" s="115">
        <v>955.99999999999955</v>
      </c>
      <c r="C958" s="3">
        <v>21.956</v>
      </c>
      <c r="D958" s="102"/>
      <c r="I958" s="82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 t="s">
        <v>175</v>
      </c>
    </row>
    <row r="959" spans="1:47" x14ac:dyDescent="0.2">
      <c r="A959" s="115">
        <v>957.00000000000068</v>
      </c>
      <c r="B959" s="3">
        <v>101</v>
      </c>
      <c r="C959" s="3">
        <v>21.957000000000001</v>
      </c>
      <c r="D959" s="65" t="s">
        <v>148</v>
      </c>
      <c r="E959" t="s">
        <v>229</v>
      </c>
      <c r="F959" s="3" t="s">
        <v>688</v>
      </c>
      <c r="G959" s="3" t="s">
        <v>688</v>
      </c>
      <c r="I959" s="63">
        <v>44545</v>
      </c>
      <c r="J959" s="17" t="s">
        <v>142</v>
      </c>
      <c r="K959" s="17" t="s">
        <v>235</v>
      </c>
      <c r="L959" s="17"/>
      <c r="M959" s="17"/>
      <c r="N959" s="17">
        <v>249.11</v>
      </c>
      <c r="O959" s="17">
        <v>168.91</v>
      </c>
      <c r="P959" s="17">
        <v>180.33</v>
      </c>
      <c r="Q959" s="17">
        <v>38.31</v>
      </c>
      <c r="R959" s="17">
        <v>18.14</v>
      </c>
      <c r="S959" s="17">
        <v>118.54</v>
      </c>
      <c r="T959" s="17">
        <v>92.72</v>
      </c>
      <c r="U959" s="50">
        <v>62.16</v>
      </c>
      <c r="V959" s="50">
        <v>50.62</v>
      </c>
      <c r="W959" s="50">
        <v>67.91</v>
      </c>
      <c r="X959" s="50">
        <v>88.3</v>
      </c>
      <c r="Y959" s="50">
        <v>4.2300000000000004</v>
      </c>
      <c r="Z959" s="50">
        <v>97.75</v>
      </c>
      <c r="AA959" s="50">
        <v>84.27</v>
      </c>
      <c r="AB959" s="50">
        <v>76.540000000000006</v>
      </c>
      <c r="AC959" s="50">
        <v>7.76</v>
      </c>
      <c r="AD959" s="50">
        <v>53.94</v>
      </c>
      <c r="AE959" s="17">
        <v>32.33</v>
      </c>
      <c r="AF959" s="17">
        <v>33.83</v>
      </c>
      <c r="AG959" s="17">
        <v>35.020000000000003</v>
      </c>
      <c r="AH959" s="17">
        <v>36.51</v>
      </c>
      <c r="AI959" s="17">
        <v>1.5009999999999999</v>
      </c>
      <c r="AJ959" s="17">
        <v>38.75</v>
      </c>
      <c r="AK959" s="17" t="s">
        <v>172</v>
      </c>
      <c r="AL959" s="17"/>
      <c r="AM959" s="17"/>
      <c r="AN959" s="17">
        <v>113</v>
      </c>
      <c r="AO959" s="17"/>
      <c r="AP959" s="17"/>
      <c r="AQ959" s="17"/>
      <c r="AR959" s="17"/>
      <c r="AS959" s="17"/>
      <c r="AT959" s="17" t="s">
        <v>175</v>
      </c>
      <c r="AU959" s="17" t="s">
        <v>175</v>
      </c>
    </row>
    <row r="960" spans="1:47" x14ac:dyDescent="0.2">
      <c r="A960" s="115">
        <v>957.99999999999841</v>
      </c>
      <c r="B960" s="3">
        <v>108</v>
      </c>
      <c r="C960" s="3">
        <v>21.957999999999998</v>
      </c>
      <c r="D960" s="65" t="s">
        <v>148</v>
      </c>
      <c r="E960" t="s">
        <v>229</v>
      </c>
      <c r="F960" s="3" t="s">
        <v>688</v>
      </c>
      <c r="G960" s="3" t="s">
        <v>688</v>
      </c>
      <c r="I960" s="63">
        <v>44546</v>
      </c>
      <c r="J960" s="17" t="s">
        <v>142</v>
      </c>
      <c r="K960" s="17" t="s">
        <v>235</v>
      </c>
      <c r="L960" s="17"/>
      <c r="M960" s="17"/>
      <c r="N960" s="17">
        <v>249.06</v>
      </c>
      <c r="O960" s="17">
        <v>165.41</v>
      </c>
      <c r="P960" s="17">
        <v>174.21</v>
      </c>
      <c r="Q960" s="17">
        <v>39.450000000000003</v>
      </c>
      <c r="R960" s="17">
        <v>17.7</v>
      </c>
      <c r="S960" s="17">
        <v>114.1</v>
      </c>
      <c r="T960" s="17">
        <v>86.36</v>
      </c>
      <c r="U960" s="50">
        <v>64.849999999999994</v>
      </c>
      <c r="V960" s="50">
        <v>52.87</v>
      </c>
      <c r="W960" s="50">
        <v>70.62</v>
      </c>
      <c r="X960" s="50">
        <v>87</v>
      </c>
      <c r="Y960" s="50">
        <v>42.81</v>
      </c>
      <c r="Z960" s="50">
        <v>96.77</v>
      </c>
      <c r="AA960" s="50">
        <v>80.83</v>
      </c>
      <c r="AB960" s="50">
        <v>80.709999999999994</v>
      </c>
      <c r="AC960" s="50">
        <v>14.94</v>
      </c>
      <c r="AD960" s="50">
        <v>54.3</v>
      </c>
      <c r="AE960" s="50">
        <v>31.42</v>
      </c>
      <c r="AF960" s="17">
        <v>33.64</v>
      </c>
      <c r="AG960" s="17">
        <v>34.229999999999997</v>
      </c>
      <c r="AH960" s="17">
        <v>33.79</v>
      </c>
      <c r="AI960" s="17">
        <v>1.4359999999999999</v>
      </c>
      <c r="AJ960" s="17">
        <v>39.630000000000003</v>
      </c>
      <c r="AK960" s="17" t="s">
        <v>172</v>
      </c>
      <c r="AL960" s="17"/>
      <c r="AM960" s="17"/>
      <c r="AN960" s="17">
        <v>111</v>
      </c>
      <c r="AO960" s="17"/>
      <c r="AP960" s="17"/>
      <c r="AQ960" s="17"/>
      <c r="AR960" s="17"/>
      <c r="AS960" s="17"/>
      <c r="AT960" s="17" t="s">
        <v>175</v>
      </c>
      <c r="AU960" s="17" t="s">
        <v>175</v>
      </c>
    </row>
    <row r="961" spans="1:47" x14ac:dyDescent="0.2">
      <c r="A961" s="115">
        <v>958.99999999999966</v>
      </c>
      <c r="B961" s="3">
        <v>109</v>
      </c>
      <c r="C961" s="3">
        <v>21.959</v>
      </c>
      <c r="D961" s="65" t="s">
        <v>148</v>
      </c>
      <c r="E961" t="s">
        <v>229</v>
      </c>
      <c r="F961" s="3" t="s">
        <v>688</v>
      </c>
      <c r="G961" s="3" t="s">
        <v>688</v>
      </c>
      <c r="I961" s="63">
        <v>44546</v>
      </c>
      <c r="J961" s="17" t="s">
        <v>142</v>
      </c>
      <c r="K961" s="17" t="s">
        <v>235</v>
      </c>
      <c r="L961" s="17"/>
      <c r="M961" s="17"/>
      <c r="N961" s="17">
        <v>246.13</v>
      </c>
      <c r="O961" s="17">
        <v>165.51</v>
      </c>
      <c r="P961" s="17">
        <v>178.6</v>
      </c>
      <c r="Q961" s="17">
        <v>39.26</v>
      </c>
      <c r="R961" s="17">
        <v>18.82</v>
      </c>
      <c r="S961" s="17">
        <v>112.34</v>
      </c>
      <c r="T961" s="17">
        <v>86.7</v>
      </c>
      <c r="U961" s="17">
        <v>66.86</v>
      </c>
      <c r="V961" s="17">
        <v>52.16</v>
      </c>
      <c r="W961" s="50">
        <v>71.53</v>
      </c>
      <c r="X961" s="50">
        <v>86.54</v>
      </c>
      <c r="Y961" s="50">
        <v>36.32</v>
      </c>
      <c r="Z961" s="50">
        <v>97.98</v>
      </c>
      <c r="AA961" s="50">
        <v>81.96</v>
      </c>
      <c r="AB961" s="50">
        <v>82.31</v>
      </c>
      <c r="AC961" s="50">
        <v>9.67</v>
      </c>
      <c r="AD961" s="50">
        <v>55.74</v>
      </c>
      <c r="AE961" s="17">
        <v>30.7</v>
      </c>
      <c r="AF961" s="17">
        <v>32.85</v>
      </c>
      <c r="AG961" s="17">
        <v>31.95</v>
      </c>
      <c r="AH961" s="17">
        <v>33.99</v>
      </c>
      <c r="AI961" s="17">
        <v>1.48</v>
      </c>
      <c r="AJ961" s="17">
        <v>36.61</v>
      </c>
      <c r="AK961" s="17" t="s">
        <v>172</v>
      </c>
      <c r="AL961" s="17"/>
      <c r="AM961" s="17"/>
      <c r="AN961" s="17">
        <v>112</v>
      </c>
      <c r="AO961" s="17"/>
      <c r="AP961" s="17"/>
      <c r="AQ961" s="17"/>
      <c r="AR961" s="17"/>
      <c r="AS961" s="17"/>
      <c r="AT961" s="17" t="s">
        <v>175</v>
      </c>
      <c r="AU961" s="17" t="s">
        <v>175</v>
      </c>
    </row>
    <row r="962" spans="1:47" x14ac:dyDescent="0.2">
      <c r="A962" s="115">
        <v>960.00000000000091</v>
      </c>
      <c r="B962" s="3">
        <v>69</v>
      </c>
      <c r="C962" s="2" t="s">
        <v>86</v>
      </c>
      <c r="D962" s="131" t="s">
        <v>151</v>
      </c>
      <c r="E962" t="s">
        <v>152</v>
      </c>
      <c r="F962" s="3" t="s">
        <v>227</v>
      </c>
      <c r="H962" s="166" t="s">
        <v>159</v>
      </c>
      <c r="I962" s="167">
        <v>44551</v>
      </c>
      <c r="J962" s="3" t="s">
        <v>142</v>
      </c>
      <c r="K962" s="3" t="s">
        <v>235</v>
      </c>
      <c r="N962" s="3">
        <v>290.12</v>
      </c>
      <c r="O962" s="3">
        <v>179.51</v>
      </c>
      <c r="P962" s="3">
        <v>188.82</v>
      </c>
      <c r="Q962" s="3">
        <v>39.880000000000003</v>
      </c>
      <c r="R962" s="3">
        <v>28.49</v>
      </c>
      <c r="S962" s="3">
        <v>120.91</v>
      </c>
      <c r="T962" s="3">
        <v>95.67</v>
      </c>
      <c r="U962" s="3">
        <v>71</v>
      </c>
      <c r="V962" s="3">
        <v>56.87</v>
      </c>
      <c r="W962" s="6">
        <v>74.42</v>
      </c>
      <c r="X962" s="6">
        <v>94.94</v>
      </c>
      <c r="Y962" s="6">
        <v>44.03</v>
      </c>
      <c r="Z962" s="6">
        <v>105.73</v>
      </c>
      <c r="AA962" s="6">
        <v>89.47</v>
      </c>
      <c r="AB962" s="6">
        <v>80.62</v>
      </c>
      <c r="AC962" s="6">
        <v>23.3</v>
      </c>
      <c r="AD962" s="6">
        <v>54.22</v>
      </c>
      <c r="AE962" s="3">
        <v>30.34</v>
      </c>
      <c r="AF962" s="3">
        <v>39.64</v>
      </c>
      <c r="AG962" s="3">
        <v>34.520000000000003</v>
      </c>
      <c r="AH962" s="3">
        <v>38.229999999999997</v>
      </c>
      <c r="AI962" s="3">
        <v>1.6659999999999999</v>
      </c>
      <c r="AJ962" s="3">
        <v>56.39</v>
      </c>
      <c r="AK962" s="3" t="s">
        <v>172</v>
      </c>
      <c r="AN962" s="3">
        <v>121</v>
      </c>
      <c r="AT962" s="17" t="s">
        <v>175</v>
      </c>
      <c r="AU962" s="17" t="s">
        <v>175</v>
      </c>
    </row>
    <row r="963" spans="1:47" x14ac:dyDescent="0.2">
      <c r="A963" s="115">
        <v>960.99999999999852</v>
      </c>
      <c r="B963" s="3">
        <v>70</v>
      </c>
      <c r="C963" s="3">
        <v>21.960999999999999</v>
      </c>
      <c r="D963" s="131" t="s">
        <v>151</v>
      </c>
      <c r="E963" t="s">
        <v>152</v>
      </c>
      <c r="F963" s="3" t="s">
        <v>227</v>
      </c>
      <c r="H963" s="166" t="s">
        <v>159</v>
      </c>
      <c r="I963" s="167">
        <v>44551</v>
      </c>
      <c r="J963" s="3" t="s">
        <v>142</v>
      </c>
      <c r="K963" s="3" t="s">
        <v>235</v>
      </c>
      <c r="N963" s="3">
        <v>280.22000000000003</v>
      </c>
      <c r="O963" s="3">
        <v>181.01</v>
      </c>
      <c r="P963" s="3">
        <v>19.350000000000001</v>
      </c>
      <c r="Q963" s="3">
        <v>42.86</v>
      </c>
      <c r="R963" s="3">
        <v>23.28</v>
      </c>
      <c r="S963" s="3">
        <v>125.32</v>
      </c>
      <c r="T963" s="3">
        <v>99.02</v>
      </c>
      <c r="U963" s="3">
        <v>72.03</v>
      </c>
      <c r="V963" s="3">
        <v>57.53</v>
      </c>
      <c r="W963" s="6">
        <v>73.63</v>
      </c>
      <c r="X963" s="6">
        <v>98.77</v>
      </c>
      <c r="Y963" s="6">
        <v>41.73</v>
      </c>
      <c r="Z963" s="6">
        <v>105.58</v>
      </c>
      <c r="AA963" s="6">
        <v>89.98</v>
      </c>
      <c r="AB963" s="6">
        <v>80.27</v>
      </c>
      <c r="AC963" s="6">
        <v>22.62</v>
      </c>
      <c r="AD963" s="6">
        <v>53.15</v>
      </c>
      <c r="AE963" s="3">
        <v>26.76</v>
      </c>
      <c r="AF963" s="3">
        <v>44.53</v>
      </c>
      <c r="AG963" s="3">
        <v>33.369999999999997</v>
      </c>
      <c r="AH963" s="3">
        <v>41.84</v>
      </c>
      <c r="AI963" s="3">
        <v>1.44</v>
      </c>
      <c r="AJ963" s="3">
        <v>60.18</v>
      </c>
      <c r="AK963" s="3" t="s">
        <v>172</v>
      </c>
      <c r="AN963" s="3">
        <v>126</v>
      </c>
      <c r="AT963" s="17" t="s">
        <v>175</v>
      </c>
      <c r="AU963" s="17" t="s">
        <v>175</v>
      </c>
    </row>
    <row r="964" spans="1:47" x14ac:dyDescent="0.2">
      <c r="A964" s="115">
        <v>961.99999999999977</v>
      </c>
      <c r="B964" s="3">
        <v>71</v>
      </c>
      <c r="C964" s="3">
        <v>21.962</v>
      </c>
      <c r="D964" s="131" t="s">
        <v>151</v>
      </c>
      <c r="E964" t="s">
        <v>152</v>
      </c>
      <c r="F964" s="3" t="s">
        <v>227</v>
      </c>
      <c r="H964" s="166" t="s">
        <v>159</v>
      </c>
      <c r="I964" s="167">
        <v>44551</v>
      </c>
      <c r="J964" s="3" t="s">
        <v>142</v>
      </c>
      <c r="K964" s="3" t="s">
        <v>235</v>
      </c>
      <c r="N964" s="3">
        <v>274.33</v>
      </c>
      <c r="O964" s="3">
        <v>184.82</v>
      </c>
      <c r="P964" s="3">
        <v>196.83</v>
      </c>
      <c r="Q964" s="3">
        <v>42.96</v>
      </c>
      <c r="R964" s="3">
        <v>29.09</v>
      </c>
      <c r="S964" s="3">
        <v>120.95</v>
      </c>
      <c r="T964" s="3">
        <v>94.17</v>
      </c>
      <c r="U964" s="3">
        <v>69.989999999999995</v>
      </c>
      <c r="V964" s="3">
        <v>54.42</v>
      </c>
      <c r="W964" s="6">
        <v>7.67</v>
      </c>
      <c r="X964" s="6">
        <v>98.95</v>
      </c>
      <c r="Y964" s="6">
        <v>43.34</v>
      </c>
      <c r="Z964" s="6">
        <v>105.72</v>
      </c>
      <c r="AA964" s="6">
        <v>91.53</v>
      </c>
      <c r="AB964" s="6">
        <v>81.64</v>
      </c>
      <c r="AC964" s="6">
        <v>20.79</v>
      </c>
      <c r="AD964" s="6">
        <v>53.98</v>
      </c>
      <c r="AE964" s="3">
        <v>26.97</v>
      </c>
      <c r="AF964" s="3">
        <v>42.57</v>
      </c>
      <c r="AG964" s="3">
        <v>33.450000000000003</v>
      </c>
      <c r="AH964" s="3">
        <v>41.73</v>
      </c>
      <c r="AI964" s="3">
        <v>1.3380000000000001</v>
      </c>
      <c r="AJ964" s="3">
        <v>57.01</v>
      </c>
      <c r="AK964" s="3" t="s">
        <v>172</v>
      </c>
      <c r="AN964" s="3">
        <v>129</v>
      </c>
      <c r="AT964" s="17" t="s">
        <v>175</v>
      </c>
      <c r="AU964" s="17" t="s">
        <v>175</v>
      </c>
    </row>
    <row r="965" spans="1:47" x14ac:dyDescent="0.2">
      <c r="A965" s="115">
        <v>963.00000000000091</v>
      </c>
      <c r="B965" s="3">
        <v>72</v>
      </c>
      <c r="C965" s="3">
        <v>21.963000000000001</v>
      </c>
      <c r="D965" s="131" t="s">
        <v>151</v>
      </c>
      <c r="E965" t="s">
        <v>162</v>
      </c>
      <c r="F965" s="3" t="s">
        <v>88</v>
      </c>
      <c r="G965" s="3" t="s">
        <v>88</v>
      </c>
      <c r="H965" s="3" t="s">
        <v>807</v>
      </c>
      <c r="I965" s="168">
        <v>44553</v>
      </c>
      <c r="J965" s="3" t="s">
        <v>142</v>
      </c>
      <c r="K965" s="3" t="s">
        <v>235</v>
      </c>
      <c r="N965" s="3">
        <v>296.98</v>
      </c>
      <c r="O965" s="3">
        <v>184.99</v>
      </c>
      <c r="P965" s="3">
        <v>193.83</v>
      </c>
      <c r="Q965" s="3">
        <v>46.69</v>
      </c>
      <c r="R965" s="3">
        <v>18.07</v>
      </c>
      <c r="S965" s="3">
        <v>125.1</v>
      </c>
      <c r="T965" s="3">
        <v>101.8</v>
      </c>
      <c r="U965" s="3">
        <v>64.010000000000005</v>
      </c>
      <c r="V965" s="3">
        <v>48.08</v>
      </c>
      <c r="W965" s="6">
        <v>68.69</v>
      </c>
      <c r="X965" s="6">
        <v>97.74</v>
      </c>
      <c r="Y965" s="6">
        <v>40.96</v>
      </c>
      <c r="Z965" s="6">
        <v>105.29</v>
      </c>
      <c r="AA965" s="6">
        <v>86.93</v>
      </c>
      <c r="AB965" s="6">
        <v>82.73</v>
      </c>
      <c r="AC965" s="6">
        <v>7.38</v>
      </c>
      <c r="AD965" s="6">
        <v>54.13</v>
      </c>
      <c r="AE965" s="3">
        <v>26.39</v>
      </c>
      <c r="AF965" s="3">
        <v>42.47</v>
      </c>
      <c r="AG965" s="3">
        <v>36</v>
      </c>
      <c r="AH965" s="3">
        <v>43.16</v>
      </c>
      <c r="AI965" s="3">
        <v>1.514</v>
      </c>
      <c r="AJ965" s="3">
        <v>48.6</v>
      </c>
      <c r="AK965" s="3" t="s">
        <v>172</v>
      </c>
      <c r="AN965" s="3">
        <v>131</v>
      </c>
      <c r="AT965" s="17" t="s">
        <v>175</v>
      </c>
      <c r="AU965" s="17" t="s">
        <v>175</v>
      </c>
    </row>
    <row r="966" spans="1:47" x14ac:dyDescent="0.2">
      <c r="A966" s="115">
        <v>963.99999999999864</v>
      </c>
      <c r="B966" s="3">
        <v>73</v>
      </c>
      <c r="C966" s="3">
        <v>21.963999999999999</v>
      </c>
      <c r="D966" s="131" t="s">
        <v>151</v>
      </c>
      <c r="E966" t="s">
        <v>152</v>
      </c>
      <c r="F966" s="3" t="s">
        <v>227</v>
      </c>
      <c r="H966" s="3" t="s">
        <v>808</v>
      </c>
      <c r="I966" s="168">
        <v>44556</v>
      </c>
      <c r="J966" s="3" t="s">
        <v>142</v>
      </c>
      <c r="K966" s="3" t="s">
        <v>235</v>
      </c>
      <c r="N966" s="3">
        <v>294.08</v>
      </c>
      <c r="O966" s="3">
        <v>184.02</v>
      </c>
      <c r="P966" s="3">
        <v>11.27</v>
      </c>
      <c r="Q966" s="3">
        <v>36.53</v>
      </c>
      <c r="R966" s="3">
        <v>19.04</v>
      </c>
      <c r="S966" s="3">
        <v>131.97999999999999</v>
      </c>
      <c r="T966" s="3">
        <v>102.73</v>
      </c>
      <c r="U966" s="3">
        <v>61.64</v>
      </c>
      <c r="V966" s="3">
        <v>49.31</v>
      </c>
      <c r="W966" s="6">
        <v>63.71</v>
      </c>
      <c r="X966" s="6">
        <v>96.3</v>
      </c>
      <c r="Y966" s="6">
        <v>38.29</v>
      </c>
      <c r="Z966" s="6">
        <v>102.66</v>
      </c>
      <c r="AA966" s="6">
        <v>88.18</v>
      </c>
      <c r="AB966" s="6">
        <v>74.72</v>
      </c>
      <c r="AC966" s="6">
        <v>10.4</v>
      </c>
      <c r="AD966" s="6">
        <v>56.96</v>
      </c>
      <c r="AE966" s="3">
        <v>30.25</v>
      </c>
      <c r="AF966" s="3">
        <v>39.619999999999997</v>
      </c>
      <c r="AG966" s="3">
        <v>35.799999999999997</v>
      </c>
      <c r="AH966" s="3">
        <v>41.36</v>
      </c>
      <c r="AI966" s="3">
        <v>1.4</v>
      </c>
      <c r="AJ966" s="3">
        <v>51.7</v>
      </c>
      <c r="AK966" s="3" t="s">
        <v>173</v>
      </c>
      <c r="AM966" s="3">
        <v>44</v>
      </c>
      <c r="AN966" s="3">
        <v>67</v>
      </c>
      <c r="AT966" s="17" t="s">
        <v>175</v>
      </c>
      <c r="AU966" s="17" t="s">
        <v>175</v>
      </c>
    </row>
    <row r="967" spans="1:47" x14ac:dyDescent="0.2">
      <c r="A967" s="115">
        <v>964.99999999999989</v>
      </c>
      <c r="B967" s="3">
        <v>74</v>
      </c>
      <c r="C967" s="3">
        <v>21.965</v>
      </c>
      <c r="D967" s="131" t="s">
        <v>151</v>
      </c>
      <c r="E967" t="s">
        <v>152</v>
      </c>
      <c r="F967" s="3" t="s">
        <v>227</v>
      </c>
      <c r="H967" s="3" t="s">
        <v>808</v>
      </c>
      <c r="I967" s="168">
        <v>44556</v>
      </c>
      <c r="J967" s="3" t="s">
        <v>142</v>
      </c>
      <c r="K967" s="3" t="s">
        <v>235</v>
      </c>
      <c r="N967" s="3">
        <v>288.45999999999998</v>
      </c>
      <c r="O967" s="3">
        <v>175.52</v>
      </c>
      <c r="P967" s="3">
        <v>186.06</v>
      </c>
      <c r="Q967" s="3">
        <v>36.46</v>
      </c>
      <c r="R967" s="3">
        <v>16.18</v>
      </c>
      <c r="S967" s="3">
        <v>126.1</v>
      </c>
      <c r="T967" s="3">
        <v>101.29</v>
      </c>
      <c r="U967" s="3">
        <v>61.32</v>
      </c>
      <c r="V967" s="3">
        <v>51.71</v>
      </c>
      <c r="W967" s="6">
        <v>63.38</v>
      </c>
      <c r="X967" s="6">
        <v>93.23</v>
      </c>
      <c r="Y967" s="6">
        <v>36.049999999999997</v>
      </c>
      <c r="Z967" s="6">
        <v>103.24</v>
      </c>
      <c r="AA967" s="6">
        <v>89.55</v>
      </c>
      <c r="AB967" s="6">
        <v>74.55</v>
      </c>
      <c r="AC967" s="6">
        <v>9.42</v>
      </c>
      <c r="AD967" s="6">
        <v>55.84</v>
      </c>
      <c r="AE967" s="3">
        <v>27.96</v>
      </c>
      <c r="AF967" s="3">
        <v>38.86</v>
      </c>
      <c r="AG967" s="3">
        <v>29.18</v>
      </c>
      <c r="AH967" s="3">
        <v>40.97</v>
      </c>
      <c r="AI967" s="3">
        <v>1.516</v>
      </c>
      <c r="AJ967" s="3">
        <v>54.75</v>
      </c>
      <c r="AK967" s="3" t="s">
        <v>172</v>
      </c>
      <c r="AN967" s="3">
        <v>123</v>
      </c>
      <c r="AT967" s="17" t="s">
        <v>175</v>
      </c>
      <c r="AU967" s="17" t="s">
        <v>175</v>
      </c>
    </row>
    <row r="968" spans="1:47" x14ac:dyDescent="0.2">
      <c r="A968" s="115">
        <v>966.00000000000114</v>
      </c>
      <c r="B968" s="3">
        <v>75</v>
      </c>
      <c r="C968" s="3">
        <v>21.966000000000001</v>
      </c>
      <c r="D968" s="131" t="s">
        <v>151</v>
      </c>
      <c r="E968" t="s">
        <v>152</v>
      </c>
      <c r="F968" s="3" t="s">
        <v>227</v>
      </c>
      <c r="H968" s="3" t="s">
        <v>90</v>
      </c>
      <c r="I968" s="168">
        <v>44559</v>
      </c>
      <c r="J968" s="3" t="s">
        <v>142</v>
      </c>
      <c r="K968" s="3" t="s">
        <v>235</v>
      </c>
      <c r="N968" s="3">
        <v>290.60000000000002</v>
      </c>
      <c r="O968" s="3">
        <v>180.75</v>
      </c>
      <c r="P968" s="3">
        <v>198.77</v>
      </c>
      <c r="Q968" s="3">
        <v>40.549999999999997</v>
      </c>
      <c r="R968" s="3">
        <v>28.41</v>
      </c>
      <c r="S968" s="3">
        <v>123.17</v>
      </c>
      <c r="T968" s="3">
        <v>98.14</v>
      </c>
      <c r="U968" s="3">
        <v>72.16</v>
      </c>
      <c r="V968" s="3">
        <v>54.88</v>
      </c>
      <c r="W968" s="6">
        <v>73.67</v>
      </c>
      <c r="X968" s="6">
        <v>94.1</v>
      </c>
      <c r="Y968" s="6">
        <v>41.61</v>
      </c>
      <c r="Z968" s="6">
        <v>103.55</v>
      </c>
      <c r="AA968" s="6">
        <v>91.18</v>
      </c>
      <c r="AB968" s="6">
        <v>79.510000000000005</v>
      </c>
      <c r="AC968" s="6">
        <v>17.38</v>
      </c>
      <c r="AD968" s="6">
        <v>54.45</v>
      </c>
      <c r="AE968" s="6">
        <v>29.69</v>
      </c>
      <c r="AF968" s="3">
        <v>41.46</v>
      </c>
      <c r="AG968" s="3">
        <v>37.049999999999997</v>
      </c>
      <c r="AH968" s="3">
        <v>43.51</v>
      </c>
      <c r="AI968" s="3">
        <v>1.5720000000000001</v>
      </c>
      <c r="AJ968" s="3">
        <v>60.97</v>
      </c>
      <c r="AK968" s="3" t="s">
        <v>172</v>
      </c>
      <c r="AN968" s="3">
        <v>113</v>
      </c>
      <c r="AT968" s="17" t="s">
        <v>175</v>
      </c>
      <c r="AU968" s="17" t="s">
        <v>175</v>
      </c>
    </row>
    <row r="969" spans="1:47" x14ac:dyDescent="0.2">
      <c r="A969" s="115">
        <v>966.99999999999875</v>
      </c>
      <c r="B969" s="3">
        <v>218</v>
      </c>
      <c r="C969" s="3">
        <v>21.966999999999999</v>
      </c>
      <c r="D969" s="126" t="s">
        <v>168</v>
      </c>
      <c r="E969" t="s">
        <v>169</v>
      </c>
      <c r="F969" s="9" t="s">
        <v>170</v>
      </c>
      <c r="I969" s="81">
        <v>44521</v>
      </c>
      <c r="J969" s="17" t="s">
        <v>142</v>
      </c>
      <c r="K969" s="17" t="s">
        <v>235</v>
      </c>
      <c r="L969" s="17"/>
      <c r="M969" s="17"/>
      <c r="N969" s="17"/>
      <c r="O969" s="54"/>
      <c r="P969" s="54"/>
      <c r="Q969" s="54"/>
      <c r="R969" s="54"/>
      <c r="S969" s="54"/>
      <c r="T969" s="54"/>
      <c r="U969" s="54"/>
      <c r="V969" s="54"/>
      <c r="W969" s="165"/>
      <c r="X969" s="165"/>
      <c r="Y969" s="165"/>
      <c r="Z969" s="165"/>
      <c r="AA969" s="165"/>
      <c r="AB969" s="165"/>
      <c r="AC969" s="165"/>
      <c r="AD969" s="165"/>
      <c r="AE969" s="165"/>
      <c r="AF969" s="54"/>
      <c r="AG969" s="54"/>
      <c r="AH969" s="54"/>
      <c r="AI969" s="54"/>
      <c r="AJ969" s="54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 t="s">
        <v>168</v>
      </c>
      <c r="AU969" s="17"/>
    </row>
    <row r="970" spans="1:47" x14ac:dyDescent="0.2">
      <c r="A970" s="115">
        <v>968</v>
      </c>
      <c r="B970" s="3">
        <v>245</v>
      </c>
      <c r="C970" s="3">
        <v>21.968</v>
      </c>
      <c r="D970" s="126" t="s">
        <v>168</v>
      </c>
      <c r="E970" t="s">
        <v>232</v>
      </c>
      <c r="F970" s="3" t="s">
        <v>251</v>
      </c>
      <c r="G970" s="3" t="s">
        <v>32</v>
      </c>
      <c r="I970" s="81">
        <v>44539</v>
      </c>
      <c r="J970" s="17" t="s">
        <v>142</v>
      </c>
      <c r="K970" s="17" t="s">
        <v>235</v>
      </c>
      <c r="L970" s="17"/>
      <c r="M970" s="17"/>
      <c r="N970" s="17"/>
      <c r="O970" s="54"/>
      <c r="P970" s="54"/>
      <c r="Q970" s="54"/>
      <c r="R970" s="54"/>
      <c r="S970" s="54"/>
      <c r="T970" s="54"/>
      <c r="U970" s="54"/>
      <c r="V970" s="54"/>
      <c r="W970" s="165"/>
      <c r="X970" s="165"/>
      <c r="Y970" s="165"/>
      <c r="Z970" s="165"/>
      <c r="AA970" s="165"/>
      <c r="AB970" s="165"/>
      <c r="AC970" s="165"/>
      <c r="AD970" s="165"/>
      <c r="AE970" s="165"/>
      <c r="AF970" s="54"/>
      <c r="AG970" s="54"/>
      <c r="AH970" s="54"/>
      <c r="AI970" s="54"/>
      <c r="AJ970" s="54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 t="s">
        <v>168</v>
      </c>
      <c r="AU970" s="17"/>
    </row>
    <row r="971" spans="1:47" x14ac:dyDescent="0.2">
      <c r="A971" s="115">
        <v>969.00000000000114</v>
      </c>
      <c r="B971" s="3">
        <v>287</v>
      </c>
      <c r="C971" s="3">
        <v>21.969000000000001</v>
      </c>
      <c r="D971" s="126" t="s">
        <v>168</v>
      </c>
      <c r="E971" t="s">
        <v>169</v>
      </c>
      <c r="F971" s="3" t="s">
        <v>170</v>
      </c>
      <c r="G971" s="9" t="s">
        <v>29</v>
      </c>
      <c r="I971" s="81">
        <v>44545</v>
      </c>
      <c r="J971" s="17" t="s">
        <v>142</v>
      </c>
      <c r="K971" s="17" t="s">
        <v>235</v>
      </c>
      <c r="L971" s="17"/>
      <c r="M971" s="17"/>
      <c r="N971" s="17"/>
      <c r="O971" s="54"/>
      <c r="P971" s="54"/>
      <c r="Q971" s="54"/>
      <c r="R971" s="54"/>
      <c r="S971" s="54"/>
      <c r="T971" s="54"/>
      <c r="U971" s="54"/>
      <c r="V971" s="54"/>
      <c r="W971" s="165"/>
      <c r="X971" s="165"/>
      <c r="Y971" s="165"/>
      <c r="Z971" s="165"/>
      <c r="AA971" s="165"/>
      <c r="AB971" s="165"/>
      <c r="AC971" s="165"/>
      <c r="AD971" s="165"/>
      <c r="AE971" s="165"/>
      <c r="AF971" s="54"/>
      <c r="AG971" s="54"/>
      <c r="AH971" s="54"/>
      <c r="AI971" s="54"/>
      <c r="AJ971" s="54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 t="s">
        <v>168</v>
      </c>
      <c r="AU971" s="17"/>
    </row>
    <row r="972" spans="1:47" x14ac:dyDescent="0.2">
      <c r="A972" s="115">
        <v>969.99999999999886</v>
      </c>
      <c r="B972" s="3">
        <v>316</v>
      </c>
      <c r="C972" s="2" t="s">
        <v>7</v>
      </c>
      <c r="D972" s="126" t="s">
        <v>168</v>
      </c>
      <c r="E972" t="s">
        <v>169</v>
      </c>
      <c r="F972" s="3" t="s">
        <v>170</v>
      </c>
      <c r="G972" s="14"/>
      <c r="H972" s="3" t="s">
        <v>30</v>
      </c>
      <c r="I972" s="81">
        <v>44560</v>
      </c>
      <c r="J972" s="17" t="s">
        <v>142</v>
      </c>
      <c r="K972" s="17" t="s">
        <v>235</v>
      </c>
      <c r="L972" s="17"/>
      <c r="M972" s="17"/>
      <c r="N972" s="17"/>
      <c r="O972" s="54"/>
      <c r="P972" s="54"/>
      <c r="Q972" s="54"/>
      <c r="R972" s="54"/>
      <c r="S972" s="54"/>
      <c r="T972" s="54"/>
      <c r="U972" s="54"/>
      <c r="V972" s="54"/>
      <c r="W972" s="165"/>
      <c r="X972" s="165"/>
      <c r="Y972" s="165"/>
      <c r="Z972" s="165"/>
      <c r="AA972" s="165"/>
      <c r="AB972" s="165"/>
      <c r="AC972" s="165"/>
      <c r="AD972" s="165"/>
      <c r="AE972" s="165"/>
      <c r="AF972" s="54"/>
      <c r="AG972" s="54"/>
      <c r="AH972" s="54"/>
      <c r="AI972" s="54"/>
      <c r="AJ972" s="54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 t="s">
        <v>168</v>
      </c>
      <c r="AU972" s="17"/>
    </row>
    <row r="973" spans="1:47" x14ac:dyDescent="0.2">
      <c r="A973" s="115">
        <v>971.00000000000011</v>
      </c>
      <c r="B973" s="3">
        <v>367</v>
      </c>
      <c r="C973" s="3">
        <v>21.971</v>
      </c>
      <c r="D973" s="126" t="s">
        <v>168</v>
      </c>
      <c r="E973" t="s">
        <v>169</v>
      </c>
      <c r="F973" s="3" t="s">
        <v>170</v>
      </c>
      <c r="H973" s="9" t="s">
        <v>171</v>
      </c>
      <c r="I973" s="81">
        <v>44556</v>
      </c>
      <c r="J973" s="17" t="s">
        <v>142</v>
      </c>
      <c r="K973" s="17" t="s">
        <v>235</v>
      </c>
      <c r="L973" s="17"/>
      <c r="M973" s="17"/>
      <c r="N973" s="17"/>
      <c r="O973" s="54"/>
      <c r="P973" s="54"/>
      <c r="Q973" s="54"/>
      <c r="R973" s="54"/>
      <c r="S973" s="54"/>
      <c r="T973" s="54"/>
      <c r="U973" s="54"/>
      <c r="V973" s="54"/>
      <c r="W973" s="165"/>
      <c r="X973" s="165"/>
      <c r="Y973" s="165"/>
      <c r="Z973" s="165"/>
      <c r="AA973" s="165"/>
      <c r="AB973" s="165"/>
      <c r="AC973" s="165"/>
      <c r="AD973" s="165"/>
      <c r="AE973" s="165"/>
      <c r="AF973" s="54"/>
      <c r="AG973" s="54"/>
      <c r="AH973" s="54"/>
      <c r="AI973" s="54"/>
      <c r="AJ973" s="54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 t="s">
        <v>168</v>
      </c>
      <c r="AU973" s="17"/>
    </row>
    <row r="974" spans="1:47" x14ac:dyDescent="0.2">
      <c r="A974" s="115">
        <v>972.00000000000136</v>
      </c>
      <c r="B974" s="3">
        <v>271</v>
      </c>
      <c r="C974" s="3">
        <v>21.972000000000001</v>
      </c>
      <c r="D974" s="126" t="s">
        <v>168</v>
      </c>
      <c r="E974" t="s">
        <v>169</v>
      </c>
      <c r="F974" s="3" t="s">
        <v>170</v>
      </c>
      <c r="G974" s="9" t="s">
        <v>30</v>
      </c>
      <c r="I974" s="81">
        <v>44556</v>
      </c>
      <c r="J974" s="17" t="s">
        <v>142</v>
      </c>
      <c r="K974" s="17" t="s">
        <v>235</v>
      </c>
      <c r="L974" s="17"/>
      <c r="M974" s="17"/>
      <c r="N974" s="17">
        <v>366</v>
      </c>
      <c r="O974" s="54"/>
      <c r="P974" s="54"/>
      <c r="Q974" s="54"/>
      <c r="R974" s="54"/>
      <c r="S974" s="54"/>
      <c r="T974" s="54"/>
      <c r="U974" s="54"/>
      <c r="V974" s="54"/>
      <c r="W974" s="165"/>
      <c r="X974" s="165"/>
      <c r="Y974" s="165"/>
      <c r="Z974" s="165"/>
      <c r="AA974" s="165"/>
      <c r="AB974" s="165"/>
      <c r="AC974" s="165"/>
      <c r="AD974" s="165"/>
      <c r="AE974" s="54"/>
      <c r="AF974" s="54"/>
      <c r="AG974" s="54"/>
      <c r="AH974" s="54"/>
      <c r="AI974" s="17">
        <v>1.044</v>
      </c>
      <c r="AJ974" s="17">
        <v>110.55</v>
      </c>
      <c r="AK974" s="17" t="s">
        <v>172</v>
      </c>
      <c r="AL974" s="17"/>
      <c r="AM974" s="17"/>
      <c r="AN974" s="17">
        <v>144</v>
      </c>
      <c r="AO974" s="17"/>
      <c r="AP974" s="17"/>
      <c r="AQ974" s="17"/>
      <c r="AR974" s="17"/>
      <c r="AS974" s="17"/>
      <c r="AT974" s="17" t="s">
        <v>175</v>
      </c>
      <c r="AU974" s="3"/>
    </row>
    <row r="975" spans="1:47" x14ac:dyDescent="0.2">
      <c r="A975" s="115">
        <v>972.99999999999898</v>
      </c>
      <c r="B975" s="3">
        <v>239</v>
      </c>
      <c r="C975" s="3">
        <v>21.972999999999999</v>
      </c>
      <c r="D975" s="126" t="s">
        <v>168</v>
      </c>
      <c r="E975" t="s">
        <v>232</v>
      </c>
      <c r="F975" s="3" t="s">
        <v>251</v>
      </c>
      <c r="H975" s="3" t="s">
        <v>498</v>
      </c>
      <c r="I975" s="81">
        <v>44529</v>
      </c>
      <c r="J975" s="17" t="s">
        <v>142</v>
      </c>
      <c r="K975" s="17" t="s">
        <v>235</v>
      </c>
      <c r="L975" s="17"/>
      <c r="M975" s="17"/>
      <c r="N975" s="17">
        <v>278.18</v>
      </c>
      <c r="O975" s="54"/>
      <c r="P975" s="54"/>
      <c r="Q975" s="54"/>
      <c r="R975" s="54"/>
      <c r="S975" s="54"/>
      <c r="T975" s="54"/>
      <c r="U975" s="54"/>
      <c r="V975" s="54"/>
      <c r="W975" s="165"/>
      <c r="X975" s="165"/>
      <c r="Y975" s="165"/>
      <c r="Z975" s="165"/>
      <c r="AA975" s="165"/>
      <c r="AB975" s="165"/>
      <c r="AC975" s="165"/>
      <c r="AD975" s="165"/>
      <c r="AE975" s="54"/>
      <c r="AF975" s="54"/>
      <c r="AG975" s="54"/>
      <c r="AH975" s="54"/>
      <c r="AI975" s="17">
        <v>1.1819999999999999</v>
      </c>
      <c r="AJ975" s="17">
        <v>49.76</v>
      </c>
      <c r="AK975" s="17" t="s">
        <v>172</v>
      </c>
      <c r="AL975" s="17"/>
      <c r="AM975" s="17"/>
      <c r="AN975" s="17">
        <v>110</v>
      </c>
      <c r="AO975" s="17"/>
      <c r="AP975" s="17"/>
      <c r="AQ975" s="17"/>
      <c r="AR975" s="17"/>
      <c r="AS975" s="17"/>
      <c r="AT975" s="17" t="s">
        <v>175</v>
      </c>
      <c r="AU975" s="3"/>
    </row>
    <row r="976" spans="1:47" x14ac:dyDescent="0.2">
      <c r="A976" s="115">
        <v>974.00000000000023</v>
      </c>
      <c r="B976" s="3">
        <v>246</v>
      </c>
      <c r="C976" s="3">
        <v>21.974</v>
      </c>
      <c r="D976" s="126" t="s">
        <v>168</v>
      </c>
      <c r="E976" t="s">
        <v>232</v>
      </c>
      <c r="F976" s="3" t="s">
        <v>251</v>
      </c>
      <c r="H976" s="3" t="s">
        <v>498</v>
      </c>
      <c r="I976" s="81">
        <v>44539</v>
      </c>
      <c r="J976" s="17" t="s">
        <v>142</v>
      </c>
      <c r="K976" s="17" t="s">
        <v>235</v>
      </c>
      <c r="L976" s="17"/>
      <c r="M976" s="17"/>
      <c r="N976" s="17">
        <v>274.74</v>
      </c>
      <c r="O976" s="54"/>
      <c r="P976" s="54"/>
      <c r="Q976" s="54"/>
      <c r="R976" s="54"/>
      <c r="S976" s="54"/>
      <c r="T976" s="54"/>
      <c r="U976" s="54"/>
      <c r="V976" s="54"/>
      <c r="W976" s="165"/>
      <c r="X976" s="165"/>
      <c r="Y976" s="165"/>
      <c r="Z976" s="165"/>
      <c r="AA976" s="165"/>
      <c r="AB976" s="165"/>
      <c r="AC976" s="165"/>
      <c r="AD976" s="165"/>
      <c r="AE976" s="54"/>
      <c r="AF976" s="54"/>
      <c r="AG976" s="54"/>
      <c r="AH976" s="54"/>
      <c r="AI976" s="17">
        <v>1.1180000000000001</v>
      </c>
      <c r="AJ976" s="17">
        <v>49.91</v>
      </c>
      <c r="AK976" s="17" t="s">
        <v>172</v>
      </c>
      <c r="AL976" s="17"/>
      <c r="AM976" s="17"/>
      <c r="AN976" s="17">
        <v>115</v>
      </c>
      <c r="AO976" s="17"/>
      <c r="AP976" s="17"/>
      <c r="AQ976" s="17"/>
      <c r="AR976" s="17"/>
      <c r="AS976" s="17"/>
      <c r="AT976" s="17" t="s">
        <v>175</v>
      </c>
      <c r="AU976" s="3"/>
    </row>
    <row r="977" spans="1:47" x14ac:dyDescent="0.2">
      <c r="A977" s="115">
        <v>975.00000000000136</v>
      </c>
      <c r="B977" s="3">
        <v>270</v>
      </c>
      <c r="C977" s="3">
        <v>21.975000000000001</v>
      </c>
      <c r="D977" s="126" t="s">
        <v>168</v>
      </c>
      <c r="E977" t="s">
        <v>169</v>
      </c>
      <c r="F977" s="3" t="s">
        <v>170</v>
      </c>
      <c r="G977" s="9" t="s">
        <v>29</v>
      </c>
      <c r="I977" s="81">
        <v>44547</v>
      </c>
      <c r="J977" s="17" t="s">
        <v>142</v>
      </c>
      <c r="K977" s="17" t="s">
        <v>235</v>
      </c>
      <c r="L977" s="17"/>
      <c r="M977" s="17"/>
      <c r="N977" s="17">
        <v>302.31</v>
      </c>
      <c r="O977" s="54"/>
      <c r="P977" s="54"/>
      <c r="Q977" s="54"/>
      <c r="R977" s="54"/>
      <c r="S977" s="54"/>
      <c r="T977" s="54"/>
      <c r="U977" s="54"/>
      <c r="V977" s="54"/>
      <c r="W977" s="165"/>
      <c r="X977" s="165"/>
      <c r="Y977" s="165"/>
      <c r="Z977" s="165"/>
      <c r="AA977" s="165"/>
      <c r="AB977" s="165"/>
      <c r="AC977" s="165"/>
      <c r="AD977" s="165"/>
      <c r="AE977" s="54"/>
      <c r="AF977" s="54"/>
      <c r="AG977" s="54"/>
      <c r="AH977" s="54"/>
      <c r="AI977" s="17">
        <v>1.492</v>
      </c>
      <c r="AJ977" s="17">
        <v>54.52</v>
      </c>
      <c r="AK977" s="17" t="s">
        <v>172</v>
      </c>
      <c r="AL977" s="17"/>
      <c r="AM977" s="17"/>
      <c r="AN977" s="17">
        <v>127</v>
      </c>
      <c r="AO977" s="17"/>
      <c r="AP977" s="17"/>
      <c r="AQ977" s="17"/>
      <c r="AR977" s="17"/>
      <c r="AS977" s="17"/>
      <c r="AT977" s="17" t="s">
        <v>175</v>
      </c>
      <c r="AU977" s="3"/>
    </row>
    <row r="978" spans="1:47" x14ac:dyDescent="0.2">
      <c r="A978" s="115">
        <v>975.99999999999909</v>
      </c>
      <c r="B978" s="3">
        <v>272</v>
      </c>
      <c r="C978" s="3">
        <v>21.975999999999999</v>
      </c>
      <c r="D978" s="126" t="s">
        <v>168</v>
      </c>
      <c r="E978" t="s">
        <v>169</v>
      </c>
      <c r="F978" s="3" t="s">
        <v>170</v>
      </c>
      <c r="H978" s="9" t="s">
        <v>177</v>
      </c>
      <c r="I978" s="81">
        <v>44556</v>
      </c>
      <c r="J978" s="17" t="s">
        <v>142</v>
      </c>
      <c r="K978" s="17" t="s">
        <v>235</v>
      </c>
      <c r="L978" s="17"/>
      <c r="M978" s="17"/>
      <c r="N978" s="17">
        <v>288.94</v>
      </c>
      <c r="O978" s="54"/>
      <c r="P978" s="54"/>
      <c r="Q978" s="54"/>
      <c r="R978" s="54"/>
      <c r="S978" s="54"/>
      <c r="T978" s="54"/>
      <c r="U978" s="54"/>
      <c r="V978" s="54"/>
      <c r="W978" s="165"/>
      <c r="X978" s="165"/>
      <c r="Y978" s="165"/>
      <c r="Z978" s="165"/>
      <c r="AA978" s="165"/>
      <c r="AB978" s="165"/>
      <c r="AC978" s="165"/>
      <c r="AD978" s="165"/>
      <c r="AE978" s="54"/>
      <c r="AF978" s="54"/>
      <c r="AG978" s="54"/>
      <c r="AH978" s="54"/>
      <c r="AI978" s="17">
        <v>1.145</v>
      </c>
      <c r="AJ978" s="17">
        <v>50.11</v>
      </c>
      <c r="AK978" s="17" t="s">
        <v>172</v>
      </c>
      <c r="AL978" s="17"/>
      <c r="AM978" s="17"/>
      <c r="AN978" s="17">
        <v>124</v>
      </c>
      <c r="AO978" s="17"/>
      <c r="AP978" s="17"/>
      <c r="AQ978" s="17"/>
      <c r="AR978" s="17"/>
      <c r="AS978" s="17"/>
      <c r="AT978" s="17" t="s">
        <v>175</v>
      </c>
      <c r="AU978" s="3"/>
    </row>
    <row r="979" spans="1:47" x14ac:dyDescent="0.2">
      <c r="A979" s="115">
        <v>977.00000000000034</v>
      </c>
      <c r="B979" s="3">
        <v>360</v>
      </c>
      <c r="C979" s="3">
        <v>21.977</v>
      </c>
      <c r="D979" s="126" t="s">
        <v>168</v>
      </c>
      <c r="E979" t="s">
        <v>169</v>
      </c>
      <c r="F979" s="3" t="s">
        <v>170</v>
      </c>
      <c r="G979" s="9" t="s">
        <v>30</v>
      </c>
      <c r="I979" s="81">
        <v>44545</v>
      </c>
      <c r="J979" s="17" t="s">
        <v>142</v>
      </c>
      <c r="K979" s="17" t="s">
        <v>235</v>
      </c>
      <c r="L979" s="17"/>
      <c r="M979" s="17"/>
      <c r="N979" s="17">
        <v>294.81</v>
      </c>
      <c r="O979" s="54"/>
      <c r="P979" s="54"/>
      <c r="Q979" s="54"/>
      <c r="R979" s="54"/>
      <c r="S979" s="54"/>
      <c r="T979" s="54"/>
      <c r="U979" s="54"/>
      <c r="V979" s="54"/>
      <c r="W979" s="165"/>
      <c r="X979" s="165"/>
      <c r="Y979" s="165"/>
      <c r="Z979" s="165"/>
      <c r="AA979" s="165"/>
      <c r="AB979" s="165"/>
      <c r="AC979" s="165"/>
      <c r="AD979" s="165"/>
      <c r="AE979" s="54"/>
      <c r="AF979" s="54"/>
      <c r="AG979" s="54"/>
      <c r="AH979" s="54"/>
      <c r="AI979" s="17">
        <v>1.2170000000000001</v>
      </c>
      <c r="AJ979" s="17">
        <v>52.8</v>
      </c>
      <c r="AK979" s="17" t="s">
        <v>172</v>
      </c>
      <c r="AL979" s="17"/>
      <c r="AM979" s="17"/>
      <c r="AN979" s="17">
        <v>134</v>
      </c>
      <c r="AO979" s="17"/>
      <c r="AP979" s="17"/>
      <c r="AQ979" s="17"/>
      <c r="AR979" s="17"/>
      <c r="AS979" s="17"/>
      <c r="AT979" s="17" t="s">
        <v>175</v>
      </c>
      <c r="AU979" s="3"/>
    </row>
    <row r="980" spans="1:47" x14ac:dyDescent="0.2">
      <c r="A980" s="115">
        <v>978.00000000000159</v>
      </c>
      <c r="B980" s="3">
        <v>369</v>
      </c>
      <c r="C980" s="3">
        <v>21.978000000000002</v>
      </c>
      <c r="D980" s="126" t="s">
        <v>168</v>
      </c>
      <c r="E980" t="s">
        <v>169</v>
      </c>
      <c r="F980" s="3" t="s">
        <v>170</v>
      </c>
      <c r="H980" s="9" t="s">
        <v>177</v>
      </c>
      <c r="I980" s="81">
        <v>44545</v>
      </c>
      <c r="J980" s="17" t="s">
        <v>142</v>
      </c>
      <c r="K980" s="17" t="s">
        <v>235</v>
      </c>
      <c r="L980" s="17"/>
      <c r="M980" s="17"/>
      <c r="N980" s="17">
        <v>279.5</v>
      </c>
      <c r="O980" s="54"/>
      <c r="P980" s="54"/>
      <c r="Q980" s="54"/>
      <c r="R980" s="54"/>
      <c r="S980" s="54"/>
      <c r="T980" s="54"/>
      <c r="U980" s="54"/>
      <c r="V980" s="54"/>
      <c r="W980" s="165"/>
      <c r="X980" s="165"/>
      <c r="Y980" s="165"/>
      <c r="Z980" s="165"/>
      <c r="AA980" s="165"/>
      <c r="AB980" s="165"/>
      <c r="AC980" s="165"/>
      <c r="AD980" s="165"/>
      <c r="AE980" s="54"/>
      <c r="AF980" s="54"/>
      <c r="AG980" s="54"/>
      <c r="AH980" s="54"/>
      <c r="AI980" s="17">
        <v>1.0609999999999999</v>
      </c>
      <c r="AJ980" s="17">
        <v>47.78</v>
      </c>
      <c r="AK980" s="17" t="s">
        <v>172</v>
      </c>
      <c r="AL980" s="17"/>
      <c r="AM980" s="17"/>
      <c r="AN980" s="17"/>
      <c r="AO980" s="17"/>
      <c r="AP980" s="17"/>
      <c r="AQ980" s="17"/>
      <c r="AR980" s="17"/>
      <c r="AS980" s="17"/>
      <c r="AT980" s="17" t="s">
        <v>175</v>
      </c>
      <c r="AU980" s="3"/>
    </row>
    <row r="981" spans="1:47" x14ac:dyDescent="0.2">
      <c r="A981" s="115">
        <v>978.9999999999992</v>
      </c>
      <c r="B981" s="3">
        <v>383</v>
      </c>
      <c r="C981" s="3">
        <v>21.978999999999999</v>
      </c>
      <c r="D981" s="126" t="s">
        <v>168</v>
      </c>
      <c r="E981" t="s">
        <v>169</v>
      </c>
      <c r="F981" s="3" t="s">
        <v>170</v>
      </c>
      <c r="G981" s="9" t="s">
        <v>30</v>
      </c>
      <c r="I981" s="81">
        <v>44556</v>
      </c>
      <c r="J981" s="17" t="s">
        <v>142</v>
      </c>
      <c r="K981" s="17" t="s">
        <v>235</v>
      </c>
      <c r="L981" s="17"/>
      <c r="M981" s="17"/>
      <c r="N981" s="17">
        <v>366</v>
      </c>
      <c r="O981" s="54"/>
      <c r="P981" s="54"/>
      <c r="Q981" s="54"/>
      <c r="R981" s="54"/>
      <c r="S981" s="54"/>
      <c r="T981" s="54"/>
      <c r="U981" s="54"/>
      <c r="V981" s="54"/>
      <c r="W981" s="165"/>
      <c r="X981" s="165"/>
      <c r="Y981" s="165"/>
      <c r="Z981" s="165"/>
      <c r="AA981" s="165"/>
      <c r="AB981" s="165"/>
      <c r="AC981" s="165"/>
      <c r="AD981" s="165"/>
      <c r="AE981" s="54"/>
      <c r="AF981" s="54"/>
      <c r="AG981" s="54"/>
      <c r="AH981" s="54"/>
      <c r="AI981" s="17">
        <v>0.98099999999999998</v>
      </c>
      <c r="AJ981" s="17">
        <v>102.47</v>
      </c>
      <c r="AK981" s="17" t="s">
        <v>172</v>
      </c>
      <c r="AL981" s="17"/>
      <c r="AM981" s="17"/>
      <c r="AN981" s="17">
        <v>123</v>
      </c>
      <c r="AO981" s="17"/>
      <c r="AP981" s="17"/>
      <c r="AQ981" s="17"/>
      <c r="AR981" s="17"/>
      <c r="AS981" s="17"/>
      <c r="AT981" s="17" t="s">
        <v>175</v>
      </c>
      <c r="AU981" s="3"/>
    </row>
    <row r="982" spans="1:47" x14ac:dyDescent="0.2">
      <c r="A982" s="115">
        <v>979.99999999999704</v>
      </c>
      <c r="B982">
        <v>201</v>
      </c>
      <c r="C982" s="169" t="s">
        <v>28</v>
      </c>
      <c r="D982" s="129" t="s">
        <v>140</v>
      </c>
      <c r="E982" s="17" t="s">
        <v>141</v>
      </c>
      <c r="F982" t="s">
        <v>61</v>
      </c>
      <c r="H982" t="s">
        <v>61</v>
      </c>
      <c r="I982" s="80">
        <v>44549</v>
      </c>
      <c r="J982" s="17" t="s">
        <v>142</v>
      </c>
      <c r="K982" s="17" t="s">
        <v>203</v>
      </c>
      <c r="L982"/>
      <c r="M982">
        <v>177.6</v>
      </c>
      <c r="N982">
        <v>189.1</v>
      </c>
      <c r="O982">
        <v>194.28</v>
      </c>
      <c r="P982">
        <v>198.29</v>
      </c>
      <c r="Q982">
        <v>45.14</v>
      </c>
      <c r="R982">
        <v>30.18</v>
      </c>
      <c r="S982">
        <v>122.46</v>
      </c>
      <c r="T982">
        <v>95.56</v>
      </c>
      <c r="U982">
        <v>55.45</v>
      </c>
      <c r="V982">
        <v>40.01</v>
      </c>
      <c r="W982">
        <v>66.290000000000006</v>
      </c>
      <c r="X982">
        <v>82.12</v>
      </c>
      <c r="Y982">
        <v>34.630000000000003</v>
      </c>
      <c r="Z982">
        <v>93.33</v>
      </c>
      <c r="AA982">
        <v>73.260000000000005</v>
      </c>
      <c r="AB982">
        <v>64.44</v>
      </c>
      <c r="AC982">
        <v>16.100000000000001</v>
      </c>
      <c r="AD982">
        <v>44.23</v>
      </c>
      <c r="AE982">
        <v>45.27</v>
      </c>
      <c r="AF982">
        <v>38.33</v>
      </c>
      <c r="AG982">
        <v>45.21</v>
      </c>
      <c r="AH982">
        <v>38.26</v>
      </c>
      <c r="AI982">
        <v>1.2889999999999999</v>
      </c>
      <c r="AJ982"/>
      <c r="AK982"/>
      <c r="AL982" s="61"/>
      <c r="AM982"/>
      <c r="AN982"/>
      <c r="AO982">
        <v>7.8</v>
      </c>
      <c r="AP982">
        <v>52.6</v>
      </c>
      <c r="AQ982">
        <v>87.2</v>
      </c>
      <c r="AR982">
        <v>38</v>
      </c>
      <c r="AS982">
        <v>16.8</v>
      </c>
      <c r="AT982" t="s">
        <v>147</v>
      </c>
      <c r="AU982" t="s">
        <v>147</v>
      </c>
    </row>
    <row r="983" spans="1:47" ht="17" x14ac:dyDescent="0.2">
      <c r="A983" s="115">
        <v>980</v>
      </c>
      <c r="B983" s="3">
        <v>168</v>
      </c>
      <c r="C983" s="12" t="s">
        <v>28</v>
      </c>
      <c r="D983" s="126" t="s">
        <v>168</v>
      </c>
      <c r="E983" s="17" t="s">
        <v>232</v>
      </c>
      <c r="F983" s="3" t="s">
        <v>251</v>
      </c>
      <c r="H983" s="59" t="s">
        <v>32</v>
      </c>
      <c r="I983" s="68">
        <v>44488</v>
      </c>
      <c r="J983" s="17" t="s">
        <v>142</v>
      </c>
      <c r="K983" s="3" t="s">
        <v>235</v>
      </c>
      <c r="AT983" s="17" t="s">
        <v>220</v>
      </c>
    </row>
    <row r="984" spans="1:47" x14ac:dyDescent="0.2">
      <c r="A984" s="115">
        <v>980.00000000000045</v>
      </c>
      <c r="B984" s="3">
        <v>207</v>
      </c>
      <c r="C984" s="170" t="s">
        <v>28</v>
      </c>
      <c r="D984" s="129" t="s">
        <v>140</v>
      </c>
      <c r="E984" t="s">
        <v>141</v>
      </c>
      <c r="F984" s="3" t="s">
        <v>60</v>
      </c>
      <c r="H984" s="3" t="s">
        <v>60</v>
      </c>
      <c r="I984" s="82">
        <v>44558</v>
      </c>
      <c r="J984" s="17" t="s">
        <v>142</v>
      </c>
      <c r="K984" s="17" t="s">
        <v>203</v>
      </c>
      <c r="L984"/>
      <c r="M984">
        <v>223.3</v>
      </c>
      <c r="N984" s="17">
        <v>230.2</v>
      </c>
      <c r="O984">
        <v>149.77000000000001</v>
      </c>
      <c r="P984">
        <v>168.48</v>
      </c>
      <c r="Q984">
        <v>28.18</v>
      </c>
      <c r="R984">
        <v>16.559999999999999</v>
      </c>
      <c r="S984">
        <v>111.76</v>
      </c>
      <c r="T984">
        <v>93.87</v>
      </c>
      <c r="U984">
        <v>62.5</v>
      </c>
      <c r="V984">
        <v>53.39</v>
      </c>
      <c r="W984">
        <v>74.11</v>
      </c>
      <c r="X984">
        <v>89.43</v>
      </c>
      <c r="Y984">
        <v>36.630000000000003</v>
      </c>
      <c r="Z984">
        <v>99.15</v>
      </c>
      <c r="AA984">
        <v>78.13</v>
      </c>
      <c r="AB984">
        <v>75.94</v>
      </c>
      <c r="AC984">
        <v>15.1</v>
      </c>
      <c r="AD984">
        <v>48.41</v>
      </c>
      <c r="AE984">
        <v>28.21</v>
      </c>
      <c r="AF984">
        <v>25.64</v>
      </c>
      <c r="AG984">
        <v>29.77</v>
      </c>
      <c r="AH984">
        <v>36.85</v>
      </c>
      <c r="AI984" s="17">
        <v>2.3959999999999999</v>
      </c>
      <c r="AJ984"/>
      <c r="AK984"/>
      <c r="AL984">
        <v>25</v>
      </c>
      <c r="AM984"/>
      <c r="AN984"/>
      <c r="AO984">
        <v>10.3</v>
      </c>
      <c r="AP984">
        <v>69.2</v>
      </c>
      <c r="AQ984">
        <v>67.8</v>
      </c>
      <c r="AR984">
        <v>52.9</v>
      </c>
      <c r="AS984">
        <v>22.7</v>
      </c>
    </row>
    <row r="985" spans="1:47" x14ac:dyDescent="0.2">
      <c r="A985" s="115">
        <v>980.99999999999397</v>
      </c>
      <c r="B985">
        <v>203</v>
      </c>
      <c r="C985" s="3">
        <v>21.981000000000002</v>
      </c>
      <c r="D985" s="129" t="s">
        <v>140</v>
      </c>
      <c r="E985" s="17" t="s">
        <v>141</v>
      </c>
      <c r="F985" t="s">
        <v>61</v>
      </c>
      <c r="H985" t="s">
        <v>61</v>
      </c>
      <c r="I985" s="80">
        <v>44549</v>
      </c>
      <c r="J985" s="17" t="s">
        <v>142</v>
      </c>
      <c r="K985" s="17" t="s">
        <v>203</v>
      </c>
      <c r="L985"/>
      <c r="M985">
        <v>182</v>
      </c>
      <c r="N985">
        <v>190.2</v>
      </c>
      <c r="O985">
        <v>182.14</v>
      </c>
      <c r="P985">
        <v>184.49</v>
      </c>
      <c r="Q985">
        <v>45.47</v>
      </c>
      <c r="R985">
        <v>26.57</v>
      </c>
      <c r="S985">
        <v>116.27</v>
      </c>
      <c r="T985">
        <v>89.93</v>
      </c>
      <c r="U985">
        <v>58.48</v>
      </c>
      <c r="V985">
        <v>41.35</v>
      </c>
      <c r="W985">
        <v>65.650000000000006</v>
      </c>
      <c r="X985">
        <v>82.11</v>
      </c>
      <c r="Y985">
        <v>36.18</v>
      </c>
      <c r="Z985">
        <v>90.56</v>
      </c>
      <c r="AA985">
        <v>73.05</v>
      </c>
      <c r="AB985">
        <v>67.34</v>
      </c>
      <c r="AC985">
        <v>13.97</v>
      </c>
      <c r="AD985">
        <v>44.19</v>
      </c>
      <c r="AE985">
        <v>42.55</v>
      </c>
      <c r="AF985">
        <v>36.479999999999997</v>
      </c>
      <c r="AG985">
        <v>37.380000000000003</v>
      </c>
      <c r="AH985">
        <v>29.9</v>
      </c>
      <c r="AI985">
        <v>1.349</v>
      </c>
      <c r="AJ985"/>
      <c r="AK985"/>
      <c r="AL985" s="61"/>
      <c r="AM985"/>
      <c r="AN985"/>
      <c r="AO985">
        <v>6.3</v>
      </c>
      <c r="AP985">
        <v>47.3</v>
      </c>
      <c r="AQ985">
        <v>88.1</v>
      </c>
      <c r="AR985">
        <v>36.5</v>
      </c>
      <c r="AS985">
        <v>16.399999999999999</v>
      </c>
      <c r="AT985" t="s">
        <v>147</v>
      </c>
      <c r="AU985" t="s">
        <v>147</v>
      </c>
    </row>
    <row r="986" spans="1:47" x14ac:dyDescent="0.2">
      <c r="A986" s="115">
        <v>980.99999999999397</v>
      </c>
      <c r="B986">
        <v>1</v>
      </c>
      <c r="C986" s="3">
        <v>21.981000000000002</v>
      </c>
      <c r="D986" s="83" t="s">
        <v>200</v>
      </c>
      <c r="E986" t="s">
        <v>201</v>
      </c>
      <c r="F986" s="3" t="s">
        <v>202</v>
      </c>
      <c r="I986" s="56">
        <v>44553</v>
      </c>
      <c r="J986" t="s">
        <v>142</v>
      </c>
      <c r="K986" t="s">
        <v>166</v>
      </c>
      <c r="L986"/>
      <c r="M986">
        <v>200</v>
      </c>
      <c r="N986">
        <v>234.5</v>
      </c>
      <c r="O986">
        <v>191.98</v>
      </c>
      <c r="P986">
        <v>206.67</v>
      </c>
      <c r="Q986">
        <v>39.25</v>
      </c>
      <c r="R986">
        <v>29.98</v>
      </c>
      <c r="S986">
        <v>126.89</v>
      </c>
      <c r="T986">
        <v>99.69</v>
      </c>
      <c r="U986">
        <v>65.959999999999994</v>
      </c>
      <c r="V986">
        <v>52.63</v>
      </c>
      <c r="W986">
        <v>73.42</v>
      </c>
      <c r="X986">
        <v>87.71</v>
      </c>
      <c r="Y986">
        <v>38.14</v>
      </c>
      <c r="Z986">
        <v>99.88</v>
      </c>
      <c r="AA986">
        <v>74.88</v>
      </c>
      <c r="AB986">
        <v>84.45</v>
      </c>
      <c r="AC986">
        <v>32.04</v>
      </c>
      <c r="AD986">
        <v>45.67</v>
      </c>
      <c r="AE986">
        <v>32.29</v>
      </c>
      <c r="AF986">
        <v>37.57</v>
      </c>
      <c r="AG986">
        <v>35.479999999999997</v>
      </c>
      <c r="AH986">
        <v>42.68</v>
      </c>
      <c r="AI986">
        <v>1.3560000000000001</v>
      </c>
      <c r="AJ986"/>
      <c r="AK986"/>
      <c r="AL986">
        <v>22</v>
      </c>
      <c r="AM986"/>
      <c r="AN986"/>
      <c r="AO986">
        <v>11.3</v>
      </c>
      <c r="AP986">
        <v>81.5</v>
      </c>
      <c r="AQ986">
        <v>64.3</v>
      </c>
      <c r="AR986">
        <v>51.7</v>
      </c>
      <c r="AS986">
        <v>22.6</v>
      </c>
      <c r="AT986" t="s">
        <v>147</v>
      </c>
      <c r="AU986" t="s">
        <v>147</v>
      </c>
    </row>
    <row r="987" spans="1:47" x14ac:dyDescent="0.2">
      <c r="A987" s="115">
        <v>981</v>
      </c>
      <c r="B987" s="77">
        <v>181</v>
      </c>
      <c r="C987" s="3">
        <v>21.981000000000002</v>
      </c>
      <c r="D987" s="126" t="s">
        <v>168</v>
      </c>
      <c r="E987" s="17" t="s">
        <v>232</v>
      </c>
      <c r="F987" s="3" t="s">
        <v>251</v>
      </c>
      <c r="I987" s="68">
        <v>44503</v>
      </c>
      <c r="J987" s="17" t="s">
        <v>142</v>
      </c>
      <c r="K987" s="3" t="s">
        <v>235</v>
      </c>
    </row>
    <row r="988" spans="1:47" x14ac:dyDescent="0.2">
      <c r="A988" s="115">
        <v>981.99999999998499</v>
      </c>
      <c r="B988" s="3">
        <v>199</v>
      </c>
      <c r="C988" s="3">
        <v>21.981999999999999</v>
      </c>
      <c r="D988" s="126" t="s">
        <v>168</v>
      </c>
      <c r="E988" t="s">
        <v>169</v>
      </c>
      <c r="F988" s="3" t="s">
        <v>170</v>
      </c>
      <c r="I988" s="81">
        <v>44507</v>
      </c>
      <c r="J988" s="17" t="s">
        <v>142</v>
      </c>
      <c r="K988" s="17" t="s">
        <v>235</v>
      </c>
      <c r="AT988" s="171"/>
      <c r="AU988" s="171"/>
    </row>
    <row r="989" spans="1:47" x14ac:dyDescent="0.2">
      <c r="A989" s="115">
        <v>981.99999999999204</v>
      </c>
      <c r="B989">
        <v>202</v>
      </c>
      <c r="C989" s="3">
        <v>21.981999999999999</v>
      </c>
      <c r="D989" s="129" t="s">
        <v>140</v>
      </c>
      <c r="E989" s="17" t="s">
        <v>141</v>
      </c>
      <c r="F989" t="s">
        <v>61</v>
      </c>
      <c r="H989" t="s">
        <v>61</v>
      </c>
      <c r="I989" s="80">
        <v>44549</v>
      </c>
      <c r="J989" s="17" t="s">
        <v>142</v>
      </c>
      <c r="K989" s="17" t="s">
        <v>203</v>
      </c>
      <c r="L989"/>
      <c r="M989">
        <v>191.9</v>
      </c>
      <c r="N989">
        <v>195.6</v>
      </c>
      <c r="O989">
        <v>181.67</v>
      </c>
      <c r="P989">
        <v>187.56</v>
      </c>
      <c r="Q989">
        <v>42.29</v>
      </c>
      <c r="R989">
        <v>23.94</v>
      </c>
      <c r="S989">
        <v>117.74</v>
      </c>
      <c r="T989">
        <v>93.71</v>
      </c>
      <c r="U989">
        <v>58.28</v>
      </c>
      <c r="V989">
        <v>41.63</v>
      </c>
      <c r="W989">
        <v>68.650000000000006</v>
      </c>
      <c r="X989">
        <v>83.56</v>
      </c>
      <c r="Y989">
        <v>35.82</v>
      </c>
      <c r="Z989">
        <v>92.5</v>
      </c>
      <c r="AA989">
        <v>74.599999999999994</v>
      </c>
      <c r="AB989">
        <v>66.819999999999993</v>
      </c>
      <c r="AC989">
        <v>15.82</v>
      </c>
      <c r="AD989">
        <v>46.43</v>
      </c>
      <c r="AE989">
        <v>38.5</v>
      </c>
      <c r="AF989">
        <v>37.51</v>
      </c>
      <c r="AG989">
        <v>41.42</v>
      </c>
      <c r="AH989">
        <v>33.4</v>
      </c>
      <c r="AI989">
        <v>1.419</v>
      </c>
      <c r="AJ989"/>
      <c r="AK989"/>
      <c r="AL989" s="61"/>
      <c r="AM989"/>
      <c r="AN989"/>
      <c r="AO989">
        <v>7.3</v>
      </c>
      <c r="AP989">
        <v>56.6</v>
      </c>
      <c r="AQ989">
        <v>91.2</v>
      </c>
      <c r="AR989">
        <v>37.9</v>
      </c>
      <c r="AS989">
        <v>16.600000000000001</v>
      </c>
      <c r="AT989" t="s">
        <v>147</v>
      </c>
      <c r="AU989" t="s">
        <v>147</v>
      </c>
    </row>
    <row r="990" spans="1:47" x14ac:dyDescent="0.2">
      <c r="A990" s="115">
        <v>982</v>
      </c>
      <c r="B990" s="108">
        <v>260</v>
      </c>
      <c r="C990" s="17">
        <v>21.981999999999999</v>
      </c>
      <c r="D990" s="78" t="s">
        <v>168</v>
      </c>
      <c r="E990" s="17" t="s">
        <v>169</v>
      </c>
      <c r="F990" s="3" t="s">
        <v>170</v>
      </c>
      <c r="I990" s="68">
        <v>44539</v>
      </c>
      <c r="J990" s="16" t="s">
        <v>142</v>
      </c>
      <c r="K990" s="16" t="s">
        <v>235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 t="s">
        <v>809</v>
      </c>
      <c r="AU990" s="3"/>
    </row>
    <row r="991" spans="1:47" x14ac:dyDescent="0.2">
      <c r="A991" s="115">
        <v>982.99999999998295</v>
      </c>
      <c r="B991" s="3">
        <v>209</v>
      </c>
      <c r="C991" s="3">
        <v>21.983000000000001</v>
      </c>
      <c r="D991" s="126" t="s">
        <v>168</v>
      </c>
      <c r="E991" t="s">
        <v>169</v>
      </c>
      <c r="F991" s="3" t="s">
        <v>170</v>
      </c>
      <c r="G991" s="3" t="s">
        <v>30</v>
      </c>
      <c r="I991" s="81">
        <v>44504</v>
      </c>
      <c r="J991" s="17" t="s">
        <v>142</v>
      </c>
      <c r="K991" s="17" t="s">
        <v>235</v>
      </c>
    </row>
    <row r="992" spans="1:47" x14ac:dyDescent="0.2">
      <c r="A992" s="115">
        <v>982.99999999999</v>
      </c>
      <c r="B992">
        <v>196</v>
      </c>
      <c r="C992" s="3">
        <v>21.983000000000001</v>
      </c>
      <c r="D992" s="129" t="s">
        <v>140</v>
      </c>
      <c r="E992" s="17" t="s">
        <v>141</v>
      </c>
      <c r="F992" t="s">
        <v>60</v>
      </c>
      <c r="H992" t="s">
        <v>60</v>
      </c>
      <c r="I992" s="80">
        <v>44547</v>
      </c>
      <c r="J992" s="17" t="s">
        <v>142</v>
      </c>
      <c r="K992" s="17" t="s">
        <v>203</v>
      </c>
      <c r="L992"/>
      <c r="M992">
        <v>158.5</v>
      </c>
      <c r="N992">
        <v>156.9</v>
      </c>
      <c r="O992">
        <v>135.19</v>
      </c>
      <c r="P992">
        <v>139.30000000000001</v>
      </c>
      <c r="Q992">
        <v>28.35</v>
      </c>
      <c r="R992">
        <v>11.51</v>
      </c>
      <c r="S992">
        <v>96.97</v>
      </c>
      <c r="T992">
        <v>78.84</v>
      </c>
      <c r="U992">
        <v>70.900000000000006</v>
      </c>
      <c r="V992">
        <v>53.78</v>
      </c>
      <c r="W992">
        <v>77.400000000000006</v>
      </c>
      <c r="X992">
        <v>83.26</v>
      </c>
      <c r="Y992">
        <v>38.76</v>
      </c>
      <c r="Z992">
        <v>92.57</v>
      </c>
      <c r="AA992">
        <v>66.599999999999994</v>
      </c>
      <c r="AB992">
        <v>78.489999999999995</v>
      </c>
      <c r="AC992">
        <v>24.82</v>
      </c>
      <c r="AD992">
        <v>38.89</v>
      </c>
      <c r="AE992">
        <v>24.1</v>
      </c>
      <c r="AF992">
        <v>36.65</v>
      </c>
      <c r="AG992">
        <v>34.130000000000003</v>
      </c>
      <c r="AH992">
        <v>34.64</v>
      </c>
      <c r="AI992">
        <v>1.948</v>
      </c>
      <c r="AJ992"/>
      <c r="AK992"/>
      <c r="AL992" s="61"/>
      <c r="AM992"/>
      <c r="AN992"/>
      <c r="AO992">
        <v>8.6999999999999993</v>
      </c>
      <c r="AP992">
        <v>71.2</v>
      </c>
      <c r="AQ992">
        <v>30.9</v>
      </c>
      <c r="AR992">
        <v>43.6</v>
      </c>
      <c r="AS992">
        <v>20</v>
      </c>
      <c r="AT992" t="s">
        <v>147</v>
      </c>
      <c r="AU992" t="s">
        <v>147</v>
      </c>
    </row>
    <row r="993" spans="1:47" x14ac:dyDescent="0.2">
      <c r="A993" s="115">
        <v>983</v>
      </c>
      <c r="B993" s="77">
        <v>384</v>
      </c>
      <c r="C993" s="3">
        <v>21.983000000000001</v>
      </c>
      <c r="D993" s="78" t="s">
        <v>168</v>
      </c>
      <c r="E993" s="17" t="s">
        <v>169</v>
      </c>
      <c r="F993" s="9" t="s">
        <v>170</v>
      </c>
      <c r="I993" s="81">
        <v>44556</v>
      </c>
      <c r="J993" s="3" t="s">
        <v>142</v>
      </c>
      <c r="K993" s="3" t="s">
        <v>203</v>
      </c>
    </row>
    <row r="994" spans="1:47" x14ac:dyDescent="0.2">
      <c r="A994" s="115">
        <v>983.99999999998101</v>
      </c>
      <c r="B994" s="3">
        <v>236</v>
      </c>
      <c r="C994" s="3">
        <v>21.984000000000002</v>
      </c>
      <c r="D994" s="126" t="s">
        <v>168</v>
      </c>
      <c r="E994" t="s">
        <v>169</v>
      </c>
      <c r="F994" s="9" t="s">
        <v>170</v>
      </c>
      <c r="I994" s="81">
        <v>44521</v>
      </c>
      <c r="J994" s="17" t="s">
        <v>142</v>
      </c>
      <c r="K994" s="17" t="s">
        <v>235</v>
      </c>
      <c r="AT994" t="s">
        <v>809</v>
      </c>
    </row>
    <row r="995" spans="1:47" x14ac:dyDescent="0.2">
      <c r="A995" s="115">
        <v>984</v>
      </c>
      <c r="B995" s="77">
        <v>385</v>
      </c>
      <c r="C995" s="17">
        <v>21.984000000000002</v>
      </c>
      <c r="D995" s="78" t="s">
        <v>168</v>
      </c>
      <c r="E995" s="17" t="s">
        <v>169</v>
      </c>
      <c r="F995" s="9" t="s">
        <v>170</v>
      </c>
      <c r="I995" s="68">
        <v>44556</v>
      </c>
      <c r="J995" s="3" t="s">
        <v>142</v>
      </c>
      <c r="K995" s="3" t="s">
        <v>203</v>
      </c>
    </row>
    <row r="996" spans="1:47" x14ac:dyDescent="0.2">
      <c r="A996" s="115">
        <v>984.99999999997897</v>
      </c>
      <c r="B996" s="3">
        <v>265</v>
      </c>
      <c r="C996" s="3">
        <v>21.984999999999999</v>
      </c>
      <c r="D996" s="126" t="s">
        <v>168</v>
      </c>
      <c r="E996" t="s">
        <v>169</v>
      </c>
      <c r="F996" s="9" t="s">
        <v>170</v>
      </c>
      <c r="G996" s="17"/>
      <c r="H996" s="17"/>
      <c r="I996" s="81">
        <v>44539</v>
      </c>
      <c r="J996" s="17" t="s">
        <v>142</v>
      </c>
      <c r="K996" s="17" t="s">
        <v>235</v>
      </c>
      <c r="AT996" s="17" t="s">
        <v>809</v>
      </c>
    </row>
    <row r="997" spans="1:47" ht="34" x14ac:dyDescent="0.2">
      <c r="A997" s="115">
        <v>985</v>
      </c>
      <c r="B997" s="77">
        <v>81</v>
      </c>
      <c r="C997" s="3">
        <v>21.984999999999999</v>
      </c>
      <c r="D997" s="78" t="s">
        <v>168</v>
      </c>
      <c r="E997" s="17" t="s">
        <v>232</v>
      </c>
      <c r="F997" s="17" t="s">
        <v>251</v>
      </c>
      <c r="G997" s="17"/>
      <c r="H997" s="59" t="s">
        <v>810</v>
      </c>
      <c r="I997" s="80">
        <v>44475</v>
      </c>
      <c r="J997" s="16" t="s">
        <v>142</v>
      </c>
      <c r="K997" s="17" t="s">
        <v>235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50"/>
      <c r="V997" s="50"/>
      <c r="W997" s="50"/>
      <c r="X997" s="50"/>
      <c r="Y997" s="50"/>
      <c r="Z997" s="50"/>
      <c r="AA997" s="50"/>
      <c r="AB997" s="50"/>
      <c r="AC997" s="50"/>
      <c r="AD997" s="50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U997" s="3"/>
    </row>
    <row r="998" spans="1:47" x14ac:dyDescent="0.2">
      <c r="A998" s="115">
        <v>985.99999999997601</v>
      </c>
      <c r="B998" s="3">
        <v>230</v>
      </c>
      <c r="C998" s="3">
        <v>21.986000000000001</v>
      </c>
      <c r="D998" s="44" t="s">
        <v>168</v>
      </c>
      <c r="E998" t="s">
        <v>232</v>
      </c>
      <c r="F998" s="17" t="s">
        <v>251</v>
      </c>
      <c r="G998" s="3" t="s">
        <v>32</v>
      </c>
      <c r="H998"/>
      <c r="I998" s="81">
        <v>44511</v>
      </c>
      <c r="J998" s="17" t="s">
        <v>142</v>
      </c>
      <c r="K998" s="17" t="s">
        <v>235</v>
      </c>
      <c r="AT998" t="s">
        <v>809</v>
      </c>
    </row>
    <row r="999" spans="1:47" x14ac:dyDescent="0.2">
      <c r="A999" s="115">
        <v>986</v>
      </c>
      <c r="B999" s="77">
        <v>82</v>
      </c>
      <c r="C999" s="17">
        <v>21.986000000000001</v>
      </c>
      <c r="D999" s="78" t="s">
        <v>168</v>
      </c>
      <c r="E999" s="17" t="s">
        <v>232</v>
      </c>
      <c r="F999" s="17" t="s">
        <v>251</v>
      </c>
      <c r="G999" t="s">
        <v>32</v>
      </c>
      <c r="H999" s="59"/>
      <c r="I999" s="80">
        <v>44475</v>
      </c>
      <c r="J999" s="16" t="s">
        <v>142</v>
      </c>
      <c r="K999" s="17" t="s">
        <v>235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50"/>
      <c r="V999" s="50"/>
      <c r="W999" s="50"/>
      <c r="X999" s="50"/>
      <c r="Y999" s="50"/>
      <c r="Z999" s="50"/>
      <c r="AA999" s="50"/>
      <c r="AB999" s="50"/>
      <c r="AC999" s="50"/>
      <c r="AD999" s="50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U999" s="3"/>
    </row>
    <row r="1000" spans="1:47" x14ac:dyDescent="0.2">
      <c r="A1000" s="115">
        <v>986.99999999997397</v>
      </c>
      <c r="B1000" s="3">
        <v>228</v>
      </c>
      <c r="C1000" s="3">
        <v>21.986999999999998</v>
      </c>
      <c r="D1000" s="44" t="s">
        <v>168</v>
      </c>
      <c r="E1000" t="s">
        <v>232</v>
      </c>
      <c r="F1000" s="17" t="s">
        <v>251</v>
      </c>
      <c r="G1000"/>
      <c r="H1000"/>
      <c r="I1000" s="81">
        <v>44504</v>
      </c>
      <c r="J1000" s="17" t="s">
        <v>142</v>
      </c>
      <c r="K1000" s="17" t="s">
        <v>235</v>
      </c>
    </row>
    <row r="1001" spans="1:47" ht="34" x14ac:dyDescent="0.2">
      <c r="A1001" s="115">
        <v>987</v>
      </c>
      <c r="B1001" s="77">
        <v>88</v>
      </c>
      <c r="C1001" s="3">
        <v>21.986999999999998</v>
      </c>
      <c r="D1001" s="78" t="s">
        <v>168</v>
      </c>
      <c r="E1001" s="17" t="s">
        <v>232</v>
      </c>
      <c r="F1001" s="17" t="s">
        <v>251</v>
      </c>
      <c r="G1001"/>
      <c r="H1001" s="59" t="s">
        <v>810</v>
      </c>
      <c r="I1001" s="172">
        <v>44475</v>
      </c>
      <c r="J1001" s="16" t="s">
        <v>142</v>
      </c>
      <c r="K1001" s="17" t="s">
        <v>235</v>
      </c>
    </row>
    <row r="1002" spans="1:47" x14ac:dyDescent="0.2">
      <c r="A1002" s="115">
        <v>987.99999999997306</v>
      </c>
      <c r="B1002" s="3">
        <v>205</v>
      </c>
      <c r="C1002" s="3">
        <v>21.988</v>
      </c>
      <c r="D1002" s="44" t="s">
        <v>168</v>
      </c>
      <c r="E1002" t="s">
        <v>169</v>
      </c>
      <c r="F1002" s="17" t="s">
        <v>170</v>
      </c>
      <c r="G1002"/>
      <c r="H1002"/>
      <c r="I1002" s="81">
        <v>44503</v>
      </c>
      <c r="J1002" s="17" t="s">
        <v>142</v>
      </c>
      <c r="K1002" s="17" t="s">
        <v>235</v>
      </c>
    </row>
    <row r="1003" spans="1:47" ht="34" x14ac:dyDescent="0.2">
      <c r="A1003" s="115">
        <v>988</v>
      </c>
      <c r="B1003" s="77" t="s">
        <v>811</v>
      </c>
      <c r="C1003" s="17">
        <v>21.988</v>
      </c>
      <c r="D1003" s="173" t="s">
        <v>187</v>
      </c>
      <c r="E1003" s="17" t="s">
        <v>188</v>
      </c>
      <c r="F1003" s="17">
        <v>262</v>
      </c>
      <c r="G1003" s="17">
        <v>262</v>
      </c>
      <c r="H1003"/>
      <c r="I1003" s="80">
        <v>44537</v>
      </c>
      <c r="J1003" s="17" t="s">
        <v>142</v>
      </c>
      <c r="K1003" s="17" t="s">
        <v>235</v>
      </c>
      <c r="L1003" s="17">
        <v>243</v>
      </c>
      <c r="M1003" s="17"/>
      <c r="N1003" s="17"/>
      <c r="O1003" s="17"/>
    </row>
    <row r="1004" spans="1:47" ht="33" customHeight="1" x14ac:dyDescent="0.2">
      <c r="A1004" s="115">
        <v>988.99999999997101</v>
      </c>
      <c r="B1004" s="3">
        <v>231</v>
      </c>
      <c r="C1004" s="3">
        <v>21.989000000000001</v>
      </c>
      <c r="D1004" s="44" t="s">
        <v>168</v>
      </c>
      <c r="E1004" t="s">
        <v>232</v>
      </c>
      <c r="F1004" s="17" t="s">
        <v>251</v>
      </c>
      <c r="G1004"/>
      <c r="H1004"/>
      <c r="I1004" s="68">
        <v>44512</v>
      </c>
      <c r="J1004" s="17" t="s">
        <v>142</v>
      </c>
      <c r="K1004" s="17" t="s">
        <v>235</v>
      </c>
    </row>
    <row r="1005" spans="1:47" ht="34" x14ac:dyDescent="0.2">
      <c r="A1005" s="115">
        <v>989</v>
      </c>
      <c r="B1005" s="77" t="s">
        <v>812</v>
      </c>
      <c r="C1005" s="3">
        <v>21.989000000000001</v>
      </c>
      <c r="D1005" s="173" t="s">
        <v>187</v>
      </c>
      <c r="E1005" s="17" t="s">
        <v>188</v>
      </c>
      <c r="F1005" s="17">
        <v>262</v>
      </c>
      <c r="G1005" s="17">
        <v>262</v>
      </c>
      <c r="I1005" s="80">
        <v>44545</v>
      </c>
      <c r="J1005" s="17" t="s">
        <v>142</v>
      </c>
      <c r="K1005" s="17" t="s">
        <v>235</v>
      </c>
      <c r="L1005" s="17">
        <v>282</v>
      </c>
      <c r="M1005" s="17"/>
      <c r="N1005" s="17"/>
      <c r="O1005" s="17"/>
    </row>
    <row r="1006" spans="1:47" x14ac:dyDescent="0.2">
      <c r="A1006" s="115">
        <v>989.99999999996896</v>
      </c>
      <c r="B1006" s="3">
        <v>227</v>
      </c>
      <c r="C1006" s="12" t="s">
        <v>25</v>
      </c>
      <c r="D1006" s="44" t="s">
        <v>168</v>
      </c>
      <c r="E1006" t="s">
        <v>232</v>
      </c>
      <c r="F1006" s="3" t="s">
        <v>251</v>
      </c>
      <c r="I1006" s="81">
        <v>44503</v>
      </c>
      <c r="J1006" s="17" t="s">
        <v>142</v>
      </c>
      <c r="K1006" s="17" t="s">
        <v>235</v>
      </c>
    </row>
    <row r="1007" spans="1:47" ht="51" x14ac:dyDescent="0.2">
      <c r="A1007" s="115">
        <v>990</v>
      </c>
      <c r="B1007" s="77">
        <v>88</v>
      </c>
      <c r="C1007" s="17">
        <v>21.99</v>
      </c>
      <c r="D1007" s="129" t="s">
        <v>140</v>
      </c>
      <c r="E1007" s="17" t="s">
        <v>141</v>
      </c>
      <c r="F1007" s="3" t="s">
        <v>164</v>
      </c>
      <c r="H1007" s="59" t="s">
        <v>157</v>
      </c>
      <c r="I1007" s="32">
        <v>44344</v>
      </c>
      <c r="J1007" s="17" t="s">
        <v>142</v>
      </c>
      <c r="K1007" s="16" t="s">
        <v>235</v>
      </c>
      <c r="L1007" s="17"/>
      <c r="M1007" s="17">
        <v>250.9</v>
      </c>
      <c r="N1007" s="17"/>
      <c r="O1007" s="17"/>
    </row>
    <row r="1008" spans="1:47" x14ac:dyDescent="0.2">
      <c r="A1008" s="115">
        <v>990.99999999996703</v>
      </c>
      <c r="B1008" s="3">
        <v>207</v>
      </c>
      <c r="C1008" s="3">
        <v>21.991</v>
      </c>
      <c r="D1008" s="44" t="s">
        <v>168</v>
      </c>
      <c r="E1008" t="s">
        <v>169</v>
      </c>
      <c r="F1008" s="3" t="s">
        <v>170</v>
      </c>
      <c r="G1008" s="9" t="s">
        <v>29</v>
      </c>
      <c r="I1008" s="81">
        <v>44503</v>
      </c>
      <c r="J1008" s="17" t="s">
        <v>142</v>
      </c>
      <c r="K1008" s="17" t="s">
        <v>235</v>
      </c>
    </row>
    <row r="1009" spans="1:46" ht="17" x14ac:dyDescent="0.2">
      <c r="A1009" s="115">
        <v>991</v>
      </c>
      <c r="B1009" s="77">
        <v>175</v>
      </c>
      <c r="C1009" s="3">
        <v>21.991</v>
      </c>
      <c r="D1009" s="78" t="s">
        <v>168</v>
      </c>
      <c r="E1009" s="17" t="s">
        <v>169</v>
      </c>
      <c r="F1009" s="3" t="s">
        <v>170</v>
      </c>
      <c r="H1009" s="59" t="s">
        <v>30</v>
      </c>
      <c r="I1009" s="80">
        <v>44453</v>
      </c>
      <c r="J1009" s="16" t="s">
        <v>142</v>
      </c>
      <c r="K1009" s="17" t="s">
        <v>235</v>
      </c>
      <c r="L1009" s="17"/>
      <c r="M1009" s="17"/>
      <c r="N1009" s="17"/>
      <c r="O1009" s="17"/>
    </row>
    <row r="1010" spans="1:46" x14ac:dyDescent="0.2">
      <c r="A1010" s="115">
        <v>991.99999999996498</v>
      </c>
      <c r="B1010" s="3">
        <v>255</v>
      </c>
      <c r="C1010" s="3">
        <v>21.992000000000001</v>
      </c>
      <c r="D1010" s="44" t="s">
        <v>168</v>
      </c>
      <c r="E1010" t="s">
        <v>169</v>
      </c>
      <c r="F1010" s="3" t="s">
        <v>170</v>
      </c>
      <c r="I1010" s="68">
        <v>44528</v>
      </c>
      <c r="J1010" s="17" t="s">
        <v>142</v>
      </c>
      <c r="K1010" s="17" t="s">
        <v>235</v>
      </c>
      <c r="AT1010" s="17" t="s">
        <v>220</v>
      </c>
    </row>
    <row r="1011" spans="1:46" ht="17" x14ac:dyDescent="0.2">
      <c r="A1011" s="115">
        <v>992</v>
      </c>
      <c r="B1011" s="77">
        <v>177</v>
      </c>
      <c r="C1011" s="17">
        <v>21.992000000000001</v>
      </c>
      <c r="D1011" s="78" t="s">
        <v>168</v>
      </c>
      <c r="E1011" s="17" t="s">
        <v>169</v>
      </c>
      <c r="F1011" s="3" t="s">
        <v>170</v>
      </c>
      <c r="H1011" s="59" t="s">
        <v>30</v>
      </c>
      <c r="I1011" s="80">
        <v>44453</v>
      </c>
      <c r="J1011" s="16" t="s">
        <v>142</v>
      </c>
      <c r="K1011" s="17" t="s">
        <v>235</v>
      </c>
      <c r="L1011" s="17"/>
      <c r="M1011" s="17"/>
      <c r="N1011" s="17"/>
      <c r="O1011" s="17"/>
    </row>
    <row r="1012" spans="1:46" x14ac:dyDescent="0.2">
      <c r="A1012" s="115">
        <v>992.99999999996305</v>
      </c>
      <c r="B1012" s="3">
        <v>248</v>
      </c>
      <c r="C1012" s="3">
        <v>21.992999999999999</v>
      </c>
      <c r="D1012" s="44" t="s">
        <v>168</v>
      </c>
      <c r="E1012" t="s">
        <v>169</v>
      </c>
      <c r="F1012" s="3" t="s">
        <v>170</v>
      </c>
      <c r="H1012" s="9" t="s">
        <v>813</v>
      </c>
      <c r="I1012" s="68">
        <v>44547</v>
      </c>
      <c r="J1012" s="17" t="s">
        <v>142</v>
      </c>
      <c r="K1012" s="17" t="s">
        <v>235</v>
      </c>
      <c r="AT1012" s="17" t="s">
        <v>220</v>
      </c>
    </row>
    <row r="1013" spans="1:46" x14ac:dyDescent="0.2">
      <c r="A1013" s="115">
        <v>993</v>
      </c>
      <c r="B1013" s="77">
        <v>183</v>
      </c>
      <c r="C1013" s="3">
        <v>21.992999999999999</v>
      </c>
      <c r="D1013" s="78" t="s">
        <v>168</v>
      </c>
      <c r="E1013" s="17" t="s">
        <v>169</v>
      </c>
      <c r="F1013" s="3" t="s">
        <v>170</v>
      </c>
      <c r="I1013" s="80">
        <v>44469</v>
      </c>
      <c r="J1013" s="16" t="s">
        <v>142</v>
      </c>
      <c r="K1013" s="17" t="s">
        <v>235</v>
      </c>
      <c r="L1013" s="17">
        <v>287</v>
      </c>
      <c r="M1013" s="17"/>
      <c r="N1013" s="17"/>
      <c r="O1013" s="17"/>
    </row>
    <row r="1014" spans="1:46" ht="17" x14ac:dyDescent="0.2">
      <c r="A1014" s="115">
        <v>993.99999999996101</v>
      </c>
      <c r="B1014" s="3">
        <v>311</v>
      </c>
      <c r="C1014" s="3">
        <v>21.994</v>
      </c>
      <c r="D1014" s="44" t="s">
        <v>168</v>
      </c>
      <c r="E1014" t="s">
        <v>169</v>
      </c>
      <c r="F1014" s="3" t="s">
        <v>170</v>
      </c>
      <c r="G1014" s="59" t="s">
        <v>29</v>
      </c>
      <c r="I1014" s="68">
        <v>44559</v>
      </c>
      <c r="J1014" s="17" t="s">
        <v>142</v>
      </c>
      <c r="K1014" s="17" t="s">
        <v>235</v>
      </c>
      <c r="AT1014" s="17" t="s">
        <v>220</v>
      </c>
    </row>
    <row r="1015" spans="1:46" ht="34" x14ac:dyDescent="0.2">
      <c r="A1015" s="115">
        <v>994</v>
      </c>
      <c r="B1015" s="77">
        <v>123</v>
      </c>
      <c r="C1015" s="17">
        <v>21.994</v>
      </c>
      <c r="D1015" s="78" t="s">
        <v>168</v>
      </c>
      <c r="E1015" s="17" t="s">
        <v>232</v>
      </c>
      <c r="F1015" s="3" t="s">
        <v>251</v>
      </c>
      <c r="H1015" s="59" t="s">
        <v>275</v>
      </c>
      <c r="I1015" s="79">
        <v>44418</v>
      </c>
      <c r="J1015" s="16" t="s">
        <v>142</v>
      </c>
      <c r="K1015" s="16" t="s">
        <v>235</v>
      </c>
      <c r="L1015" s="17">
        <v>202</v>
      </c>
      <c r="M1015" s="17"/>
      <c r="N1015" s="17"/>
      <c r="O1015" s="17"/>
    </row>
    <row r="1016" spans="1:46" x14ac:dyDescent="0.2">
      <c r="A1016" s="115">
        <v>995</v>
      </c>
      <c r="B1016" s="3">
        <v>303</v>
      </c>
      <c r="C1016" s="3">
        <v>21.995000000000001</v>
      </c>
      <c r="D1016" s="44" t="s">
        <v>168</v>
      </c>
      <c r="E1016" s="3" t="s">
        <v>169</v>
      </c>
      <c r="F1016" s="28" t="s">
        <v>170</v>
      </c>
      <c r="G1016" s="28" t="s">
        <v>29</v>
      </c>
      <c r="H1016" s="28"/>
      <c r="I1016" s="174">
        <v>44559</v>
      </c>
      <c r="J1016" s="3" t="s">
        <v>142</v>
      </c>
      <c r="K1016" s="3" t="s">
        <v>204</v>
      </c>
      <c r="AT1016" s="17" t="s">
        <v>220</v>
      </c>
    </row>
    <row r="1017" spans="1:46" x14ac:dyDescent="0.2">
      <c r="A1017" s="115">
        <v>995</v>
      </c>
      <c r="B1017" s="77">
        <v>155</v>
      </c>
      <c r="C1017" s="3">
        <v>21.995000000000001</v>
      </c>
      <c r="D1017" s="78" t="s">
        <v>168</v>
      </c>
      <c r="E1017" s="17" t="s">
        <v>169</v>
      </c>
      <c r="F1017" s="28" t="s">
        <v>30</v>
      </c>
      <c r="H1017" s="28" t="s">
        <v>30</v>
      </c>
      <c r="I1017" s="79">
        <v>44403</v>
      </c>
      <c r="J1017" s="16" t="s">
        <v>142</v>
      </c>
      <c r="K1017" s="16" t="s">
        <v>235</v>
      </c>
      <c r="L1017" s="17"/>
      <c r="M1017" s="17"/>
      <c r="N1017" s="17"/>
      <c r="O1017" s="17"/>
    </row>
    <row r="1018" spans="1:46" x14ac:dyDescent="0.2">
      <c r="A1018" s="115">
        <v>996</v>
      </c>
      <c r="B1018" s="77">
        <v>258</v>
      </c>
      <c r="C1018" s="17">
        <v>21.995999999999999</v>
      </c>
      <c r="D1018" s="78" t="s">
        <v>168</v>
      </c>
      <c r="E1018" s="17" t="s">
        <v>169</v>
      </c>
      <c r="F1018" s="28" t="s">
        <v>170</v>
      </c>
      <c r="G1018" s="28"/>
      <c r="H1018" s="28"/>
      <c r="I1018" s="68">
        <v>44531</v>
      </c>
      <c r="J1018" s="16" t="s">
        <v>142</v>
      </c>
      <c r="K1018" s="16" t="s">
        <v>235</v>
      </c>
      <c r="L1018" s="17"/>
      <c r="M1018" s="17"/>
      <c r="N1018" s="17"/>
      <c r="O1018" s="17"/>
    </row>
    <row r="1019" spans="1:46" x14ac:dyDescent="0.2">
      <c r="A1019" s="115">
        <v>997</v>
      </c>
      <c r="B1019" s="77">
        <v>72</v>
      </c>
      <c r="C1019" s="3">
        <v>21.997</v>
      </c>
      <c r="D1019" s="139" t="s">
        <v>179</v>
      </c>
      <c r="E1019" s="17" t="s">
        <v>180</v>
      </c>
      <c r="F1019" s="3" t="s">
        <v>181</v>
      </c>
      <c r="I1019" s="68">
        <v>44504</v>
      </c>
      <c r="J1019" s="16" t="s">
        <v>142</v>
      </c>
      <c r="K1019" s="16" t="s">
        <v>235</v>
      </c>
      <c r="L1019" s="77">
        <v>275</v>
      </c>
      <c r="M1019" s="17"/>
      <c r="N1019" s="17"/>
      <c r="O1019" s="17"/>
    </row>
    <row r="1020" spans="1:46" x14ac:dyDescent="0.2">
      <c r="A1020" s="115">
        <v>998</v>
      </c>
      <c r="B1020" s="77">
        <v>73</v>
      </c>
      <c r="C1020" s="17">
        <v>21.998000000000001</v>
      </c>
      <c r="D1020" s="139" t="s">
        <v>179</v>
      </c>
      <c r="E1020" s="17" t="s">
        <v>180</v>
      </c>
      <c r="F1020" s="3" t="s">
        <v>181</v>
      </c>
      <c r="I1020" s="68">
        <v>44506</v>
      </c>
      <c r="J1020" s="16" t="s">
        <v>142</v>
      </c>
      <c r="K1020" s="16" t="s">
        <v>235</v>
      </c>
      <c r="L1020" s="77">
        <v>265</v>
      </c>
      <c r="M1020" s="17"/>
      <c r="N1020" s="17"/>
      <c r="O1020" s="17"/>
    </row>
    <row r="1021" spans="1:46" x14ac:dyDescent="0.2">
      <c r="A1021" s="115">
        <v>999</v>
      </c>
      <c r="B1021" s="77">
        <v>74</v>
      </c>
      <c r="C1021" s="3">
        <v>21.998999999999999</v>
      </c>
      <c r="D1021" s="139" t="s">
        <v>179</v>
      </c>
      <c r="E1021" s="17" t="s">
        <v>180</v>
      </c>
      <c r="F1021" s="3" t="s">
        <v>181</v>
      </c>
      <c r="G1021" s="28"/>
      <c r="H1021" s="28"/>
      <c r="I1021" s="68">
        <v>44506</v>
      </c>
      <c r="J1021" s="16" t="s">
        <v>142</v>
      </c>
      <c r="K1021" s="16" t="s">
        <v>235</v>
      </c>
      <c r="L1021" s="77">
        <v>260</v>
      </c>
      <c r="M1021" s="17"/>
      <c r="N1021" s="17"/>
      <c r="O1021" s="17"/>
    </row>
    <row r="1022" spans="1:46" x14ac:dyDescent="0.2">
      <c r="A1022" s="115">
        <v>1000</v>
      </c>
      <c r="B1022" s="77">
        <v>76</v>
      </c>
      <c r="C1022" s="22" t="s">
        <v>814</v>
      </c>
      <c r="D1022" s="139" t="s">
        <v>179</v>
      </c>
      <c r="E1022" s="17" t="s">
        <v>180</v>
      </c>
      <c r="F1022" s="3" t="s">
        <v>181</v>
      </c>
      <c r="G1022" s="28"/>
      <c r="H1022" s="28"/>
      <c r="I1022" s="68">
        <v>44507</v>
      </c>
      <c r="J1022" s="16" t="s">
        <v>142</v>
      </c>
      <c r="K1022" s="16" t="s">
        <v>235</v>
      </c>
      <c r="L1022" s="77">
        <v>275</v>
      </c>
      <c r="M1022" s="17"/>
      <c r="N1022" s="17"/>
      <c r="O1022" s="17"/>
    </row>
    <row r="1023" spans="1:46" x14ac:dyDescent="0.2">
      <c r="A1023" s="115">
        <v>1001</v>
      </c>
      <c r="B1023" s="77">
        <v>77</v>
      </c>
      <c r="C1023" s="3">
        <v>21.100100000000001</v>
      </c>
      <c r="D1023" s="139" t="s">
        <v>179</v>
      </c>
      <c r="E1023" s="17" t="s">
        <v>180</v>
      </c>
      <c r="F1023" s="3" t="s">
        <v>181</v>
      </c>
      <c r="G1023" s="28"/>
      <c r="H1023" s="28"/>
      <c r="I1023" s="68">
        <v>44507</v>
      </c>
      <c r="J1023" s="16" t="s">
        <v>142</v>
      </c>
      <c r="K1023" s="16" t="s">
        <v>235</v>
      </c>
      <c r="L1023" s="77">
        <v>280</v>
      </c>
      <c r="M1023" s="17"/>
      <c r="N1023" s="17"/>
      <c r="O1023" s="17"/>
    </row>
    <row r="1024" spans="1:46" x14ac:dyDescent="0.2">
      <c r="A1024" s="115">
        <v>1002</v>
      </c>
      <c r="B1024" s="77">
        <v>79</v>
      </c>
      <c r="C1024" s="17">
        <v>21.100200000000001</v>
      </c>
      <c r="D1024" s="139" t="s">
        <v>179</v>
      </c>
      <c r="E1024" s="17" t="s">
        <v>180</v>
      </c>
      <c r="F1024" s="3" t="s">
        <v>181</v>
      </c>
      <c r="G1024" s="28"/>
      <c r="H1024" s="28"/>
      <c r="I1024" s="68">
        <v>44515</v>
      </c>
      <c r="J1024" s="16" t="s">
        <v>142</v>
      </c>
      <c r="K1024" s="16" t="s">
        <v>235</v>
      </c>
      <c r="L1024" s="77">
        <v>280</v>
      </c>
      <c r="M1024" s="17"/>
      <c r="N1024" s="17"/>
      <c r="O1024" s="17"/>
    </row>
    <row r="1025" spans="1:46" x14ac:dyDescent="0.2">
      <c r="A1025" s="115">
        <v>1003</v>
      </c>
      <c r="B1025" s="77">
        <v>80</v>
      </c>
      <c r="C1025" s="3">
        <v>21.100300000000001</v>
      </c>
      <c r="D1025" s="139" t="s">
        <v>179</v>
      </c>
      <c r="E1025" s="17" t="s">
        <v>180</v>
      </c>
      <c r="F1025" s="3" t="s">
        <v>181</v>
      </c>
      <c r="G1025" s="28"/>
      <c r="H1025" s="28"/>
      <c r="I1025" s="68">
        <v>44515</v>
      </c>
      <c r="J1025" s="16" t="s">
        <v>142</v>
      </c>
      <c r="K1025" s="16" t="s">
        <v>235</v>
      </c>
      <c r="L1025" s="77">
        <v>275</v>
      </c>
      <c r="M1025" s="17"/>
      <c r="N1025" s="17"/>
      <c r="O1025" s="17"/>
    </row>
    <row r="1026" spans="1:46" ht="17" x14ac:dyDescent="0.2">
      <c r="A1026" s="115">
        <v>1004</v>
      </c>
      <c r="B1026" s="3">
        <v>167</v>
      </c>
      <c r="C1026" s="3">
        <v>21.1004</v>
      </c>
      <c r="D1026" s="78" t="s">
        <v>168</v>
      </c>
      <c r="E1026" s="17" t="s">
        <v>169</v>
      </c>
      <c r="F1026" s="28" t="s">
        <v>170</v>
      </c>
      <c r="H1026" s="59" t="s">
        <v>30</v>
      </c>
      <c r="I1026" s="68">
        <v>44488</v>
      </c>
      <c r="J1026" s="3" t="s">
        <v>142</v>
      </c>
      <c r="K1026" s="3" t="s">
        <v>203</v>
      </c>
    </row>
    <row r="1027" spans="1:46" ht="17" x14ac:dyDescent="0.2">
      <c r="A1027" s="115">
        <v>1005</v>
      </c>
      <c r="B1027" s="77">
        <v>169</v>
      </c>
      <c r="C1027" s="3">
        <v>21.1005</v>
      </c>
      <c r="D1027" s="78" t="s">
        <v>168</v>
      </c>
      <c r="E1027" s="17" t="s">
        <v>232</v>
      </c>
      <c r="F1027" s="28" t="s">
        <v>251</v>
      </c>
      <c r="H1027" s="59" t="s">
        <v>32</v>
      </c>
      <c r="I1027" s="68">
        <v>44488</v>
      </c>
      <c r="J1027" s="3" t="s">
        <v>142</v>
      </c>
      <c r="K1027" s="3" t="s">
        <v>235</v>
      </c>
    </row>
    <row r="1028" spans="1:46" ht="17" x14ac:dyDescent="0.2">
      <c r="A1028" s="115">
        <v>1006</v>
      </c>
      <c r="B1028" s="77">
        <v>170</v>
      </c>
      <c r="C1028" s="3">
        <v>21.1006</v>
      </c>
      <c r="D1028" s="78" t="s">
        <v>168</v>
      </c>
      <c r="E1028" s="17" t="s">
        <v>232</v>
      </c>
      <c r="F1028" s="28" t="s">
        <v>251</v>
      </c>
      <c r="H1028" s="59" t="s">
        <v>32</v>
      </c>
      <c r="I1028" s="68">
        <v>44488</v>
      </c>
      <c r="J1028" s="3" t="s">
        <v>142</v>
      </c>
      <c r="K1028" s="17" t="s">
        <v>235</v>
      </c>
    </row>
    <row r="1029" spans="1:46" x14ac:dyDescent="0.2">
      <c r="A1029" s="115">
        <v>1007</v>
      </c>
      <c r="B1029" s="77">
        <v>171</v>
      </c>
      <c r="C1029" s="3">
        <v>21.1007</v>
      </c>
      <c r="D1029" s="78" t="s">
        <v>168</v>
      </c>
      <c r="E1029" s="17" t="s">
        <v>232</v>
      </c>
      <c r="F1029" s="28" t="s">
        <v>251</v>
      </c>
      <c r="I1029" s="68">
        <v>44489</v>
      </c>
      <c r="J1029" s="3" t="s">
        <v>142</v>
      </c>
      <c r="K1029" s="17" t="s">
        <v>235</v>
      </c>
    </row>
    <row r="1030" spans="1:46" x14ac:dyDescent="0.2">
      <c r="A1030" s="115">
        <v>1008</v>
      </c>
      <c r="B1030" s="77">
        <v>172</v>
      </c>
      <c r="C1030" s="3">
        <v>21.1008</v>
      </c>
      <c r="D1030" s="78" t="s">
        <v>168</v>
      </c>
      <c r="E1030" s="17" t="s">
        <v>232</v>
      </c>
      <c r="F1030" s="28" t="s">
        <v>251</v>
      </c>
      <c r="I1030" s="68">
        <v>44489</v>
      </c>
      <c r="J1030" s="3" t="s">
        <v>142</v>
      </c>
      <c r="K1030" s="17" t="s">
        <v>203</v>
      </c>
    </row>
    <row r="1031" spans="1:46" x14ac:dyDescent="0.2">
      <c r="A1031" s="115">
        <v>1009</v>
      </c>
      <c r="B1031" s="77">
        <v>173</v>
      </c>
      <c r="C1031" s="3">
        <v>21.100899999999999</v>
      </c>
      <c r="D1031" s="78" t="s">
        <v>168</v>
      </c>
      <c r="E1031" s="17" t="s">
        <v>232</v>
      </c>
      <c r="F1031" s="28" t="s">
        <v>251</v>
      </c>
      <c r="I1031" s="68">
        <v>44489</v>
      </c>
      <c r="J1031" s="3" t="s">
        <v>142</v>
      </c>
      <c r="K1031" s="17" t="s">
        <v>204</v>
      </c>
    </row>
    <row r="1032" spans="1:46" x14ac:dyDescent="0.2">
      <c r="A1032" s="115">
        <v>1010</v>
      </c>
      <c r="B1032" s="77">
        <v>174</v>
      </c>
      <c r="C1032" s="12" t="s">
        <v>815</v>
      </c>
      <c r="D1032" s="78" t="s">
        <v>168</v>
      </c>
      <c r="E1032" s="17" t="s">
        <v>169</v>
      </c>
      <c r="F1032" s="3" t="s">
        <v>170</v>
      </c>
      <c r="I1032" s="68">
        <v>44493</v>
      </c>
      <c r="J1032" s="3" t="s">
        <v>142</v>
      </c>
      <c r="K1032" s="17" t="s">
        <v>204</v>
      </c>
    </row>
    <row r="1033" spans="1:46" x14ac:dyDescent="0.2">
      <c r="A1033" s="115">
        <v>1011</v>
      </c>
      <c r="B1033" s="77">
        <v>178</v>
      </c>
      <c r="C1033" s="17">
        <v>21.101099999999999</v>
      </c>
      <c r="D1033" s="78" t="s">
        <v>168</v>
      </c>
      <c r="E1033" s="17" t="s">
        <v>169</v>
      </c>
      <c r="F1033" s="3" t="s">
        <v>170</v>
      </c>
      <c r="I1033" s="80">
        <v>44453</v>
      </c>
      <c r="J1033" s="16" t="s">
        <v>142</v>
      </c>
      <c r="K1033" s="17" t="s">
        <v>204</v>
      </c>
      <c r="L1033" s="111"/>
      <c r="M1033" s="17" t="s">
        <v>816</v>
      </c>
    </row>
    <row r="1034" spans="1:46" x14ac:dyDescent="0.2">
      <c r="A1034" s="115">
        <v>1012</v>
      </c>
      <c r="B1034" s="77">
        <v>179</v>
      </c>
      <c r="C1034" s="17">
        <v>21.101199999999999</v>
      </c>
      <c r="D1034" s="78" t="s">
        <v>168</v>
      </c>
      <c r="E1034" s="17" t="s">
        <v>169</v>
      </c>
      <c r="F1034" s="3" t="s">
        <v>170</v>
      </c>
      <c r="I1034" s="80">
        <v>44453</v>
      </c>
      <c r="J1034" s="16" t="s">
        <v>142</v>
      </c>
      <c r="K1034" s="17" t="s">
        <v>235</v>
      </c>
      <c r="L1034" s="111"/>
      <c r="M1034" s="17" t="s">
        <v>816</v>
      </c>
    </row>
    <row r="1035" spans="1:46" x14ac:dyDescent="0.2">
      <c r="A1035" s="115">
        <v>1013</v>
      </c>
      <c r="B1035" s="77">
        <v>185</v>
      </c>
      <c r="C1035" s="17">
        <v>21.101299999999998</v>
      </c>
      <c r="D1035" s="78" t="s">
        <v>168</v>
      </c>
      <c r="E1035" s="17" t="s">
        <v>169</v>
      </c>
      <c r="F1035" s="3" t="s">
        <v>170</v>
      </c>
      <c r="I1035" s="80">
        <v>44469</v>
      </c>
      <c r="J1035" s="16" t="s">
        <v>142</v>
      </c>
      <c r="K1035" s="17" t="s">
        <v>235</v>
      </c>
      <c r="L1035" s="17">
        <v>320</v>
      </c>
      <c r="M1035" s="17" t="s">
        <v>816</v>
      </c>
    </row>
    <row r="1036" spans="1:46" x14ac:dyDescent="0.2">
      <c r="A1036" s="115">
        <v>1014</v>
      </c>
      <c r="B1036" s="77">
        <v>187</v>
      </c>
      <c r="C1036" s="17">
        <v>21.101400000000002</v>
      </c>
      <c r="D1036" s="78" t="s">
        <v>168</v>
      </c>
      <c r="E1036" s="17" t="s">
        <v>169</v>
      </c>
      <c r="F1036" s="3" t="s">
        <v>170</v>
      </c>
      <c r="I1036" s="80">
        <v>44481</v>
      </c>
      <c r="J1036" s="16" t="s">
        <v>142</v>
      </c>
      <c r="K1036" s="17" t="s">
        <v>204</v>
      </c>
      <c r="L1036" s="17">
        <v>318</v>
      </c>
      <c r="M1036" s="17" t="s">
        <v>816</v>
      </c>
    </row>
    <row r="1037" spans="1:46" x14ac:dyDescent="0.2">
      <c r="A1037" s="115">
        <v>1015</v>
      </c>
      <c r="B1037" s="77">
        <v>188</v>
      </c>
      <c r="C1037" s="17">
        <v>21.101500000000001</v>
      </c>
      <c r="D1037" s="78" t="s">
        <v>168</v>
      </c>
      <c r="E1037" s="17" t="s">
        <v>169</v>
      </c>
      <c r="F1037" s="3" t="s">
        <v>170</v>
      </c>
      <c r="I1037" s="80">
        <v>44481</v>
      </c>
      <c r="J1037" s="16" t="s">
        <v>142</v>
      </c>
      <c r="K1037" s="17" t="s">
        <v>204</v>
      </c>
      <c r="L1037" s="17">
        <v>316</v>
      </c>
      <c r="M1037" s="17" t="s">
        <v>816</v>
      </c>
    </row>
    <row r="1038" spans="1:46" x14ac:dyDescent="0.2">
      <c r="A1038" s="115">
        <v>1016</v>
      </c>
      <c r="B1038" s="3">
        <v>202</v>
      </c>
      <c r="C1038" s="17">
        <v>21.101600000000001</v>
      </c>
      <c r="D1038" s="78" t="s">
        <v>168</v>
      </c>
      <c r="E1038" s="17" t="s">
        <v>169</v>
      </c>
      <c r="F1038" s="3" t="s">
        <v>170</v>
      </c>
      <c r="I1038" s="68">
        <v>44507</v>
      </c>
      <c r="J1038" s="16" t="s">
        <v>142</v>
      </c>
      <c r="K1038" s="17" t="s">
        <v>204</v>
      </c>
      <c r="AT1038" s="3" t="s">
        <v>220</v>
      </c>
    </row>
    <row r="1039" spans="1:46" ht="34" x14ac:dyDescent="0.2">
      <c r="A1039" s="115">
        <v>1017</v>
      </c>
      <c r="B1039" s="77">
        <v>249</v>
      </c>
      <c r="C1039" s="17">
        <v>21.101700000000001</v>
      </c>
      <c r="D1039" s="78" t="s">
        <v>168</v>
      </c>
      <c r="E1039" s="59" t="s">
        <v>169</v>
      </c>
      <c r="F1039" s="3" t="s">
        <v>170</v>
      </c>
      <c r="I1039" s="68">
        <v>44545</v>
      </c>
      <c r="J1039" s="16" t="s">
        <v>142</v>
      </c>
      <c r="K1039" s="17" t="s">
        <v>204</v>
      </c>
      <c r="AT1039" s="3" t="s">
        <v>817</v>
      </c>
    </row>
    <row r="1040" spans="1:46" x14ac:dyDescent="0.2">
      <c r="A1040" s="115">
        <v>1018</v>
      </c>
      <c r="B1040" s="77">
        <v>273</v>
      </c>
      <c r="C1040" s="17">
        <v>21.101800000000001</v>
      </c>
      <c r="D1040" s="78" t="s">
        <v>168</v>
      </c>
      <c r="E1040" s="17" t="s">
        <v>169</v>
      </c>
      <c r="F1040" s="3" t="s">
        <v>170</v>
      </c>
      <c r="I1040" s="68">
        <v>44556</v>
      </c>
      <c r="J1040" s="16" t="s">
        <v>142</v>
      </c>
      <c r="K1040" s="3" t="s">
        <v>203</v>
      </c>
    </row>
    <row r="1041" spans="1:47" ht="17" x14ac:dyDescent="0.2">
      <c r="A1041" s="115">
        <v>1019</v>
      </c>
      <c r="B1041" s="3">
        <v>279</v>
      </c>
      <c r="C1041" s="17">
        <v>21.101900000000001</v>
      </c>
      <c r="D1041" s="78" t="s">
        <v>168</v>
      </c>
      <c r="E1041" s="17" t="s">
        <v>169</v>
      </c>
      <c r="F1041" s="3" t="s">
        <v>170</v>
      </c>
      <c r="H1041" s="59" t="s">
        <v>29</v>
      </c>
      <c r="I1041" s="68">
        <v>44559</v>
      </c>
      <c r="J1041" s="16" t="s">
        <v>142</v>
      </c>
      <c r="K1041" s="3" t="s">
        <v>203</v>
      </c>
    </row>
    <row r="1042" spans="1:47" ht="17" x14ac:dyDescent="0.2">
      <c r="A1042" s="115">
        <v>1020</v>
      </c>
      <c r="B1042" s="77">
        <v>295</v>
      </c>
      <c r="C1042" s="5" t="s">
        <v>818</v>
      </c>
      <c r="D1042" s="78" t="s">
        <v>168</v>
      </c>
      <c r="E1042" s="17" t="s">
        <v>169</v>
      </c>
      <c r="F1042" s="3" t="s">
        <v>170</v>
      </c>
      <c r="H1042" s="59" t="s">
        <v>29</v>
      </c>
      <c r="I1042" s="68">
        <v>44560</v>
      </c>
      <c r="J1042" s="16" t="s">
        <v>142</v>
      </c>
      <c r="K1042" s="3" t="s">
        <v>203</v>
      </c>
    </row>
    <row r="1043" spans="1:47" x14ac:dyDescent="0.2">
      <c r="A1043" s="115">
        <v>1021</v>
      </c>
      <c r="B1043" s="3">
        <v>368</v>
      </c>
      <c r="C1043" s="17">
        <v>21.1021</v>
      </c>
      <c r="D1043" s="78" t="s">
        <v>168</v>
      </c>
      <c r="E1043" s="17" t="s">
        <v>169</v>
      </c>
      <c r="F1043" s="3" t="s">
        <v>170</v>
      </c>
      <c r="I1043" s="68">
        <v>44556</v>
      </c>
      <c r="J1043" s="16" t="s">
        <v>142</v>
      </c>
      <c r="K1043" s="3" t="s">
        <v>203</v>
      </c>
    </row>
    <row r="1044" spans="1:47" x14ac:dyDescent="0.2">
      <c r="A1044" s="115">
        <v>1022</v>
      </c>
      <c r="B1044" s="17">
        <v>12</v>
      </c>
      <c r="C1044" s="17">
        <v>21.1022</v>
      </c>
      <c r="D1044" s="175" t="s">
        <v>148</v>
      </c>
      <c r="E1044" s="17" t="s">
        <v>229</v>
      </c>
      <c r="F1044" s="3" t="s">
        <v>688</v>
      </c>
      <c r="G1044" s="3" t="s">
        <v>688</v>
      </c>
      <c r="I1044" s="80">
        <v>44540</v>
      </c>
      <c r="J1044" s="17" t="s">
        <v>142</v>
      </c>
      <c r="K1044" s="17" t="s">
        <v>235</v>
      </c>
      <c r="L1044" s="53">
        <v>237</v>
      </c>
    </row>
    <row r="1045" spans="1:47" x14ac:dyDescent="0.2">
      <c r="A1045" s="115">
        <v>1023</v>
      </c>
      <c r="B1045" s="17">
        <v>18</v>
      </c>
      <c r="C1045" s="17">
        <v>21.1023</v>
      </c>
      <c r="D1045" s="175" t="s">
        <v>148</v>
      </c>
      <c r="E1045" s="17" t="s">
        <v>229</v>
      </c>
      <c r="F1045" s="3" t="s">
        <v>688</v>
      </c>
      <c r="G1045" s="3" t="s">
        <v>688</v>
      </c>
      <c r="I1045" s="80">
        <v>44540</v>
      </c>
      <c r="J1045" s="17" t="s">
        <v>142</v>
      </c>
      <c r="K1045" s="17" t="s">
        <v>235</v>
      </c>
      <c r="L1045" s="53">
        <v>233</v>
      </c>
    </row>
    <row r="1046" spans="1:47" x14ac:dyDescent="0.2">
      <c r="A1046" s="115">
        <v>1024</v>
      </c>
      <c r="B1046" s="17">
        <v>44</v>
      </c>
      <c r="C1046" s="17">
        <v>21.102399999999999</v>
      </c>
      <c r="D1046" s="175" t="s">
        <v>148</v>
      </c>
      <c r="E1046" s="17" t="s">
        <v>229</v>
      </c>
      <c r="F1046" s="3" t="s">
        <v>688</v>
      </c>
      <c r="G1046" s="3" t="s">
        <v>688</v>
      </c>
      <c r="I1046" s="80">
        <v>44528</v>
      </c>
      <c r="J1046" s="17" t="s">
        <v>142</v>
      </c>
      <c r="K1046" s="17" t="s">
        <v>235</v>
      </c>
      <c r="L1046" s="53">
        <v>246</v>
      </c>
    </row>
    <row r="1047" spans="1:47" x14ac:dyDescent="0.2">
      <c r="A1047" s="115">
        <v>1025</v>
      </c>
      <c r="B1047" s="17">
        <v>52</v>
      </c>
      <c r="C1047" s="17">
        <v>21.102499999999999</v>
      </c>
      <c r="D1047" s="175" t="s">
        <v>148</v>
      </c>
      <c r="E1047" s="17" t="s">
        <v>229</v>
      </c>
      <c r="F1047" s="3" t="s">
        <v>688</v>
      </c>
      <c r="G1047" s="3" t="s">
        <v>688</v>
      </c>
      <c r="I1047" s="80">
        <v>44528</v>
      </c>
      <c r="J1047" s="17" t="s">
        <v>142</v>
      </c>
      <c r="K1047" s="17" t="s">
        <v>235</v>
      </c>
      <c r="L1047" s="53">
        <v>234</v>
      </c>
    </row>
    <row r="1048" spans="1:47" x14ac:dyDescent="0.2">
      <c r="A1048" s="115">
        <v>1026</v>
      </c>
      <c r="B1048" s="17">
        <v>67</v>
      </c>
      <c r="C1048" s="17">
        <v>21.102599999999999</v>
      </c>
      <c r="D1048" s="175" t="s">
        <v>148</v>
      </c>
      <c r="E1048" s="17" t="s">
        <v>229</v>
      </c>
      <c r="F1048" s="3" t="s">
        <v>688</v>
      </c>
      <c r="G1048" s="3" t="s">
        <v>688</v>
      </c>
      <c r="I1048" s="80">
        <v>44535</v>
      </c>
      <c r="J1048" s="17" t="s">
        <v>142</v>
      </c>
      <c r="K1048" s="17" t="s">
        <v>235</v>
      </c>
      <c r="L1048" s="53">
        <v>238</v>
      </c>
    </row>
    <row r="1049" spans="1:47" ht="17" x14ac:dyDescent="0.2">
      <c r="A1049" s="115">
        <v>1027</v>
      </c>
      <c r="B1049" s="77" t="s">
        <v>281</v>
      </c>
      <c r="C1049" s="17">
        <v>21.102699999999999</v>
      </c>
      <c r="D1049" s="84" t="s">
        <v>151</v>
      </c>
      <c r="E1049" s="17" t="s">
        <v>152</v>
      </c>
      <c r="F1049" s="3" t="s">
        <v>227</v>
      </c>
      <c r="H1049" s="17" t="s">
        <v>89</v>
      </c>
      <c r="I1049" s="80">
        <v>44447</v>
      </c>
      <c r="J1049" s="17" t="s">
        <v>492</v>
      </c>
      <c r="K1049" s="17" t="s">
        <v>235</v>
      </c>
      <c r="L1049" s="17"/>
      <c r="M1049" s="41">
        <v>281.2</v>
      </c>
      <c r="N1049" s="17"/>
      <c r="O1049" s="17">
        <v>165.32</v>
      </c>
      <c r="P1049" s="17">
        <v>173.22</v>
      </c>
      <c r="Q1049" s="17">
        <v>33.5</v>
      </c>
      <c r="R1049" s="17">
        <v>15.21</v>
      </c>
      <c r="S1049" s="17">
        <v>119.85</v>
      </c>
      <c r="T1049" s="17">
        <v>101.95</v>
      </c>
      <c r="U1049" s="50">
        <v>58.84</v>
      </c>
      <c r="V1049" s="50">
        <v>48.18</v>
      </c>
      <c r="W1049" s="50">
        <v>70.19</v>
      </c>
      <c r="X1049" s="50">
        <v>82.89</v>
      </c>
      <c r="Y1049" s="50">
        <v>33.57</v>
      </c>
      <c r="Z1049" s="50">
        <v>98.57</v>
      </c>
      <c r="AA1049" s="50">
        <v>83.38</v>
      </c>
      <c r="AB1049" s="50">
        <v>69.739999999999995</v>
      </c>
      <c r="AC1049" s="50">
        <v>17.78</v>
      </c>
      <c r="AD1049" s="50">
        <v>59.37</v>
      </c>
      <c r="AE1049" s="17">
        <v>29.28</v>
      </c>
      <c r="AF1049" s="17">
        <v>19.510000000000002</v>
      </c>
      <c r="AG1049" s="17">
        <v>31.05</v>
      </c>
      <c r="AH1049" s="17">
        <v>32</v>
      </c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3"/>
      <c r="AU1049" s="3"/>
    </row>
    <row r="1050" spans="1:47" ht="17" x14ac:dyDescent="0.2">
      <c r="A1050" s="115">
        <v>1028</v>
      </c>
      <c r="B1050" s="77" t="s">
        <v>337</v>
      </c>
      <c r="C1050" s="17">
        <v>21.102799999999998</v>
      </c>
      <c r="D1050" s="84" t="s">
        <v>151</v>
      </c>
      <c r="E1050" s="17" t="s">
        <v>152</v>
      </c>
      <c r="F1050" s="3" t="s">
        <v>227</v>
      </c>
      <c r="H1050" s="17" t="s">
        <v>89</v>
      </c>
      <c r="I1050" s="80">
        <v>44482</v>
      </c>
      <c r="J1050" s="17" t="s">
        <v>492</v>
      </c>
      <c r="K1050" s="17" t="s">
        <v>235</v>
      </c>
      <c r="L1050" s="17"/>
      <c r="M1050" s="41">
        <v>297.10000000000002</v>
      </c>
      <c r="N1050" s="17"/>
      <c r="O1050" s="17">
        <v>174.99</v>
      </c>
      <c r="P1050" s="17">
        <v>179.26</v>
      </c>
      <c r="Q1050" s="17">
        <v>35.299999999999997</v>
      </c>
      <c r="R1050" s="17">
        <v>15.12</v>
      </c>
      <c r="S1050" s="17">
        <v>125.26</v>
      </c>
      <c r="T1050" s="17">
        <v>103.06</v>
      </c>
      <c r="U1050" s="50">
        <v>62.25</v>
      </c>
      <c r="V1050" s="50">
        <v>47.88</v>
      </c>
      <c r="W1050" s="50">
        <v>64.95</v>
      </c>
      <c r="X1050" s="50">
        <v>87.51</v>
      </c>
      <c r="Y1050" s="50">
        <v>37.76</v>
      </c>
      <c r="Z1050" s="50">
        <v>102.03</v>
      </c>
      <c r="AA1050" s="50">
        <v>85.31</v>
      </c>
      <c r="AB1050" s="50">
        <v>72.88</v>
      </c>
      <c r="AC1050" s="50">
        <v>14.41</v>
      </c>
      <c r="AD1050" s="50">
        <v>59.27</v>
      </c>
      <c r="AE1050" s="17">
        <v>31.82</v>
      </c>
      <c r="AF1050" s="17">
        <v>26.88</v>
      </c>
      <c r="AG1050" s="17">
        <v>41.38</v>
      </c>
      <c r="AH1050" s="17">
        <v>42.59</v>
      </c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3"/>
      <c r="AU1050" s="3"/>
    </row>
    <row r="1051" spans="1:47" ht="17" x14ac:dyDescent="0.2">
      <c r="A1051" s="115">
        <v>1029</v>
      </c>
      <c r="B1051" s="77" t="s">
        <v>443</v>
      </c>
      <c r="C1051" s="17">
        <v>21.102900000000002</v>
      </c>
      <c r="D1051" s="84" t="s">
        <v>151</v>
      </c>
      <c r="E1051" s="17" t="s">
        <v>162</v>
      </c>
      <c r="F1051" s="17" t="s">
        <v>88</v>
      </c>
      <c r="G1051" s="17" t="s">
        <v>88</v>
      </c>
      <c r="H1051" s="53"/>
      <c r="I1051" s="80">
        <v>44469</v>
      </c>
      <c r="J1051" s="17" t="s">
        <v>492</v>
      </c>
      <c r="K1051" s="17" t="s">
        <v>235</v>
      </c>
      <c r="L1051" s="17"/>
      <c r="M1051" s="41">
        <v>272.7</v>
      </c>
      <c r="N1051" s="17"/>
      <c r="O1051" s="17">
        <v>183.6</v>
      </c>
      <c r="P1051" s="17">
        <v>195.08</v>
      </c>
      <c r="Q1051" s="17">
        <v>43.19</v>
      </c>
      <c r="R1051" s="17">
        <v>14.1</v>
      </c>
      <c r="S1051" s="17">
        <v>128.44999999999999</v>
      </c>
      <c r="T1051" s="17">
        <v>100.58</v>
      </c>
      <c r="U1051" s="50">
        <v>67.58</v>
      </c>
      <c r="V1051" s="50">
        <v>55.95</v>
      </c>
      <c r="W1051" s="50">
        <v>73.41</v>
      </c>
      <c r="X1051" s="50">
        <v>95.51</v>
      </c>
      <c r="Y1051" s="50">
        <v>44.18</v>
      </c>
      <c r="Z1051" s="50">
        <v>105.53</v>
      </c>
      <c r="AA1051" s="50">
        <v>84.76</v>
      </c>
      <c r="AB1051" s="50">
        <v>78.84</v>
      </c>
      <c r="AC1051" s="50">
        <v>11.5</v>
      </c>
      <c r="AD1051" s="50">
        <v>52.15</v>
      </c>
      <c r="AE1051" s="17">
        <v>26.51</v>
      </c>
      <c r="AF1051" s="17">
        <v>30.46</v>
      </c>
      <c r="AG1051" s="17">
        <v>40.99</v>
      </c>
      <c r="AH1051" s="17">
        <v>45.75</v>
      </c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3"/>
      <c r="AU1051" s="3"/>
    </row>
    <row r="1052" spans="1:47" ht="17" x14ac:dyDescent="0.2">
      <c r="A1052" s="115">
        <v>1030</v>
      </c>
      <c r="B1052" s="77" t="s">
        <v>301</v>
      </c>
      <c r="C1052" s="22" t="s">
        <v>819</v>
      </c>
      <c r="D1052" s="84" t="s">
        <v>151</v>
      </c>
      <c r="E1052" s="17" t="s">
        <v>152</v>
      </c>
      <c r="F1052" s="3" t="s">
        <v>227</v>
      </c>
      <c r="G1052" s="17"/>
      <c r="H1052" s="17" t="s">
        <v>89</v>
      </c>
      <c r="I1052" s="80">
        <v>44463</v>
      </c>
      <c r="J1052" s="17" t="s">
        <v>492</v>
      </c>
      <c r="K1052" s="17" t="s">
        <v>235</v>
      </c>
      <c r="L1052" s="17"/>
      <c r="M1052" s="41">
        <v>291.89999999999998</v>
      </c>
      <c r="N1052" s="17"/>
      <c r="O1052" s="17">
        <v>170.72</v>
      </c>
      <c r="P1052" s="17">
        <v>176.79</v>
      </c>
      <c r="Q1052" s="17">
        <v>34.53</v>
      </c>
      <c r="R1052" s="17">
        <v>13.82</v>
      </c>
      <c r="S1052" s="17">
        <v>123.63</v>
      </c>
      <c r="T1052" s="17">
        <v>104.89</v>
      </c>
      <c r="U1052" s="50">
        <v>60.13</v>
      </c>
      <c r="V1052" s="50">
        <v>46.07</v>
      </c>
      <c r="W1052" s="50">
        <v>65.06</v>
      </c>
      <c r="X1052" s="50">
        <v>88.68</v>
      </c>
      <c r="Y1052" s="50">
        <v>36.909999999999997</v>
      </c>
      <c r="Z1052" s="50">
        <v>102.71</v>
      </c>
      <c r="AA1052" s="50">
        <v>86.62</v>
      </c>
      <c r="AB1052" s="50">
        <v>74.36</v>
      </c>
      <c r="AC1052" s="50">
        <v>16.920000000000002</v>
      </c>
      <c r="AD1052" s="50">
        <v>58.41</v>
      </c>
      <c r="AE1052" s="17">
        <v>27.67</v>
      </c>
      <c r="AF1052" s="17">
        <v>28.96</v>
      </c>
      <c r="AG1052" s="17">
        <v>35.799999999999997</v>
      </c>
      <c r="AH1052" s="17">
        <v>35.82</v>
      </c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3"/>
      <c r="AU1052" s="3"/>
    </row>
    <row r="1053" spans="1:47" ht="17" x14ac:dyDescent="0.2">
      <c r="A1053" s="115">
        <v>1031</v>
      </c>
      <c r="B1053" s="77" t="s">
        <v>383</v>
      </c>
      <c r="C1053" s="17">
        <v>21.103100000000001</v>
      </c>
      <c r="D1053" s="84" t="s">
        <v>151</v>
      </c>
      <c r="E1053" s="17" t="s">
        <v>152</v>
      </c>
      <c r="F1053" s="3" t="s">
        <v>227</v>
      </c>
      <c r="G1053" s="17"/>
      <c r="H1053" s="17" t="s">
        <v>89</v>
      </c>
      <c r="I1053" s="80">
        <v>44476</v>
      </c>
      <c r="J1053" s="17" t="s">
        <v>492</v>
      </c>
      <c r="K1053" s="17" t="s">
        <v>235</v>
      </c>
      <c r="L1053" s="17"/>
      <c r="M1053" s="41">
        <v>308.60000000000002</v>
      </c>
      <c r="N1053" s="17"/>
      <c r="O1053" s="17">
        <v>183.97</v>
      </c>
      <c r="P1053" s="17">
        <v>189.41</v>
      </c>
      <c r="Q1053" s="17">
        <v>40.770000000000003</v>
      </c>
      <c r="R1053" s="17">
        <v>16.88</v>
      </c>
      <c r="S1053" s="17">
        <v>132.84</v>
      </c>
      <c r="T1053" s="17">
        <v>104.43</v>
      </c>
      <c r="U1053" s="50">
        <v>63.46</v>
      </c>
      <c r="V1053" s="50">
        <v>47.95</v>
      </c>
      <c r="W1053" s="50">
        <v>70.22</v>
      </c>
      <c r="X1053" s="50">
        <v>91.66</v>
      </c>
      <c r="Y1053" s="50">
        <v>37.35</v>
      </c>
      <c r="Z1053" s="50">
        <v>101.21</v>
      </c>
      <c r="AA1053" s="50">
        <v>85.67</v>
      </c>
      <c r="AB1053" s="50">
        <v>72.37</v>
      </c>
      <c r="AC1053" s="50">
        <v>18.68</v>
      </c>
      <c r="AD1053" s="50">
        <v>59.22</v>
      </c>
      <c r="AE1053" s="17">
        <v>32.26</v>
      </c>
      <c r="AF1053" s="17">
        <v>36.76</v>
      </c>
      <c r="AG1053" s="17">
        <v>40</v>
      </c>
      <c r="AH1053" s="17">
        <v>40.049999999999997</v>
      </c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3"/>
      <c r="AU1053" s="3"/>
    </row>
    <row r="1054" spans="1:47" ht="17" x14ac:dyDescent="0.2">
      <c r="A1054" s="115">
        <v>1032</v>
      </c>
      <c r="B1054" s="77" t="s">
        <v>327</v>
      </c>
      <c r="C1054" s="17">
        <v>21.103200000000001</v>
      </c>
      <c r="D1054" s="84" t="s">
        <v>151</v>
      </c>
      <c r="E1054" s="17" t="s">
        <v>162</v>
      </c>
      <c r="F1054" s="17" t="s">
        <v>88</v>
      </c>
      <c r="G1054" s="17" t="s">
        <v>88</v>
      </c>
      <c r="H1054" s="17"/>
      <c r="I1054" s="80">
        <v>44483</v>
      </c>
      <c r="J1054" s="17" t="s">
        <v>492</v>
      </c>
      <c r="K1054" s="17" t="s">
        <v>235</v>
      </c>
      <c r="L1054" s="17"/>
      <c r="M1054" s="41">
        <v>281.8</v>
      </c>
      <c r="N1054" s="17"/>
      <c r="O1054" s="17">
        <v>183.24</v>
      </c>
      <c r="P1054" s="17">
        <v>191.89</v>
      </c>
      <c r="Q1054" s="17">
        <v>41.11</v>
      </c>
      <c r="R1054" s="17">
        <v>15.25</v>
      </c>
      <c r="S1054" s="17">
        <v>128.46</v>
      </c>
      <c r="T1054" s="17">
        <v>97.93</v>
      </c>
      <c r="U1054" s="50">
        <v>67.02</v>
      </c>
      <c r="V1054" s="50">
        <v>50.82</v>
      </c>
      <c r="W1054" s="50">
        <v>70.69</v>
      </c>
      <c r="X1054" s="50">
        <v>90.11</v>
      </c>
      <c r="Y1054" s="50">
        <v>40.58</v>
      </c>
      <c r="Z1054" s="50">
        <v>103.34</v>
      </c>
      <c r="AA1054" s="50">
        <v>85.79</v>
      </c>
      <c r="AB1054" s="50">
        <v>82.39</v>
      </c>
      <c r="AC1054" s="50">
        <v>14.15</v>
      </c>
      <c r="AD1054" s="50">
        <v>53.4</v>
      </c>
      <c r="AE1054" s="17">
        <v>28.26</v>
      </c>
      <c r="AF1054" s="17">
        <v>35.909999999999997</v>
      </c>
      <c r="AG1054" s="17">
        <v>45.36</v>
      </c>
      <c r="AH1054" s="17">
        <v>45.9</v>
      </c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3"/>
      <c r="AU1054" s="3"/>
    </row>
    <row r="1055" spans="1:47" x14ac:dyDescent="0.2">
      <c r="A1055" s="115"/>
      <c r="F1055" s="17"/>
      <c r="G1055" s="17"/>
      <c r="H1055" s="17"/>
    </row>
    <row r="1056" spans="1:47" x14ac:dyDescent="0.2">
      <c r="F1056" s="17"/>
      <c r="G1056" s="17"/>
      <c r="H1056" s="17"/>
    </row>
    <row r="1057" spans="6:8" x14ac:dyDescent="0.2">
      <c r="F1057" s="17"/>
      <c r="G1057" s="17"/>
      <c r="H1057" s="17"/>
    </row>
    <row r="1058" spans="6:8" x14ac:dyDescent="0.2">
      <c r="F1058" s="17"/>
      <c r="G1058" s="17"/>
      <c r="H1058" s="17"/>
    </row>
    <row r="1059" spans="6:8" x14ac:dyDescent="0.2">
      <c r="F1059" s="17"/>
      <c r="G1059" s="17"/>
      <c r="H1059" s="17"/>
    </row>
    <row r="1060" spans="6:8" x14ac:dyDescent="0.2">
      <c r="F1060" s="17"/>
      <c r="G1060" s="17"/>
      <c r="H1060" s="17"/>
    </row>
    <row r="1061" spans="6:8" x14ac:dyDescent="0.2">
      <c r="F1061" s="17"/>
      <c r="G1061" s="17"/>
      <c r="H1061" s="17"/>
    </row>
    <row r="1062" spans="6:8" x14ac:dyDescent="0.2">
      <c r="F1062" s="17"/>
      <c r="G1062" s="17"/>
      <c r="H1062" s="17"/>
    </row>
    <row r="1063" spans="6:8" x14ac:dyDescent="0.2">
      <c r="F1063" s="17"/>
      <c r="G1063" s="17"/>
      <c r="H1063" s="17"/>
    </row>
    <row r="1064" spans="6:8" x14ac:dyDescent="0.2">
      <c r="F1064" s="17"/>
      <c r="G1064" s="17"/>
      <c r="H1064" s="17"/>
    </row>
    <row r="1065" spans="6:8" x14ac:dyDescent="0.2">
      <c r="F1065" s="17"/>
      <c r="G1065" s="17"/>
      <c r="H1065" s="17"/>
    </row>
    <row r="1066" spans="6:8" x14ac:dyDescent="0.2">
      <c r="F1066" s="17"/>
      <c r="G1066" s="17"/>
      <c r="H1066" s="17"/>
    </row>
    <row r="1067" spans="6:8" x14ac:dyDescent="0.2">
      <c r="F1067" s="17"/>
      <c r="G1067" s="17"/>
      <c r="H1067" s="17"/>
    </row>
    <row r="1068" spans="6:8" x14ac:dyDescent="0.2">
      <c r="F1068" s="17"/>
      <c r="G1068" s="17"/>
      <c r="H1068" s="17"/>
    </row>
    <row r="1069" spans="6:8" x14ac:dyDescent="0.2">
      <c r="F1069" s="17"/>
      <c r="G1069" s="17"/>
      <c r="H1069" s="17"/>
    </row>
    <row r="1070" spans="6:8" x14ac:dyDescent="0.2">
      <c r="F1070" s="17"/>
      <c r="G1070" s="17"/>
      <c r="H1070" s="17"/>
    </row>
    <row r="1071" spans="6:8" x14ac:dyDescent="0.2">
      <c r="F1071" s="17"/>
      <c r="G1071" s="17"/>
      <c r="H1071" s="17"/>
    </row>
    <row r="1072" spans="6:8" x14ac:dyDescent="0.2">
      <c r="F1072" s="17"/>
      <c r="G1072" s="17"/>
      <c r="H1072" s="17"/>
    </row>
    <row r="1073" spans="6:8" x14ac:dyDescent="0.2">
      <c r="F1073" s="17"/>
      <c r="G1073" s="17"/>
      <c r="H1073" s="17"/>
    </row>
    <row r="1074" spans="6:8" x14ac:dyDescent="0.2">
      <c r="F1074" s="17"/>
      <c r="G1074" s="17"/>
      <c r="H1074" s="17"/>
    </row>
  </sheetData>
  <autoFilter ref="A1:AU1054" xr:uid="{00000000-0009-0000-0000-000001000000}">
    <sortState xmlns:xlrd2="http://schemas.microsoft.com/office/spreadsheetml/2017/richdata2" ref="A6:AU1001">
      <sortCondition ref="B1:B1001"/>
    </sortState>
  </autoFilter>
  <pageMargins left="0.7" right="0.7" top="0.75" bottom="0.75" header="0.3" footer="0.3"/>
  <pageSetup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E67F4-E5A5-0443-AC3A-41199366C98D}">
  <dimension ref="A1:BM1088"/>
  <sheetViews>
    <sheetView zoomScale="150" zoomScaleNormal="120" workbookViewId="0">
      <pane xSplit="3" ySplit="1" topLeftCell="AL2" activePane="bottomRight" state="frozen"/>
      <selection pane="topRight" activeCell="D1" sqref="D1"/>
      <selection pane="bottomLeft" activeCell="A2" sqref="A2"/>
      <selection pane="bottomRight" activeCell="AV1" sqref="AV1:AV1048576"/>
    </sheetView>
  </sheetViews>
  <sheetFormatPr baseColWidth="10" defaultRowHeight="16" x14ac:dyDescent="0.2"/>
  <cols>
    <col min="1" max="10" width="10.83203125" style="3"/>
    <col min="11" max="11" width="6" style="3" customWidth="1"/>
    <col min="12" max="16384" width="10.83203125" style="3"/>
  </cols>
  <sheetData>
    <row r="1" spans="1:47" s="1" customFormat="1" ht="153" customHeight="1" x14ac:dyDescent="0.2">
      <c r="A1" s="1" t="s">
        <v>94</v>
      </c>
      <c r="B1" s="179" t="s">
        <v>95</v>
      </c>
      <c r="C1" s="179" t="s">
        <v>0</v>
      </c>
      <c r="D1" s="179" t="s">
        <v>96</v>
      </c>
      <c r="E1" s="179" t="s">
        <v>97</v>
      </c>
      <c r="F1" s="182" t="s">
        <v>98</v>
      </c>
      <c r="G1" s="179" t="s">
        <v>99</v>
      </c>
      <c r="H1" s="182" t="s">
        <v>100</v>
      </c>
      <c r="I1" s="1" t="s">
        <v>101</v>
      </c>
      <c r="J1" s="1" t="s">
        <v>102</v>
      </c>
      <c r="K1" s="179" t="s">
        <v>103</v>
      </c>
      <c r="L1" s="1" t="s">
        <v>104</v>
      </c>
      <c r="M1" s="30" t="s">
        <v>105</v>
      </c>
      <c r="N1" s="179" t="s">
        <v>106</v>
      </c>
      <c r="O1" s="179" t="s">
        <v>107</v>
      </c>
      <c r="P1" s="179" t="s">
        <v>108</v>
      </c>
      <c r="Q1" s="179" t="s">
        <v>109</v>
      </c>
      <c r="R1" s="179" t="s">
        <v>110</v>
      </c>
      <c r="S1" s="179" t="s">
        <v>111</v>
      </c>
      <c r="T1" s="179" t="s">
        <v>112</v>
      </c>
      <c r="U1" s="180" t="s">
        <v>113</v>
      </c>
      <c r="V1" s="180" t="s">
        <v>114</v>
      </c>
      <c r="W1" s="180" t="s">
        <v>115</v>
      </c>
      <c r="X1" s="180" t="s">
        <v>116</v>
      </c>
      <c r="Y1" s="180" t="s">
        <v>117</v>
      </c>
      <c r="Z1" s="180" t="s">
        <v>118</v>
      </c>
      <c r="AA1" s="180" t="s">
        <v>119</v>
      </c>
      <c r="AB1" s="180" t="s">
        <v>120</v>
      </c>
      <c r="AC1" s="180" t="s">
        <v>121</v>
      </c>
      <c r="AD1" s="180" t="s">
        <v>122</v>
      </c>
      <c r="AE1" s="179" t="s">
        <v>123</v>
      </c>
      <c r="AF1" s="179" t="s">
        <v>124</v>
      </c>
      <c r="AG1" s="179" t="s">
        <v>125</v>
      </c>
      <c r="AH1" s="179" t="s">
        <v>126</v>
      </c>
      <c r="AI1" s="179" t="s">
        <v>127</v>
      </c>
      <c r="AJ1" s="179" t="s">
        <v>128</v>
      </c>
      <c r="AK1" s="1" t="s">
        <v>129</v>
      </c>
      <c r="AL1" s="183" t="s">
        <v>130</v>
      </c>
      <c r="AM1" s="183" t="s">
        <v>131</v>
      </c>
      <c r="AN1" s="183" t="s">
        <v>132</v>
      </c>
      <c r="AO1" s="1" t="s">
        <v>133</v>
      </c>
      <c r="AP1" s="1" t="s">
        <v>134</v>
      </c>
      <c r="AQ1" s="1" t="s">
        <v>135</v>
      </c>
      <c r="AR1" s="183" t="s">
        <v>136</v>
      </c>
      <c r="AS1" s="183" t="s">
        <v>137</v>
      </c>
      <c r="AT1" s="1" t="s">
        <v>138</v>
      </c>
      <c r="AU1" s="1" t="s">
        <v>139</v>
      </c>
    </row>
    <row r="2" spans="1:47" x14ac:dyDescent="0.2">
      <c r="A2" s="3">
        <v>1</v>
      </c>
      <c r="B2" s="3">
        <v>1</v>
      </c>
      <c r="C2" s="3">
        <v>22.1</v>
      </c>
      <c r="D2" s="31" t="s">
        <v>140</v>
      </c>
      <c r="E2" s="3" t="s">
        <v>141</v>
      </c>
      <c r="F2" s="3" t="s">
        <v>61</v>
      </c>
      <c r="H2" s="3" t="s">
        <v>61</v>
      </c>
      <c r="I2" s="32">
        <v>44565</v>
      </c>
      <c r="J2" s="3" t="s">
        <v>142</v>
      </c>
      <c r="K2" s="3" t="s">
        <v>143</v>
      </c>
      <c r="M2" s="3">
        <v>225.8</v>
      </c>
      <c r="N2" s="3">
        <v>226</v>
      </c>
      <c r="O2" s="3">
        <v>179.84</v>
      </c>
      <c r="P2" s="3">
        <v>190.83</v>
      </c>
      <c r="Q2" s="3">
        <v>42.38</v>
      </c>
      <c r="R2" s="3">
        <v>24.23</v>
      </c>
      <c r="S2" s="3">
        <v>120.96</v>
      </c>
      <c r="T2" s="3">
        <v>94.77</v>
      </c>
      <c r="U2" s="3">
        <v>57.63</v>
      </c>
      <c r="V2" s="3">
        <v>38.93</v>
      </c>
      <c r="W2" s="3">
        <v>60.58</v>
      </c>
      <c r="X2" s="3">
        <v>84.75</v>
      </c>
      <c r="Y2" s="3">
        <v>36.28</v>
      </c>
      <c r="Z2" s="3">
        <v>92.51</v>
      </c>
      <c r="AA2" s="3">
        <v>77.349999999999994</v>
      </c>
      <c r="AB2" s="3">
        <v>64.78</v>
      </c>
      <c r="AC2" s="3">
        <v>16.64</v>
      </c>
      <c r="AD2" s="3">
        <v>51.46</v>
      </c>
      <c r="AE2" s="3">
        <v>41.99</v>
      </c>
      <c r="AF2" s="3">
        <v>30.75</v>
      </c>
      <c r="AG2" s="3">
        <v>40.83</v>
      </c>
      <c r="AH2" s="3">
        <v>33.229999999999997</v>
      </c>
      <c r="AI2" s="3">
        <v>0.97</v>
      </c>
      <c r="AJ2" s="3">
        <v>45.6</v>
      </c>
      <c r="AL2" s="3">
        <f>13+15+11</f>
        <v>39</v>
      </c>
      <c r="AO2" s="3">
        <v>13.7</v>
      </c>
      <c r="AP2" s="3">
        <v>82</v>
      </c>
      <c r="AR2" s="3">
        <v>37.4</v>
      </c>
      <c r="AS2" s="3">
        <v>17.100000000000001</v>
      </c>
      <c r="AT2" s="3" t="s">
        <v>144</v>
      </c>
    </row>
    <row r="3" spans="1:47" x14ac:dyDescent="0.2">
      <c r="A3" s="3">
        <v>2</v>
      </c>
      <c r="B3" s="3">
        <v>2</v>
      </c>
      <c r="C3" s="3">
        <v>22.2</v>
      </c>
      <c r="D3" s="31" t="s">
        <v>140</v>
      </c>
      <c r="E3" s="3" t="s">
        <v>141</v>
      </c>
      <c r="F3" s="3" t="s">
        <v>61</v>
      </c>
      <c r="H3" s="3" t="s">
        <v>61</v>
      </c>
      <c r="I3" s="32">
        <v>44565</v>
      </c>
      <c r="J3" s="3" t="s">
        <v>142</v>
      </c>
      <c r="K3" s="3" t="s">
        <v>145</v>
      </c>
      <c r="M3" s="3">
        <v>175.3</v>
      </c>
      <c r="N3" s="3">
        <v>183.4</v>
      </c>
      <c r="O3" s="3">
        <v>172.84</v>
      </c>
      <c r="P3" s="3">
        <v>190.28</v>
      </c>
      <c r="Q3" s="3">
        <v>43.21</v>
      </c>
      <c r="R3" s="3">
        <v>31.83</v>
      </c>
      <c r="S3" s="3">
        <v>114.91</v>
      </c>
      <c r="T3" s="3">
        <v>87.77</v>
      </c>
      <c r="U3" s="3">
        <v>54.29</v>
      </c>
      <c r="V3" s="3">
        <v>40.340000000000003</v>
      </c>
      <c r="W3" s="3">
        <v>64.62</v>
      </c>
      <c r="X3" s="3">
        <v>83.44</v>
      </c>
      <c r="Y3" s="3">
        <v>32.5</v>
      </c>
      <c r="Z3" s="3">
        <v>91.64</v>
      </c>
      <c r="AA3" s="3">
        <v>71.84</v>
      </c>
      <c r="AB3" s="3">
        <v>64.58</v>
      </c>
      <c r="AC3" s="3">
        <v>15.4</v>
      </c>
      <c r="AD3" s="3">
        <v>43.47</v>
      </c>
      <c r="AE3" s="3">
        <v>40.68</v>
      </c>
      <c r="AF3" s="3">
        <v>34.119999999999997</v>
      </c>
      <c r="AG3" s="3">
        <v>43.9</v>
      </c>
      <c r="AH3" s="3">
        <v>38.590000000000003</v>
      </c>
      <c r="AI3" s="3">
        <v>1.5229999999999999</v>
      </c>
      <c r="AL3" s="33"/>
      <c r="AO3" s="3">
        <v>8.9</v>
      </c>
      <c r="AP3" s="3">
        <v>51.8</v>
      </c>
      <c r="AQ3" s="3">
        <v>79.7</v>
      </c>
      <c r="AR3" s="3">
        <v>38.1</v>
      </c>
      <c r="AS3" s="3">
        <v>16.5</v>
      </c>
      <c r="AU3" t="s">
        <v>146</v>
      </c>
    </row>
    <row r="4" spans="1:47" x14ac:dyDescent="0.2">
      <c r="A4" s="3">
        <v>3</v>
      </c>
      <c r="B4" s="3">
        <v>3</v>
      </c>
      <c r="C4" s="3">
        <v>22.3</v>
      </c>
      <c r="D4" s="31" t="s">
        <v>140</v>
      </c>
      <c r="E4" s="3" t="s">
        <v>141</v>
      </c>
      <c r="F4" s="3" t="s">
        <v>61</v>
      </c>
      <c r="H4" s="3" t="s">
        <v>61</v>
      </c>
      <c r="I4" s="32">
        <v>44566</v>
      </c>
      <c r="J4" s="3" t="s">
        <v>142</v>
      </c>
      <c r="K4" s="3" t="s">
        <v>143</v>
      </c>
      <c r="L4" s="3">
        <v>221.2</v>
      </c>
      <c r="N4" s="3">
        <v>220.3</v>
      </c>
      <c r="O4" s="3">
        <v>169.67</v>
      </c>
      <c r="P4" s="3">
        <v>182.75</v>
      </c>
      <c r="Q4" s="3">
        <v>41.17</v>
      </c>
      <c r="R4" s="3">
        <v>22</v>
      </c>
      <c r="S4" s="3">
        <v>119.65</v>
      </c>
      <c r="T4" s="3">
        <v>99.75</v>
      </c>
      <c r="U4" s="3">
        <v>57.21</v>
      </c>
      <c r="V4" s="3">
        <v>44.02</v>
      </c>
      <c r="W4" s="3">
        <v>68.150000000000006</v>
      </c>
      <c r="X4" s="3">
        <v>82.32</v>
      </c>
      <c r="Y4" s="3">
        <v>34.130000000000003</v>
      </c>
      <c r="Z4" s="3">
        <v>92.86</v>
      </c>
      <c r="AA4" s="3">
        <v>78.48</v>
      </c>
      <c r="AB4" s="3">
        <v>61.74</v>
      </c>
      <c r="AC4" s="3">
        <v>14.12</v>
      </c>
      <c r="AD4" s="3">
        <v>50.56</v>
      </c>
      <c r="AE4" s="3">
        <v>32.53</v>
      </c>
      <c r="AF4" s="3">
        <v>33.97</v>
      </c>
      <c r="AG4" s="3">
        <v>38.31</v>
      </c>
      <c r="AH4" s="3">
        <v>37.11</v>
      </c>
      <c r="AI4" s="3">
        <v>1.091</v>
      </c>
      <c r="AJ4" s="3">
        <v>48.6</v>
      </c>
      <c r="AL4" s="3">
        <f>16+7+2</f>
        <v>25</v>
      </c>
      <c r="AO4" s="3">
        <v>13.7</v>
      </c>
      <c r="AP4" s="3">
        <v>77.099999999999994</v>
      </c>
      <c r="AR4" s="3">
        <v>37</v>
      </c>
      <c r="AS4" s="3">
        <v>17.2</v>
      </c>
      <c r="AT4" s="3" t="s">
        <v>144</v>
      </c>
    </row>
    <row r="5" spans="1:47" x14ac:dyDescent="0.2">
      <c r="A5" s="3">
        <v>4</v>
      </c>
      <c r="B5" s="3">
        <v>4</v>
      </c>
      <c r="C5" s="3">
        <v>22.4</v>
      </c>
      <c r="D5" s="31" t="s">
        <v>140</v>
      </c>
      <c r="E5" s="3" t="s">
        <v>141</v>
      </c>
      <c r="F5" s="3" t="s">
        <v>61</v>
      </c>
      <c r="H5" s="3" t="s">
        <v>61</v>
      </c>
      <c r="I5" s="32">
        <v>44566</v>
      </c>
      <c r="J5" s="3" t="s">
        <v>142</v>
      </c>
      <c r="K5" s="3" t="s">
        <v>145</v>
      </c>
      <c r="L5" s="3">
        <v>174.1</v>
      </c>
      <c r="N5" s="3">
        <v>180.9</v>
      </c>
      <c r="O5" s="3">
        <v>187.25</v>
      </c>
      <c r="P5" s="3">
        <v>191.62</v>
      </c>
      <c r="Q5" s="3">
        <v>37.869999999999997</v>
      </c>
      <c r="R5" s="3">
        <v>30.85</v>
      </c>
      <c r="S5" s="3">
        <v>123.42</v>
      </c>
      <c r="T5" s="3">
        <v>99.46</v>
      </c>
      <c r="U5" s="3">
        <v>55.91</v>
      </c>
      <c r="V5" s="3">
        <v>40.31</v>
      </c>
      <c r="W5" s="3">
        <v>67.67</v>
      </c>
      <c r="X5" s="3">
        <v>81.81</v>
      </c>
      <c r="Y5" s="3">
        <v>35.92</v>
      </c>
      <c r="Z5" s="3">
        <v>89.15</v>
      </c>
      <c r="AA5" s="3">
        <v>70.86</v>
      </c>
      <c r="AB5" s="3">
        <v>64.56</v>
      </c>
      <c r="AC5" s="3">
        <v>13.96</v>
      </c>
      <c r="AD5" s="3">
        <v>42.21</v>
      </c>
      <c r="AE5" s="3">
        <v>45.36</v>
      </c>
      <c r="AF5" s="3">
        <v>40.31</v>
      </c>
      <c r="AG5" s="3">
        <v>41.79</v>
      </c>
      <c r="AH5" s="3">
        <v>44.16</v>
      </c>
      <c r="AI5" s="3">
        <v>1.395</v>
      </c>
      <c r="AO5" s="3">
        <v>10</v>
      </c>
      <c r="AP5" s="3">
        <v>58.3</v>
      </c>
      <c r="AQ5" s="3">
        <f>35+38.3</f>
        <v>73.3</v>
      </c>
      <c r="AR5" s="3">
        <v>36.5</v>
      </c>
      <c r="AS5" s="3">
        <v>16.100000000000001</v>
      </c>
    </row>
    <row r="6" spans="1:47" x14ac:dyDescent="0.2">
      <c r="A6" s="3">
        <v>5</v>
      </c>
      <c r="B6" s="3">
        <v>5</v>
      </c>
      <c r="C6" s="3">
        <v>22.5</v>
      </c>
      <c r="D6" s="31" t="s">
        <v>140</v>
      </c>
      <c r="E6" s="3" t="s">
        <v>141</v>
      </c>
      <c r="F6" s="3" t="s">
        <v>61</v>
      </c>
      <c r="H6" s="3" t="s">
        <v>61</v>
      </c>
      <c r="I6" s="32">
        <v>44566</v>
      </c>
      <c r="J6" s="3" t="s">
        <v>142</v>
      </c>
      <c r="K6" s="3" t="s">
        <v>145</v>
      </c>
      <c r="L6" s="3">
        <v>179.5</v>
      </c>
      <c r="N6" s="3">
        <v>186.1</v>
      </c>
      <c r="O6" s="3">
        <v>184.36</v>
      </c>
      <c r="P6" s="3">
        <v>186.53</v>
      </c>
      <c r="Q6" s="3">
        <v>41.89</v>
      </c>
      <c r="R6" s="3">
        <v>27.87</v>
      </c>
      <c r="S6" s="3">
        <v>121.39</v>
      </c>
      <c r="T6" s="3">
        <v>93.39</v>
      </c>
      <c r="U6" s="3">
        <v>56.49</v>
      </c>
      <c r="V6" s="3">
        <v>41.22</v>
      </c>
      <c r="W6" s="3">
        <v>64.92</v>
      </c>
      <c r="X6" s="3">
        <v>85.58</v>
      </c>
      <c r="Y6" s="3">
        <v>35.26</v>
      </c>
      <c r="Z6" s="3">
        <v>92.68</v>
      </c>
      <c r="AA6" s="3">
        <v>74.19</v>
      </c>
      <c r="AB6" s="3">
        <v>66.31</v>
      </c>
      <c r="AC6" s="3">
        <v>16.07</v>
      </c>
      <c r="AD6" s="3">
        <v>44.17</v>
      </c>
      <c r="AE6" s="3">
        <v>36.950000000000003</v>
      </c>
      <c r="AF6" s="3">
        <v>28.04</v>
      </c>
      <c r="AG6" s="3">
        <v>38.93</v>
      </c>
      <c r="AH6" s="3">
        <v>43.34</v>
      </c>
      <c r="AI6" s="3">
        <v>1.4790000000000001</v>
      </c>
      <c r="AL6" s="3">
        <v>8</v>
      </c>
      <c r="AT6" s="3" t="s">
        <v>147</v>
      </c>
    </row>
    <row r="7" spans="1:47" x14ac:dyDescent="0.2">
      <c r="A7" s="3">
        <v>6</v>
      </c>
      <c r="B7" s="3">
        <v>6</v>
      </c>
      <c r="C7" s="3">
        <v>22.6</v>
      </c>
      <c r="D7" s="31" t="s">
        <v>140</v>
      </c>
      <c r="E7" s="3" t="s">
        <v>141</v>
      </c>
      <c r="F7" s="3" t="s">
        <v>61</v>
      </c>
      <c r="H7" s="3" t="s">
        <v>61</v>
      </c>
      <c r="I7" s="32">
        <v>44566</v>
      </c>
      <c r="J7" s="3" t="s">
        <v>142</v>
      </c>
      <c r="K7" s="3" t="s">
        <v>145</v>
      </c>
      <c r="L7" s="3">
        <v>189.1</v>
      </c>
      <c r="O7" s="3">
        <v>171.71</v>
      </c>
      <c r="P7" s="3">
        <v>184.92</v>
      </c>
      <c r="Q7" s="3">
        <v>41.96</v>
      </c>
      <c r="R7" s="3">
        <v>25.15</v>
      </c>
      <c r="S7" s="3">
        <v>116.32</v>
      </c>
      <c r="T7" s="3">
        <v>93.48</v>
      </c>
      <c r="U7" s="3">
        <v>54.74</v>
      </c>
      <c r="V7" s="3">
        <v>41.14</v>
      </c>
      <c r="W7" s="3">
        <v>65</v>
      </c>
      <c r="X7" s="3">
        <v>82.88</v>
      </c>
      <c r="Y7" s="3">
        <v>33.44</v>
      </c>
      <c r="Z7" s="3">
        <v>91.83</v>
      </c>
      <c r="AA7" s="3">
        <v>72.34</v>
      </c>
      <c r="AB7" s="3">
        <v>64.3</v>
      </c>
      <c r="AC7" s="3">
        <v>15.53</v>
      </c>
      <c r="AD7" s="3">
        <v>45.45</v>
      </c>
      <c r="AE7" s="3">
        <v>39.869999999999997</v>
      </c>
      <c r="AF7" s="3">
        <v>38.549999999999997</v>
      </c>
      <c r="AG7" s="3">
        <v>41.38</v>
      </c>
      <c r="AH7" s="3">
        <v>35.270000000000003</v>
      </c>
      <c r="AI7" s="3">
        <v>1.657</v>
      </c>
      <c r="AL7" s="3">
        <v>11</v>
      </c>
      <c r="AO7" s="3">
        <v>13</v>
      </c>
      <c r="AP7" s="3">
        <v>60.1</v>
      </c>
      <c r="AQ7" s="3">
        <v>60.1</v>
      </c>
      <c r="AR7" s="3">
        <v>41.2</v>
      </c>
      <c r="AS7" s="3">
        <v>18.5</v>
      </c>
    </row>
    <row r="8" spans="1:47" x14ac:dyDescent="0.2">
      <c r="A8" s="3">
        <v>7</v>
      </c>
      <c r="B8" s="3">
        <v>7</v>
      </c>
      <c r="C8" s="3">
        <v>22.7</v>
      </c>
      <c r="D8" s="31" t="s">
        <v>140</v>
      </c>
      <c r="E8" s="3" t="s">
        <v>141</v>
      </c>
      <c r="F8" s="3" t="s">
        <v>61</v>
      </c>
      <c r="H8" s="3" t="s">
        <v>61</v>
      </c>
      <c r="I8" s="32">
        <v>44566</v>
      </c>
      <c r="J8" s="3" t="s">
        <v>142</v>
      </c>
      <c r="K8" s="3" t="s">
        <v>145</v>
      </c>
      <c r="L8" s="3">
        <v>191.9</v>
      </c>
      <c r="N8" s="3">
        <v>191.9</v>
      </c>
      <c r="O8" s="3">
        <v>188.84</v>
      </c>
      <c r="P8" s="3">
        <v>187.63</v>
      </c>
      <c r="Q8" s="3">
        <v>41.47</v>
      </c>
      <c r="R8" s="3">
        <v>30.56</v>
      </c>
      <c r="S8" s="3">
        <v>122.17</v>
      </c>
      <c r="T8" s="3">
        <v>95.62</v>
      </c>
      <c r="U8" s="3">
        <v>50.81</v>
      </c>
      <c r="V8" s="3">
        <v>38.840000000000003</v>
      </c>
      <c r="W8" s="3">
        <v>64.14</v>
      </c>
      <c r="X8" s="3">
        <v>84.62</v>
      </c>
      <c r="Y8" s="3">
        <v>34.29</v>
      </c>
      <c r="Z8" s="3">
        <v>92.46</v>
      </c>
      <c r="AA8" s="3">
        <v>74.180000000000007</v>
      </c>
      <c r="AB8" s="3">
        <v>67.319999999999993</v>
      </c>
      <c r="AC8" s="3">
        <v>15.15</v>
      </c>
      <c r="AD8" s="3">
        <v>45.25</v>
      </c>
      <c r="AE8" s="3">
        <v>46.48</v>
      </c>
      <c r="AF8" s="3">
        <v>36.25</v>
      </c>
      <c r="AG8" s="3">
        <v>41.73</v>
      </c>
      <c r="AH8" s="3">
        <v>38.520000000000003</v>
      </c>
      <c r="AI8" s="3">
        <v>1.464</v>
      </c>
      <c r="AL8" s="3">
        <v>5</v>
      </c>
      <c r="AO8" s="3">
        <v>13.5</v>
      </c>
      <c r="AP8" s="3">
        <f>88.3-9.2</f>
        <v>79.099999999999994</v>
      </c>
      <c r="AQ8" s="3">
        <v>47.9</v>
      </c>
      <c r="AR8" s="3">
        <v>41.3</v>
      </c>
      <c r="AS8" s="3">
        <v>18</v>
      </c>
    </row>
    <row r="9" spans="1:47" ht="17" x14ac:dyDescent="0.2">
      <c r="A9" s="3">
        <v>8</v>
      </c>
      <c r="B9" s="3">
        <v>103</v>
      </c>
      <c r="C9" s="3">
        <v>22.8</v>
      </c>
      <c r="D9" s="34" t="s">
        <v>148</v>
      </c>
      <c r="E9" s="35" t="s">
        <v>149</v>
      </c>
      <c r="F9" s="3" t="s">
        <v>74</v>
      </c>
      <c r="G9" s="3" t="s">
        <v>74</v>
      </c>
      <c r="H9" s="35"/>
      <c r="I9" s="32">
        <v>44565</v>
      </c>
      <c r="J9" s="3" t="s">
        <v>142</v>
      </c>
      <c r="K9" s="3" t="s">
        <v>145</v>
      </c>
      <c r="L9" s="35">
        <v>201</v>
      </c>
      <c r="O9" s="3">
        <v>167.27</v>
      </c>
      <c r="P9" s="3">
        <v>175.22</v>
      </c>
      <c r="Q9" s="3">
        <v>37.93</v>
      </c>
      <c r="R9" s="3">
        <v>19.48</v>
      </c>
      <c r="S9" s="3">
        <v>115.46</v>
      </c>
      <c r="T9" s="3">
        <v>94.66</v>
      </c>
      <c r="U9" s="3">
        <v>60.85</v>
      </c>
      <c r="V9" s="3">
        <v>46.51</v>
      </c>
      <c r="W9" s="3">
        <v>71.05</v>
      </c>
      <c r="X9" s="3">
        <v>86.95</v>
      </c>
      <c r="Y9" s="3">
        <v>35.43</v>
      </c>
      <c r="Z9" s="3">
        <v>95.27</v>
      </c>
      <c r="AA9" s="3">
        <v>73.430000000000007</v>
      </c>
      <c r="AB9" s="3">
        <v>75.209999999999994</v>
      </c>
      <c r="AC9" s="3">
        <v>21.1</v>
      </c>
      <c r="AD9" s="3">
        <v>47.31</v>
      </c>
      <c r="AE9" s="3">
        <v>32.94</v>
      </c>
      <c r="AF9" s="3">
        <v>33.85</v>
      </c>
      <c r="AG9" s="3">
        <v>35.15</v>
      </c>
      <c r="AH9" s="3">
        <v>34.659999999999997</v>
      </c>
      <c r="AT9" s="3" t="s">
        <v>144</v>
      </c>
      <c r="AU9" s="3" t="s">
        <v>144</v>
      </c>
    </row>
    <row r="10" spans="1:47" ht="17" x14ac:dyDescent="0.2">
      <c r="A10" s="3">
        <v>9</v>
      </c>
      <c r="B10" s="3">
        <v>104</v>
      </c>
      <c r="C10" s="3">
        <v>22.9</v>
      </c>
      <c r="D10" s="34" t="s">
        <v>148</v>
      </c>
      <c r="E10" s="35" t="s">
        <v>149</v>
      </c>
      <c r="F10" s="3" t="s">
        <v>74</v>
      </c>
      <c r="G10" s="3" t="s">
        <v>74</v>
      </c>
      <c r="H10" s="35"/>
      <c r="I10" s="32">
        <v>44565</v>
      </c>
      <c r="J10" s="3" t="s">
        <v>142</v>
      </c>
      <c r="K10" s="3" t="s">
        <v>145</v>
      </c>
      <c r="L10" s="35">
        <v>208</v>
      </c>
      <c r="N10" s="3">
        <v>204</v>
      </c>
      <c r="O10" s="3">
        <v>166.54</v>
      </c>
      <c r="P10" s="3">
        <v>175.27</v>
      </c>
      <c r="Q10" s="3">
        <v>37.549999999999997</v>
      </c>
      <c r="R10" s="3">
        <v>17.100000000000001</v>
      </c>
      <c r="S10" s="3">
        <v>117.95</v>
      </c>
      <c r="T10" s="3">
        <v>94.32</v>
      </c>
      <c r="U10" s="3">
        <v>57.78</v>
      </c>
      <c r="V10" s="3">
        <v>45.44</v>
      </c>
      <c r="W10" s="3">
        <v>66.2</v>
      </c>
      <c r="X10" s="3">
        <v>85.91</v>
      </c>
      <c r="Y10" s="3">
        <v>37.65</v>
      </c>
      <c r="Z10" s="3">
        <v>95.45</v>
      </c>
      <c r="AA10" s="3">
        <v>74.900000000000006</v>
      </c>
      <c r="AB10" s="3">
        <v>75.42</v>
      </c>
      <c r="AC10" s="3">
        <v>15.58</v>
      </c>
      <c r="AD10" s="3">
        <v>47.14</v>
      </c>
      <c r="AE10" s="3">
        <v>33.1</v>
      </c>
      <c r="AF10" s="3">
        <v>33.159999999999997</v>
      </c>
      <c r="AG10" s="3">
        <v>36.97</v>
      </c>
      <c r="AH10" s="3">
        <v>38.619999999999997</v>
      </c>
      <c r="AI10" s="3">
        <v>1.911</v>
      </c>
      <c r="AL10" s="3">
        <v>4</v>
      </c>
      <c r="AO10" s="3">
        <f>18.3-3.2</f>
        <v>15.100000000000001</v>
      </c>
      <c r="AP10" s="3">
        <f>100.4-8.5</f>
        <v>91.9</v>
      </c>
      <c r="AQ10" s="3">
        <f>53.1-10.7</f>
        <v>42.400000000000006</v>
      </c>
      <c r="AR10" s="3">
        <v>50.1</v>
      </c>
      <c r="AS10" s="3">
        <v>21.6</v>
      </c>
      <c r="AT10" s="3" t="s">
        <v>144</v>
      </c>
      <c r="AU10" s="3" t="s">
        <v>144</v>
      </c>
    </row>
    <row r="11" spans="1:47" x14ac:dyDescent="0.2">
      <c r="A11" s="29">
        <v>10.000000000000142</v>
      </c>
      <c r="B11" s="3">
        <v>8</v>
      </c>
      <c r="C11" s="12" t="s">
        <v>150</v>
      </c>
      <c r="D11" s="31" t="s">
        <v>140</v>
      </c>
      <c r="E11" s="3" t="s">
        <v>141</v>
      </c>
      <c r="F11" s="3" t="s">
        <v>60</v>
      </c>
      <c r="H11" s="3" t="s">
        <v>60</v>
      </c>
      <c r="I11" s="32">
        <v>44568</v>
      </c>
      <c r="J11" s="3" t="s">
        <v>142</v>
      </c>
      <c r="K11" s="3" t="s">
        <v>145</v>
      </c>
      <c r="M11" s="3">
        <v>227.2</v>
      </c>
      <c r="N11" s="3">
        <v>227.2</v>
      </c>
      <c r="O11" s="3">
        <v>147.43</v>
      </c>
      <c r="P11" s="3">
        <v>159.41</v>
      </c>
      <c r="Q11" s="3">
        <v>25.98</v>
      </c>
      <c r="R11" s="3">
        <v>12.06</v>
      </c>
      <c r="S11" s="3">
        <v>113.16</v>
      </c>
      <c r="T11" s="3">
        <v>94.32</v>
      </c>
      <c r="U11" s="3">
        <v>69.36</v>
      </c>
      <c r="V11" s="3">
        <v>45.92</v>
      </c>
      <c r="W11" s="3">
        <v>73.33</v>
      </c>
      <c r="X11" s="3">
        <v>90.97</v>
      </c>
      <c r="Y11" s="3">
        <v>38.08</v>
      </c>
      <c r="Z11" s="3">
        <v>96.91</v>
      </c>
      <c r="AA11" s="3">
        <v>76.959999999999994</v>
      </c>
      <c r="AB11" s="3">
        <v>75.81</v>
      </c>
      <c r="AC11" s="3">
        <v>15.13</v>
      </c>
      <c r="AD11" s="3">
        <v>49.61</v>
      </c>
      <c r="AE11" s="3">
        <v>21.77</v>
      </c>
      <c r="AF11" s="3">
        <v>36.369999999999997</v>
      </c>
      <c r="AG11" s="3">
        <v>27.51</v>
      </c>
      <c r="AH11" s="3">
        <v>38.1</v>
      </c>
      <c r="AI11" s="3">
        <v>2.0249999999999999</v>
      </c>
      <c r="AL11" s="3">
        <v>32</v>
      </c>
      <c r="AO11" s="3">
        <v>14.3</v>
      </c>
      <c r="AP11" s="3">
        <v>77.3</v>
      </c>
      <c r="AQ11" s="3">
        <v>45.2</v>
      </c>
      <c r="AR11" s="3">
        <v>53.1</v>
      </c>
      <c r="AS11" s="3">
        <v>22.7</v>
      </c>
      <c r="AT11" s="3" t="s">
        <v>144</v>
      </c>
      <c r="AU11" s="3" t="s">
        <v>144</v>
      </c>
    </row>
    <row r="12" spans="1:47" x14ac:dyDescent="0.2">
      <c r="A12" s="29">
        <v>10.999999999999943</v>
      </c>
      <c r="B12" s="3">
        <v>9</v>
      </c>
      <c r="C12" s="3">
        <v>22.11</v>
      </c>
      <c r="D12" s="31" t="s">
        <v>140</v>
      </c>
      <c r="E12" s="3" t="s">
        <v>141</v>
      </c>
      <c r="F12" s="3" t="s">
        <v>60</v>
      </c>
      <c r="H12" s="3" t="s">
        <v>60</v>
      </c>
      <c r="I12" s="32">
        <v>44569</v>
      </c>
      <c r="J12" s="3" t="s">
        <v>142</v>
      </c>
      <c r="K12" s="3" t="s">
        <v>145</v>
      </c>
      <c r="AT12" s="3" t="s">
        <v>144</v>
      </c>
      <c r="AU12" s="3" t="s">
        <v>144</v>
      </c>
    </row>
    <row r="13" spans="1:47" x14ac:dyDescent="0.2">
      <c r="A13" s="29">
        <v>12.000000000000099</v>
      </c>
      <c r="B13" s="3">
        <v>10</v>
      </c>
      <c r="C13" s="3">
        <v>22.12</v>
      </c>
      <c r="D13" s="31" t="s">
        <v>140</v>
      </c>
      <c r="E13" s="3" t="s">
        <v>141</v>
      </c>
      <c r="F13" s="3" t="s">
        <v>60</v>
      </c>
      <c r="H13" s="3" t="s">
        <v>60</v>
      </c>
      <c r="I13" s="32">
        <v>44571</v>
      </c>
      <c r="J13" s="3" t="s">
        <v>142</v>
      </c>
      <c r="K13" s="3" t="s">
        <v>145</v>
      </c>
      <c r="M13" s="3">
        <v>234.3</v>
      </c>
      <c r="N13" s="3">
        <v>234.3</v>
      </c>
      <c r="O13" s="3">
        <v>154.27000000000001</v>
      </c>
      <c r="P13" s="3">
        <v>162.91999999999999</v>
      </c>
      <c r="Q13" s="3">
        <v>29.04</v>
      </c>
      <c r="R13" s="3">
        <v>12.21</v>
      </c>
      <c r="S13" s="3">
        <v>115.53</v>
      </c>
      <c r="T13" s="3">
        <v>92.93</v>
      </c>
      <c r="U13" s="3">
        <v>72.44</v>
      </c>
      <c r="V13" s="3">
        <v>48.91</v>
      </c>
      <c r="W13" s="3">
        <v>78.06</v>
      </c>
      <c r="X13" s="3">
        <v>92.68</v>
      </c>
      <c r="Y13" s="3">
        <v>40.950000000000003</v>
      </c>
      <c r="Z13" s="3">
        <v>99.59</v>
      </c>
      <c r="AA13" s="3">
        <v>76.13</v>
      </c>
      <c r="AB13" s="3">
        <v>76.900000000000006</v>
      </c>
      <c r="AC13" s="3">
        <v>15.06</v>
      </c>
      <c r="AD13" s="3">
        <v>50.07</v>
      </c>
      <c r="AE13" s="3">
        <v>27.19</v>
      </c>
      <c r="AF13" s="3">
        <v>37.700000000000003</v>
      </c>
      <c r="AG13" s="3">
        <v>32.35</v>
      </c>
      <c r="AH13" s="3">
        <v>44.19</v>
      </c>
      <c r="AI13" s="3">
        <v>2.3519999999999999</v>
      </c>
      <c r="AL13" s="3">
        <v>29</v>
      </c>
      <c r="AO13" s="3">
        <v>15.6</v>
      </c>
      <c r="AP13" s="3">
        <v>102.1</v>
      </c>
      <c r="AQ13" s="3">
        <v>22.6</v>
      </c>
      <c r="AR13" s="3">
        <v>59.9</v>
      </c>
      <c r="AS13" s="3">
        <v>26.1</v>
      </c>
      <c r="AT13" s="3" t="s">
        <v>144</v>
      </c>
      <c r="AU13" s="3" t="s">
        <v>144</v>
      </c>
    </row>
    <row r="14" spans="1:47" x14ac:dyDescent="0.2">
      <c r="A14" s="29">
        <v>12.999999999999901</v>
      </c>
      <c r="B14" s="3">
        <v>11</v>
      </c>
      <c r="C14" s="3">
        <v>22.13</v>
      </c>
      <c r="D14" s="31" t="s">
        <v>140</v>
      </c>
      <c r="E14" s="3" t="s">
        <v>141</v>
      </c>
      <c r="F14" s="3" t="s">
        <v>60</v>
      </c>
      <c r="H14" s="3" t="s">
        <v>60</v>
      </c>
      <c r="I14" s="32">
        <v>44572</v>
      </c>
      <c r="J14" s="3" t="s">
        <v>142</v>
      </c>
      <c r="K14" s="3" t="s">
        <v>145</v>
      </c>
      <c r="AT14" s="3" t="s">
        <v>144</v>
      </c>
      <c r="AU14" s="3" t="s">
        <v>144</v>
      </c>
    </row>
    <row r="15" spans="1:47" x14ac:dyDescent="0.2">
      <c r="A15" s="29">
        <v>14.000000000000057</v>
      </c>
      <c r="B15" s="3">
        <v>12</v>
      </c>
      <c r="C15" s="3">
        <v>22.14</v>
      </c>
      <c r="D15" s="31" t="s">
        <v>140</v>
      </c>
      <c r="E15" s="3" t="s">
        <v>141</v>
      </c>
      <c r="F15" s="3" t="s">
        <v>60</v>
      </c>
      <c r="H15" s="3" t="s">
        <v>60</v>
      </c>
      <c r="I15" s="32">
        <v>44572</v>
      </c>
      <c r="J15" s="3" t="s">
        <v>142</v>
      </c>
      <c r="K15" s="3" t="s">
        <v>145</v>
      </c>
      <c r="M15" s="3">
        <v>235.2</v>
      </c>
      <c r="N15" s="3">
        <v>235.2</v>
      </c>
      <c r="O15" s="3">
        <v>153.16</v>
      </c>
      <c r="P15" s="3">
        <v>165.8</v>
      </c>
      <c r="Q15" s="3">
        <v>31.93</v>
      </c>
      <c r="R15" s="3">
        <v>12.76</v>
      </c>
      <c r="S15" s="3">
        <v>113.22</v>
      </c>
      <c r="T15" s="3">
        <v>94.8</v>
      </c>
      <c r="U15" s="3">
        <v>64.83</v>
      </c>
      <c r="V15" s="3">
        <v>52.34</v>
      </c>
      <c r="W15" s="3">
        <v>75.97</v>
      </c>
      <c r="X15" s="3">
        <v>93.84</v>
      </c>
      <c r="Y15" s="3">
        <v>41.77</v>
      </c>
      <c r="Z15" s="3">
        <v>97.96</v>
      </c>
      <c r="AA15" s="3">
        <v>75.61</v>
      </c>
      <c r="AB15" s="3">
        <v>75.260000000000005</v>
      </c>
      <c r="AC15" s="3">
        <v>14.99</v>
      </c>
      <c r="AD15" s="3">
        <v>49.31</v>
      </c>
      <c r="AE15" s="3">
        <v>27.12</v>
      </c>
      <c r="AF15" s="3">
        <v>38.93</v>
      </c>
      <c r="AG15" s="3">
        <v>30.6</v>
      </c>
      <c r="AH15" s="3">
        <v>39.229999999999997</v>
      </c>
      <c r="AI15" s="3">
        <v>2.4449999999999998</v>
      </c>
      <c r="AR15" s="3">
        <v>60.6</v>
      </c>
      <c r="AT15" s="3" t="s">
        <v>144</v>
      </c>
      <c r="AU15" s="3" t="s">
        <v>144</v>
      </c>
    </row>
    <row r="16" spans="1:47" x14ac:dyDescent="0.2">
      <c r="A16" s="29">
        <v>14.999999999999858</v>
      </c>
      <c r="B16" s="3">
        <v>13</v>
      </c>
      <c r="C16" s="3">
        <v>22.15</v>
      </c>
      <c r="D16" s="31" t="s">
        <v>140</v>
      </c>
      <c r="E16" s="3" t="s">
        <v>141</v>
      </c>
      <c r="F16" s="3" t="s">
        <v>61</v>
      </c>
      <c r="H16" s="3" t="s">
        <v>61</v>
      </c>
      <c r="I16" s="32">
        <v>44580</v>
      </c>
      <c r="J16" s="3" t="s">
        <v>142</v>
      </c>
      <c r="K16" s="3" t="s">
        <v>145</v>
      </c>
      <c r="M16" s="3">
        <v>179.3</v>
      </c>
      <c r="N16" s="3">
        <v>179.3</v>
      </c>
      <c r="O16" s="3">
        <v>172.97</v>
      </c>
      <c r="P16" s="3">
        <v>179.51</v>
      </c>
      <c r="Q16" s="3">
        <v>41.09</v>
      </c>
      <c r="R16" s="3">
        <v>28.57</v>
      </c>
      <c r="S16" s="3">
        <v>110.88</v>
      </c>
      <c r="T16" s="3">
        <v>88.85</v>
      </c>
      <c r="U16" s="3">
        <v>67.459999999999994</v>
      </c>
      <c r="V16" s="3">
        <v>53.48</v>
      </c>
      <c r="W16" s="3">
        <v>75.790000000000006</v>
      </c>
      <c r="X16" s="3">
        <v>86.57</v>
      </c>
      <c r="Y16" s="3">
        <v>35.53</v>
      </c>
      <c r="Z16" s="3">
        <v>96.74</v>
      </c>
      <c r="AA16" s="3">
        <v>70.48</v>
      </c>
      <c r="AB16" s="3">
        <v>74.41</v>
      </c>
      <c r="AC16" s="3">
        <v>20.03</v>
      </c>
      <c r="AD16" s="3">
        <v>43.06</v>
      </c>
      <c r="AE16" s="3">
        <v>29.99</v>
      </c>
      <c r="AF16" s="3">
        <v>36.19</v>
      </c>
      <c r="AG16" s="3">
        <v>28.06</v>
      </c>
      <c r="AH16" s="3">
        <v>39.99</v>
      </c>
      <c r="AI16" s="3">
        <v>1.651</v>
      </c>
      <c r="AL16" s="3">
        <v>3</v>
      </c>
      <c r="AO16" s="3">
        <v>10.5</v>
      </c>
      <c r="AP16" s="3">
        <v>80.8</v>
      </c>
      <c r="AQ16" s="3">
        <v>36.4</v>
      </c>
      <c r="AR16" s="3">
        <v>43.2</v>
      </c>
      <c r="AS16" s="3">
        <v>18.5</v>
      </c>
      <c r="AT16" s="3" t="s">
        <v>144</v>
      </c>
      <c r="AU16" s="3" t="s">
        <v>144</v>
      </c>
    </row>
    <row r="17" spans="1:47" x14ac:dyDescent="0.2">
      <c r="A17" s="29">
        <v>16.000000000000014</v>
      </c>
      <c r="B17" s="3">
        <v>14</v>
      </c>
      <c r="C17" s="3">
        <v>22.16</v>
      </c>
      <c r="D17" s="31" t="s">
        <v>140</v>
      </c>
      <c r="E17" s="3" t="s">
        <v>141</v>
      </c>
      <c r="F17" s="3" t="s">
        <v>60</v>
      </c>
      <c r="H17" s="3" t="s">
        <v>60</v>
      </c>
      <c r="I17" s="32">
        <v>44583</v>
      </c>
      <c r="J17" s="3" t="s">
        <v>142</v>
      </c>
      <c r="K17" s="3" t="s">
        <v>143</v>
      </c>
      <c r="M17" s="3">
        <v>282.10000000000002</v>
      </c>
      <c r="N17" s="3">
        <v>282.10000000000002</v>
      </c>
      <c r="O17" s="3">
        <v>160.69</v>
      </c>
      <c r="P17" s="3">
        <v>176.62</v>
      </c>
      <c r="Q17" s="3">
        <v>27.85</v>
      </c>
      <c r="R17" s="3">
        <v>18.93</v>
      </c>
      <c r="S17" s="3">
        <v>119.79</v>
      </c>
      <c r="T17" s="3">
        <v>101.35</v>
      </c>
      <c r="U17" s="3">
        <v>63.31</v>
      </c>
      <c r="V17" s="3">
        <v>50.43</v>
      </c>
      <c r="W17" s="3">
        <v>74.459999999999994</v>
      </c>
      <c r="X17" s="3">
        <v>91.76</v>
      </c>
      <c r="Y17" s="3">
        <v>39.5</v>
      </c>
      <c r="Z17" s="3">
        <v>99.56</v>
      </c>
      <c r="AA17" s="3">
        <v>81.64</v>
      </c>
      <c r="AB17" s="3">
        <v>75.91</v>
      </c>
      <c r="AC17" s="3">
        <v>17.63</v>
      </c>
      <c r="AD17" s="3">
        <v>53.98</v>
      </c>
      <c r="AE17" s="3">
        <v>27.97</v>
      </c>
      <c r="AF17" s="3">
        <v>38.44</v>
      </c>
      <c r="AG17" s="3">
        <v>29.61</v>
      </c>
      <c r="AH17" s="3">
        <v>40.380000000000003</v>
      </c>
      <c r="AI17" s="3">
        <v>1.849</v>
      </c>
      <c r="AJ17" s="3">
        <v>70.8</v>
      </c>
      <c r="AL17" s="3">
        <v>54</v>
      </c>
      <c r="AO17" s="3">
        <v>12.3</v>
      </c>
      <c r="AP17" s="3">
        <v>97</v>
      </c>
      <c r="AR17" s="3">
        <v>49.6</v>
      </c>
      <c r="AS17" s="3">
        <v>22</v>
      </c>
      <c r="AT17" s="3" t="s">
        <v>144</v>
      </c>
      <c r="AU17" s="3" t="s">
        <v>144</v>
      </c>
    </row>
    <row r="18" spans="1:47" x14ac:dyDescent="0.2">
      <c r="A18" s="29">
        <v>17.000000000000171</v>
      </c>
      <c r="B18" s="3">
        <v>15</v>
      </c>
      <c r="C18" s="3">
        <v>22.17</v>
      </c>
      <c r="D18" s="31" t="s">
        <v>140</v>
      </c>
      <c r="E18" s="3" t="s">
        <v>141</v>
      </c>
      <c r="F18" s="3" t="s">
        <v>60</v>
      </c>
      <c r="H18" s="3" t="s">
        <v>60</v>
      </c>
      <c r="I18" s="32">
        <v>44583</v>
      </c>
      <c r="J18" s="3" t="s">
        <v>142</v>
      </c>
      <c r="K18" s="3" t="s">
        <v>145</v>
      </c>
      <c r="M18" s="3">
        <v>225.2</v>
      </c>
      <c r="N18" s="3">
        <v>225.2</v>
      </c>
      <c r="O18" s="3">
        <v>154.88999999999999</v>
      </c>
      <c r="P18" s="3">
        <v>167.48</v>
      </c>
      <c r="Q18" s="3">
        <v>28.25</v>
      </c>
      <c r="R18" s="3">
        <v>16.22</v>
      </c>
      <c r="S18" s="3">
        <v>115.56</v>
      </c>
      <c r="T18" s="3">
        <v>94.34</v>
      </c>
      <c r="U18" s="3">
        <v>68.86</v>
      </c>
      <c r="V18" s="3">
        <v>48.8</v>
      </c>
      <c r="W18" s="3">
        <v>74.7</v>
      </c>
      <c r="X18" s="3">
        <v>89.97</v>
      </c>
      <c r="Y18" s="3">
        <v>39.799999999999997</v>
      </c>
      <c r="Z18" s="3">
        <v>96.85</v>
      </c>
      <c r="AA18" s="3">
        <v>75.59</v>
      </c>
      <c r="AB18" s="3">
        <v>77.209999999999994</v>
      </c>
      <c r="AC18" s="3">
        <v>13.34</v>
      </c>
      <c r="AD18" s="3">
        <v>46.88</v>
      </c>
      <c r="AE18" s="3">
        <v>26.33</v>
      </c>
      <c r="AF18" s="3">
        <v>36.090000000000003</v>
      </c>
      <c r="AG18" s="3">
        <v>30.59</v>
      </c>
      <c r="AH18" s="3">
        <v>37.880000000000003</v>
      </c>
      <c r="AI18" s="3">
        <v>1.9379999999999999</v>
      </c>
      <c r="AL18" s="3">
        <v>19</v>
      </c>
      <c r="AO18" s="3">
        <v>13.2</v>
      </c>
      <c r="AP18" s="3">
        <v>79.8</v>
      </c>
      <c r="AQ18" s="3">
        <v>52.4</v>
      </c>
      <c r="AR18" s="3">
        <v>52.7</v>
      </c>
      <c r="AS18" s="3">
        <v>23</v>
      </c>
      <c r="AT18" s="3" t="s">
        <v>144</v>
      </c>
      <c r="AU18" s="3" t="s">
        <v>144</v>
      </c>
    </row>
    <row r="19" spans="1:47" x14ac:dyDescent="0.2">
      <c r="A19" s="29">
        <v>17.999999999999972</v>
      </c>
      <c r="B19" s="3">
        <v>16</v>
      </c>
      <c r="C19" s="3">
        <v>22.18</v>
      </c>
      <c r="D19" s="31" t="s">
        <v>140</v>
      </c>
      <c r="E19" s="3" t="s">
        <v>141</v>
      </c>
      <c r="F19" s="3" t="s">
        <v>60</v>
      </c>
      <c r="H19" s="3" t="s">
        <v>60</v>
      </c>
      <c r="I19" s="32">
        <v>44583</v>
      </c>
      <c r="J19" s="3" t="s">
        <v>142</v>
      </c>
      <c r="K19" s="3" t="s">
        <v>145</v>
      </c>
      <c r="AT19" s="3" t="s">
        <v>144</v>
      </c>
      <c r="AU19" s="3" t="s">
        <v>144</v>
      </c>
    </row>
    <row r="20" spans="1:47" x14ac:dyDescent="0.2">
      <c r="A20" s="29">
        <v>19.000000000000128</v>
      </c>
      <c r="B20" s="3">
        <v>122</v>
      </c>
      <c r="C20" s="3">
        <v>22.19</v>
      </c>
      <c r="D20" s="36" t="s">
        <v>151</v>
      </c>
      <c r="E20" s="3" t="s">
        <v>152</v>
      </c>
      <c r="F20" s="3" t="s">
        <v>153</v>
      </c>
      <c r="H20" s="3" t="s">
        <v>90</v>
      </c>
      <c r="I20" s="32">
        <v>44573</v>
      </c>
      <c r="J20" s="3" t="s">
        <v>142</v>
      </c>
      <c r="K20" s="3" t="s">
        <v>145</v>
      </c>
      <c r="M20" s="3">
        <v>227</v>
      </c>
      <c r="O20" s="3">
        <v>182.74</v>
      </c>
      <c r="P20" s="3">
        <v>194.97</v>
      </c>
      <c r="Q20" s="3">
        <v>43.14</v>
      </c>
      <c r="R20" s="3">
        <v>27.62</v>
      </c>
      <c r="S20" s="3">
        <v>121.32</v>
      </c>
      <c r="T20" s="3">
        <v>94.28</v>
      </c>
      <c r="U20" s="3">
        <v>69.540000000000006</v>
      </c>
      <c r="V20" s="3">
        <v>54.95</v>
      </c>
      <c r="W20" s="3">
        <v>74.47</v>
      </c>
      <c r="X20" s="3">
        <v>91.72</v>
      </c>
      <c r="Y20" s="3">
        <v>43.2</v>
      </c>
      <c r="Z20" s="3">
        <v>101.89</v>
      </c>
      <c r="AA20" s="3">
        <v>78.45</v>
      </c>
      <c r="AB20" s="3">
        <v>82.22</v>
      </c>
      <c r="AC20" s="3">
        <v>24.58</v>
      </c>
      <c r="AD20" s="3">
        <v>44.81</v>
      </c>
      <c r="AE20" s="3">
        <v>29.44</v>
      </c>
      <c r="AF20" s="3">
        <v>43.86</v>
      </c>
      <c r="AG20" s="3">
        <v>34.369999999999997</v>
      </c>
      <c r="AH20" s="3">
        <v>44.64</v>
      </c>
      <c r="AI20" s="3">
        <v>1.78</v>
      </c>
      <c r="AL20" s="3">
        <v>6</v>
      </c>
      <c r="AO20" s="3">
        <v>14.6</v>
      </c>
      <c r="AP20" s="3">
        <v>107</v>
      </c>
      <c r="AQ20" s="3">
        <v>42.3</v>
      </c>
      <c r="AR20" s="3">
        <v>51.7</v>
      </c>
      <c r="AS20" s="3">
        <v>21.7</v>
      </c>
      <c r="AT20" s="3" t="s">
        <v>144</v>
      </c>
      <c r="AU20" s="3" t="s">
        <v>144</v>
      </c>
    </row>
    <row r="21" spans="1:47" x14ac:dyDescent="0.2">
      <c r="A21" s="29">
        <v>19.999999999999929</v>
      </c>
      <c r="B21" s="3">
        <v>119</v>
      </c>
      <c r="C21" s="12" t="s">
        <v>154</v>
      </c>
      <c r="D21" s="36" t="s">
        <v>151</v>
      </c>
      <c r="E21" s="3" t="s">
        <v>152</v>
      </c>
      <c r="F21" s="3" t="s">
        <v>153</v>
      </c>
      <c r="H21" s="3" t="s">
        <v>89</v>
      </c>
      <c r="I21" s="32">
        <v>44573</v>
      </c>
      <c r="J21" s="3" t="s">
        <v>142</v>
      </c>
      <c r="K21" s="3" t="s">
        <v>145</v>
      </c>
      <c r="M21" s="3">
        <v>226</v>
      </c>
      <c r="N21" s="3">
        <v>224.9</v>
      </c>
      <c r="O21" s="3">
        <v>177.67</v>
      </c>
      <c r="P21" s="3">
        <v>192.83</v>
      </c>
      <c r="Q21" s="3">
        <v>42.21</v>
      </c>
      <c r="R21" s="3">
        <v>25.44</v>
      </c>
      <c r="S21" s="3">
        <v>121.53</v>
      </c>
      <c r="T21" s="3">
        <v>94.55</v>
      </c>
      <c r="U21" s="3">
        <v>70.069999999999993</v>
      </c>
      <c r="V21" s="3">
        <v>55.03</v>
      </c>
      <c r="W21" s="3">
        <v>73.95</v>
      </c>
      <c r="X21" s="3">
        <v>92.09</v>
      </c>
      <c r="Y21" s="3">
        <v>41.8</v>
      </c>
      <c r="Z21" s="3">
        <v>101.09</v>
      </c>
      <c r="AA21" s="3">
        <v>80.38</v>
      </c>
      <c r="AB21" s="3">
        <v>80.180000000000007</v>
      </c>
      <c r="AC21" s="3">
        <v>23.55</v>
      </c>
      <c r="AD21" s="3">
        <v>44.27</v>
      </c>
      <c r="AE21" s="3">
        <v>30.64</v>
      </c>
      <c r="AF21" s="3">
        <v>43.2</v>
      </c>
      <c r="AG21" s="3">
        <v>33.729999999999997</v>
      </c>
      <c r="AH21" s="3">
        <v>44.42</v>
      </c>
      <c r="AI21" s="3">
        <v>1.8160000000000001</v>
      </c>
      <c r="AL21" s="3">
        <v>6</v>
      </c>
      <c r="AO21" s="3">
        <v>16.899999999999999</v>
      </c>
      <c r="AP21" s="3">
        <v>105</v>
      </c>
      <c r="AQ21" s="3">
        <v>43.2</v>
      </c>
      <c r="AR21" s="3">
        <v>52</v>
      </c>
      <c r="AS21" s="3">
        <v>21.9</v>
      </c>
      <c r="AT21" s="3" t="s">
        <v>144</v>
      </c>
      <c r="AU21" s="3" t="s">
        <v>144</v>
      </c>
    </row>
    <row r="22" spans="1:47" x14ac:dyDescent="0.2">
      <c r="A22" s="29">
        <v>21.000000000000085</v>
      </c>
      <c r="B22" s="3">
        <v>123</v>
      </c>
      <c r="C22" s="3">
        <v>22.21</v>
      </c>
      <c r="D22" s="36" t="s">
        <v>151</v>
      </c>
      <c r="E22" s="3" t="s">
        <v>152</v>
      </c>
      <c r="F22" s="3" t="s">
        <v>153</v>
      </c>
      <c r="H22" s="3" t="s">
        <v>90</v>
      </c>
      <c r="I22" s="32">
        <v>44573</v>
      </c>
      <c r="J22" s="3" t="s">
        <v>142</v>
      </c>
      <c r="K22" s="3" t="s">
        <v>145</v>
      </c>
      <c r="M22" s="3">
        <v>226</v>
      </c>
      <c r="N22" s="3">
        <v>223.2</v>
      </c>
      <c r="O22" s="3">
        <v>181.68</v>
      </c>
      <c r="P22" s="3">
        <v>193.64</v>
      </c>
      <c r="Q22" s="3">
        <v>43.01</v>
      </c>
      <c r="R22" s="3">
        <v>29.02</v>
      </c>
      <c r="S22" s="3">
        <v>118.4</v>
      </c>
      <c r="T22" s="3">
        <v>92.78</v>
      </c>
      <c r="U22" s="3">
        <v>66.930000000000007</v>
      </c>
      <c r="V22" s="3">
        <v>55.34</v>
      </c>
      <c r="W22" s="3">
        <v>75.89</v>
      </c>
      <c r="X22" s="3">
        <v>94.79</v>
      </c>
      <c r="Y22" s="3">
        <v>41.73</v>
      </c>
      <c r="Z22" s="3">
        <v>102.7</v>
      </c>
      <c r="AA22" s="3">
        <v>80.38</v>
      </c>
      <c r="AB22" s="3">
        <v>81.08</v>
      </c>
      <c r="AC22" s="3">
        <v>26.01</v>
      </c>
      <c r="AD22" s="3">
        <v>44.46</v>
      </c>
      <c r="AE22" s="3">
        <v>32.200000000000003</v>
      </c>
      <c r="AF22" s="3">
        <v>43.9</v>
      </c>
      <c r="AG22" s="3">
        <v>35.840000000000003</v>
      </c>
      <c r="AH22" s="3">
        <v>43.81</v>
      </c>
      <c r="AI22" s="3">
        <v>1.696</v>
      </c>
      <c r="AL22" s="3">
        <v>12</v>
      </c>
      <c r="AO22" s="3">
        <v>13.7</v>
      </c>
      <c r="AP22" s="3">
        <v>100.3</v>
      </c>
      <c r="AQ22" s="3">
        <v>44.6</v>
      </c>
      <c r="AR22" s="3">
        <v>50.6</v>
      </c>
      <c r="AS22" s="3">
        <v>21.4</v>
      </c>
      <c r="AT22" s="3" t="s">
        <v>144</v>
      </c>
      <c r="AU22" s="3" t="s">
        <v>144</v>
      </c>
    </row>
    <row r="23" spans="1:47" x14ac:dyDescent="0.2">
      <c r="A23" s="29">
        <v>21.999999999999886</v>
      </c>
      <c r="B23" s="3">
        <v>126</v>
      </c>
      <c r="C23" s="3">
        <v>22.22</v>
      </c>
      <c r="D23" s="36" t="s">
        <v>151</v>
      </c>
      <c r="E23" s="3" t="s">
        <v>152</v>
      </c>
      <c r="F23" s="37" t="s">
        <v>153</v>
      </c>
      <c r="I23" s="32">
        <v>44575</v>
      </c>
      <c r="J23" s="3" t="s">
        <v>142</v>
      </c>
      <c r="K23" s="3" t="s">
        <v>145</v>
      </c>
      <c r="M23" s="3">
        <v>222</v>
      </c>
      <c r="N23" s="3">
        <v>221.6</v>
      </c>
      <c r="O23" s="3">
        <v>181.2</v>
      </c>
      <c r="P23" s="3">
        <v>196.71</v>
      </c>
      <c r="Q23" s="3">
        <v>43.13</v>
      </c>
      <c r="R23" s="3">
        <v>25.07</v>
      </c>
      <c r="S23" s="3">
        <v>121.68</v>
      </c>
      <c r="T23" s="3">
        <v>96.18</v>
      </c>
      <c r="U23" s="3">
        <v>72.14</v>
      </c>
      <c r="V23" s="3">
        <v>57.94</v>
      </c>
      <c r="W23" s="3">
        <v>77.17</v>
      </c>
      <c r="X23" s="3">
        <v>95.04</v>
      </c>
      <c r="Y23" s="3">
        <v>41.71</v>
      </c>
      <c r="Z23" s="3">
        <v>102.8</v>
      </c>
      <c r="AA23" s="3">
        <v>76.97</v>
      </c>
      <c r="AB23" s="3">
        <v>82.6</v>
      </c>
      <c r="AC23" s="3">
        <v>24.2</v>
      </c>
      <c r="AD23" s="3">
        <v>41.68</v>
      </c>
      <c r="AE23" s="3">
        <v>30.42</v>
      </c>
      <c r="AF23" s="3">
        <v>44.79</v>
      </c>
      <c r="AG23" s="3">
        <v>35.67</v>
      </c>
      <c r="AH23" s="3">
        <v>46.56</v>
      </c>
      <c r="AI23" s="3">
        <v>1.778</v>
      </c>
      <c r="AL23" s="3">
        <v>6</v>
      </c>
      <c r="AO23" s="3">
        <v>17.100000000000001</v>
      </c>
      <c r="AP23" s="3">
        <v>93.7</v>
      </c>
      <c r="AQ23" s="3">
        <v>47.1</v>
      </c>
      <c r="AR23" s="3">
        <v>54.9</v>
      </c>
      <c r="AS23" s="3">
        <v>23.2</v>
      </c>
      <c r="AT23" s="3" t="s">
        <v>144</v>
      </c>
      <c r="AU23" s="3" t="s">
        <v>144</v>
      </c>
    </row>
    <row r="24" spans="1:47" x14ac:dyDescent="0.2">
      <c r="A24" s="29">
        <v>23.000000000000043</v>
      </c>
      <c r="B24" s="3" t="s">
        <v>155</v>
      </c>
      <c r="C24" s="3">
        <v>22.23</v>
      </c>
      <c r="D24" s="38" t="s">
        <v>156</v>
      </c>
      <c r="F24" s="3" t="s">
        <v>77</v>
      </c>
      <c r="G24" s="3" t="s">
        <v>77</v>
      </c>
      <c r="I24" s="32">
        <v>44571</v>
      </c>
      <c r="J24" s="3" t="s">
        <v>142</v>
      </c>
      <c r="K24" s="3" t="s">
        <v>145</v>
      </c>
      <c r="N24" s="3">
        <v>196.6</v>
      </c>
      <c r="O24" s="3">
        <v>162.51</v>
      </c>
      <c r="P24" s="3">
        <v>172.23</v>
      </c>
      <c r="Q24" s="3">
        <v>31.24</v>
      </c>
      <c r="R24" s="3">
        <v>13.67</v>
      </c>
      <c r="S24" s="3">
        <v>118.93</v>
      </c>
      <c r="T24" s="3">
        <v>100.52</v>
      </c>
      <c r="U24" s="3">
        <v>61.61</v>
      </c>
      <c r="V24" s="3">
        <v>44.1</v>
      </c>
      <c r="W24" s="3">
        <v>66.69</v>
      </c>
      <c r="X24" s="3">
        <v>81.2</v>
      </c>
      <c r="Y24" s="3">
        <v>32.64</v>
      </c>
      <c r="Z24" s="3">
        <v>87.84</v>
      </c>
      <c r="AA24" s="3">
        <v>72.7</v>
      </c>
      <c r="AB24" s="3">
        <v>66.88</v>
      </c>
      <c r="AC24" s="3">
        <v>15.32</v>
      </c>
      <c r="AD24" s="3">
        <v>45.43</v>
      </c>
      <c r="AE24" s="3">
        <v>22.18</v>
      </c>
      <c r="AF24" s="3">
        <v>37.950000000000003</v>
      </c>
      <c r="AG24" s="3">
        <v>27.31</v>
      </c>
      <c r="AH24" s="3">
        <v>40.82</v>
      </c>
      <c r="AI24" s="3">
        <v>1.325</v>
      </c>
      <c r="AL24" s="3">
        <v>11</v>
      </c>
      <c r="AO24" s="3">
        <v>12.1</v>
      </c>
      <c r="AP24" s="3">
        <v>65.5</v>
      </c>
      <c r="AQ24" s="3">
        <v>63.3</v>
      </c>
      <c r="AR24" s="3">
        <v>42.4</v>
      </c>
      <c r="AS24" s="3">
        <v>18.600000000000001</v>
      </c>
      <c r="AT24" s="3" t="s">
        <v>144</v>
      </c>
      <c r="AU24" s="3" t="s">
        <v>144</v>
      </c>
    </row>
    <row r="25" spans="1:47" x14ac:dyDescent="0.2">
      <c r="A25" s="29">
        <v>23.999999999999844</v>
      </c>
      <c r="B25" s="3">
        <v>17</v>
      </c>
      <c r="C25" s="3">
        <v>22.24</v>
      </c>
      <c r="D25" s="31" t="s">
        <v>140</v>
      </c>
      <c r="E25" s="3" t="s">
        <v>141</v>
      </c>
      <c r="F25" s="3" t="s">
        <v>61</v>
      </c>
      <c r="H25" s="3" t="s">
        <v>157</v>
      </c>
      <c r="I25" s="32">
        <v>44584</v>
      </c>
      <c r="J25" s="3" t="s">
        <v>142</v>
      </c>
      <c r="K25" s="3" t="s">
        <v>143</v>
      </c>
      <c r="M25" s="3">
        <v>255.7</v>
      </c>
      <c r="N25" s="3">
        <v>255.7</v>
      </c>
      <c r="O25" s="3">
        <v>187.34</v>
      </c>
      <c r="P25" s="3">
        <v>199.71</v>
      </c>
      <c r="Q25" s="3">
        <v>43.99</v>
      </c>
      <c r="R25" s="3">
        <v>35.82</v>
      </c>
      <c r="S25" s="3">
        <v>121.19</v>
      </c>
      <c r="T25" s="3">
        <v>100.81</v>
      </c>
      <c r="U25" s="3">
        <v>70.58</v>
      </c>
      <c r="V25" s="3">
        <v>54.37</v>
      </c>
      <c r="W25" s="3">
        <v>78.22</v>
      </c>
      <c r="X25" s="3">
        <v>90.98</v>
      </c>
      <c r="Y25" s="3">
        <v>42.25</v>
      </c>
      <c r="Z25" s="3">
        <v>101.14</v>
      </c>
      <c r="AA25" s="3">
        <v>84.41</v>
      </c>
      <c r="AB25" s="3">
        <v>75.849999999999994</v>
      </c>
      <c r="AC25" s="3">
        <v>23.29</v>
      </c>
      <c r="AD25" s="3">
        <v>51.71</v>
      </c>
      <c r="AE25" s="3">
        <v>29.06</v>
      </c>
      <c r="AF25" s="3">
        <v>39.01</v>
      </c>
      <c r="AG25" s="3">
        <v>29.36</v>
      </c>
      <c r="AH25" s="3">
        <v>40.9</v>
      </c>
      <c r="AI25" s="3">
        <v>1.3029999999999999</v>
      </c>
      <c r="AJ25" s="3">
        <v>50.8</v>
      </c>
      <c r="AL25" s="3">
        <v>29</v>
      </c>
      <c r="AO25" s="3">
        <v>12.1</v>
      </c>
      <c r="AP25" s="3">
        <v>103.6</v>
      </c>
      <c r="AR25" s="3">
        <v>46.4</v>
      </c>
      <c r="AS25" s="3">
        <v>20.399999999999999</v>
      </c>
      <c r="AT25" s="3" t="s">
        <v>144</v>
      </c>
      <c r="AU25" s="3" t="s">
        <v>144</v>
      </c>
    </row>
    <row r="26" spans="1:47" x14ac:dyDescent="0.2">
      <c r="A26" s="29">
        <v>25</v>
      </c>
      <c r="B26" s="3">
        <v>18</v>
      </c>
      <c r="C26" s="3">
        <v>22.25</v>
      </c>
      <c r="D26" s="31" t="s">
        <v>140</v>
      </c>
      <c r="E26" s="3" t="s">
        <v>141</v>
      </c>
      <c r="F26" s="3" t="s">
        <v>60</v>
      </c>
      <c r="H26" s="3" t="s">
        <v>60</v>
      </c>
      <c r="I26" s="32">
        <v>44584</v>
      </c>
      <c r="J26" s="3" t="s">
        <v>142</v>
      </c>
      <c r="K26" s="3" t="s">
        <v>143</v>
      </c>
      <c r="M26" s="3">
        <v>268.89999999999998</v>
      </c>
      <c r="N26" s="3">
        <v>268.89999999999998</v>
      </c>
      <c r="O26" s="3">
        <v>160.1</v>
      </c>
      <c r="P26" s="3">
        <v>175.43</v>
      </c>
      <c r="Q26" s="3">
        <v>29.56</v>
      </c>
      <c r="R26" s="3">
        <v>17.5</v>
      </c>
      <c r="S26" s="3">
        <v>118.88</v>
      </c>
      <c r="T26" s="3">
        <v>103.14</v>
      </c>
      <c r="U26" s="3">
        <v>69.33</v>
      </c>
      <c r="V26" s="3">
        <v>52.34</v>
      </c>
      <c r="W26" s="3">
        <v>76.23</v>
      </c>
      <c r="X26" s="3">
        <v>92.84</v>
      </c>
      <c r="Y26" s="3">
        <v>40.71</v>
      </c>
      <c r="Z26" s="3">
        <v>100.43</v>
      </c>
      <c r="AA26" s="3">
        <v>84.38</v>
      </c>
      <c r="AB26" s="3">
        <v>76.81</v>
      </c>
      <c r="AC26" s="3">
        <v>14.9</v>
      </c>
      <c r="AD26" s="3">
        <v>52.65</v>
      </c>
      <c r="AE26" s="3">
        <v>23.26</v>
      </c>
      <c r="AF26" s="3">
        <v>36.299999999999997</v>
      </c>
      <c r="AG26" s="3">
        <v>29.38</v>
      </c>
      <c r="AH26" s="3">
        <v>40.33</v>
      </c>
      <c r="AI26" s="3">
        <v>1.6419999999999999</v>
      </c>
      <c r="AJ26" s="3">
        <v>57.3</v>
      </c>
      <c r="AL26" s="3">
        <v>37</v>
      </c>
      <c r="AO26" s="3">
        <v>8.8000000000000007</v>
      </c>
      <c r="AP26" s="3">
        <v>112.3</v>
      </c>
      <c r="AR26" s="3">
        <v>46.9</v>
      </c>
      <c r="AS26" s="3">
        <v>20.9</v>
      </c>
      <c r="AT26" s="3" t="s">
        <v>144</v>
      </c>
      <c r="AU26" s="3" t="s">
        <v>144</v>
      </c>
    </row>
    <row r="27" spans="1:47" x14ac:dyDescent="0.2">
      <c r="A27" s="29">
        <v>26.000000000000156</v>
      </c>
      <c r="B27" s="3">
        <v>19</v>
      </c>
      <c r="C27" s="3">
        <v>22.26</v>
      </c>
      <c r="D27" s="31" t="s">
        <v>140</v>
      </c>
      <c r="E27" s="3" t="s">
        <v>141</v>
      </c>
      <c r="F27" s="3" t="s">
        <v>61</v>
      </c>
      <c r="H27" s="3" t="s">
        <v>61</v>
      </c>
      <c r="I27" s="32">
        <v>44584</v>
      </c>
      <c r="J27" s="3" t="s">
        <v>142</v>
      </c>
      <c r="K27" s="3" t="s">
        <v>145</v>
      </c>
      <c r="M27" s="3">
        <v>179</v>
      </c>
      <c r="N27" s="3">
        <v>177.4</v>
      </c>
      <c r="O27" s="3">
        <v>162.81</v>
      </c>
      <c r="P27" s="3">
        <v>184.19</v>
      </c>
      <c r="Q27" s="3">
        <v>48.23</v>
      </c>
      <c r="R27" s="3">
        <v>22.48</v>
      </c>
      <c r="S27" s="3">
        <v>109.94</v>
      </c>
      <c r="T27" s="3">
        <v>86.92</v>
      </c>
      <c r="U27" s="3">
        <v>70.209999999999994</v>
      </c>
      <c r="V27" s="3">
        <v>55.76</v>
      </c>
      <c r="W27" s="3">
        <v>73.069999999999993</v>
      </c>
      <c r="X27" s="3">
        <v>88.2</v>
      </c>
      <c r="Y27" s="3">
        <v>37.96</v>
      </c>
      <c r="Z27" s="3">
        <v>95.77</v>
      </c>
      <c r="AA27" s="3">
        <v>70.38</v>
      </c>
      <c r="AB27" s="3">
        <v>74.650000000000006</v>
      </c>
      <c r="AC27" s="3">
        <v>23.3</v>
      </c>
      <c r="AD27" s="3">
        <v>44.21</v>
      </c>
      <c r="AE27" s="3">
        <v>29.44</v>
      </c>
      <c r="AF27" s="3">
        <v>39.21</v>
      </c>
      <c r="AG27" s="3">
        <v>23.82</v>
      </c>
      <c r="AH27" s="3">
        <v>39.479999999999997</v>
      </c>
      <c r="AI27" s="3">
        <v>1.53</v>
      </c>
      <c r="AL27" s="3">
        <v>2</v>
      </c>
      <c r="AO27" s="3">
        <v>13</v>
      </c>
      <c r="AP27" s="3">
        <v>83.1</v>
      </c>
      <c r="AQ27" s="3">
        <v>33.700000000000003</v>
      </c>
      <c r="AR27" s="3">
        <v>43.2</v>
      </c>
      <c r="AS27" s="3">
        <v>19</v>
      </c>
      <c r="AT27" s="3" t="s">
        <v>144</v>
      </c>
      <c r="AU27" s="3" t="s">
        <v>144</v>
      </c>
    </row>
    <row r="28" spans="1:47" x14ac:dyDescent="0.2">
      <c r="A28" s="29">
        <v>26.999999999999957</v>
      </c>
      <c r="B28" s="3">
        <v>20</v>
      </c>
      <c r="C28" s="3">
        <v>22.27</v>
      </c>
      <c r="D28" s="31" t="s">
        <v>140</v>
      </c>
      <c r="E28" s="3" t="s">
        <v>141</v>
      </c>
      <c r="F28" s="3" t="s">
        <v>60</v>
      </c>
      <c r="H28" s="3" t="s">
        <v>60</v>
      </c>
      <c r="I28" s="32">
        <v>44586</v>
      </c>
      <c r="J28" s="3" t="s">
        <v>142</v>
      </c>
      <c r="K28" s="3" t="s">
        <v>145</v>
      </c>
      <c r="L28" s="3">
        <v>209.9</v>
      </c>
      <c r="N28" s="3">
        <v>214.52</v>
      </c>
      <c r="O28" s="3">
        <v>142.37</v>
      </c>
      <c r="P28" s="3">
        <v>158.58000000000001</v>
      </c>
      <c r="Q28" s="3">
        <v>24.46</v>
      </c>
      <c r="R28" s="3">
        <v>11.03</v>
      </c>
      <c r="S28" s="3">
        <v>111.06</v>
      </c>
      <c r="T28" s="3">
        <v>91.64</v>
      </c>
      <c r="U28" s="3">
        <v>69.959999999999994</v>
      </c>
      <c r="V28" s="3">
        <v>48.22</v>
      </c>
      <c r="W28" s="3">
        <v>78.06</v>
      </c>
      <c r="X28" s="3">
        <v>91.68</v>
      </c>
      <c r="Y28" s="3">
        <v>36.130000000000003</v>
      </c>
      <c r="Z28" s="3">
        <v>97.75</v>
      </c>
      <c r="AA28" s="3">
        <v>78.23</v>
      </c>
      <c r="AB28" s="3">
        <v>76.59</v>
      </c>
      <c r="AC28" s="3">
        <v>15.85</v>
      </c>
      <c r="AD28" s="3">
        <v>47.01</v>
      </c>
      <c r="AE28" s="3">
        <v>21.96</v>
      </c>
      <c r="AF28" s="3">
        <v>36</v>
      </c>
      <c r="AG28" s="3">
        <v>30.89</v>
      </c>
      <c r="AH28" s="3">
        <v>38.770000000000003</v>
      </c>
      <c r="AL28" s="3">
        <v>22</v>
      </c>
      <c r="AO28" s="3">
        <v>9.57</v>
      </c>
      <c r="AP28" s="3">
        <v>74.78</v>
      </c>
      <c r="AQ28" s="3">
        <v>59.28</v>
      </c>
      <c r="AR28" s="3">
        <v>45.73</v>
      </c>
      <c r="AS28" s="3">
        <v>20.2</v>
      </c>
      <c r="AT28" s="3" t="s">
        <v>144</v>
      </c>
      <c r="AU28" s="3" t="s">
        <v>144</v>
      </c>
    </row>
    <row r="29" spans="1:47" x14ac:dyDescent="0.2">
      <c r="A29" s="29">
        <v>28.000000000000114</v>
      </c>
      <c r="B29" s="3">
        <v>21</v>
      </c>
      <c r="C29" s="3">
        <v>22.28</v>
      </c>
      <c r="D29" s="31" t="s">
        <v>140</v>
      </c>
      <c r="E29" s="3" t="s">
        <v>141</v>
      </c>
      <c r="F29" s="3" t="s">
        <v>60</v>
      </c>
      <c r="H29" s="3" t="s">
        <v>60</v>
      </c>
      <c r="I29" s="32">
        <v>44586</v>
      </c>
      <c r="J29" s="3" t="s">
        <v>142</v>
      </c>
      <c r="K29" s="3" t="s">
        <v>145</v>
      </c>
      <c r="L29" s="3">
        <v>223.1</v>
      </c>
      <c r="N29" s="3">
        <v>231.4</v>
      </c>
      <c r="O29" s="3">
        <v>156.99</v>
      </c>
      <c r="P29" s="3">
        <v>169.91</v>
      </c>
      <c r="Q29" s="3">
        <v>33.049999999999997</v>
      </c>
      <c r="R29" s="3">
        <v>17.11</v>
      </c>
      <c r="S29" s="3">
        <v>111.29</v>
      </c>
      <c r="T29" s="3">
        <v>94.93</v>
      </c>
      <c r="U29" s="3">
        <v>68.930000000000007</v>
      </c>
      <c r="V29" s="3">
        <v>54.42</v>
      </c>
      <c r="W29" s="3">
        <v>75.17</v>
      </c>
      <c r="X29" s="3">
        <v>90.36</v>
      </c>
      <c r="Y29" s="3">
        <v>41.73</v>
      </c>
      <c r="Z29" s="3">
        <v>99.3</v>
      </c>
      <c r="AA29" s="3">
        <v>76.69</v>
      </c>
      <c r="AB29" s="3">
        <v>76.97</v>
      </c>
      <c r="AC29" s="3">
        <v>15.53</v>
      </c>
      <c r="AD29" s="3">
        <v>48.8</v>
      </c>
      <c r="AE29" s="3">
        <v>28.38</v>
      </c>
      <c r="AF29" s="3">
        <v>38.99</v>
      </c>
      <c r="AG29" s="3">
        <v>28.8</v>
      </c>
      <c r="AH29" s="3">
        <v>41.66</v>
      </c>
      <c r="AI29" s="3">
        <v>2.234</v>
      </c>
      <c r="AL29" s="3">
        <v>32</v>
      </c>
      <c r="AO29" s="3">
        <v>15.7</v>
      </c>
      <c r="AP29" s="3">
        <v>73</v>
      </c>
      <c r="AQ29" s="3">
        <v>51.2</v>
      </c>
      <c r="AR29" s="3">
        <v>55.5</v>
      </c>
      <c r="AS29" s="3">
        <v>23.9</v>
      </c>
      <c r="AT29" s="3" t="s">
        <v>144</v>
      </c>
      <c r="AU29" s="3" t="s">
        <v>144</v>
      </c>
    </row>
    <row r="30" spans="1:47" x14ac:dyDescent="0.2">
      <c r="A30" s="29">
        <v>28.999999999999915</v>
      </c>
      <c r="B30" s="3">
        <v>125</v>
      </c>
      <c r="C30" s="3">
        <v>22.29</v>
      </c>
      <c r="D30" s="36" t="s">
        <v>151</v>
      </c>
      <c r="F30" s="37" t="s">
        <v>153</v>
      </c>
      <c r="I30" s="32">
        <v>44575</v>
      </c>
      <c r="J30" s="3" t="s">
        <v>142</v>
      </c>
      <c r="K30" s="3" t="s">
        <v>145</v>
      </c>
      <c r="O30" s="3">
        <v>176.95</v>
      </c>
      <c r="P30" s="3">
        <v>189.46</v>
      </c>
      <c r="Q30" s="3">
        <v>46.6</v>
      </c>
      <c r="R30" s="3">
        <v>23.95</v>
      </c>
      <c r="S30" s="3">
        <v>118.45</v>
      </c>
      <c r="T30" s="3">
        <v>95.91</v>
      </c>
      <c r="U30" s="3">
        <v>71.59</v>
      </c>
      <c r="V30" s="3">
        <v>55.02</v>
      </c>
      <c r="W30" s="3">
        <v>74.64</v>
      </c>
      <c r="X30" s="3">
        <v>93.44</v>
      </c>
      <c r="Y30" s="3">
        <v>43.5</v>
      </c>
      <c r="Z30" s="3">
        <v>103.7</v>
      </c>
      <c r="AA30" s="3">
        <v>80.760000000000005</v>
      </c>
      <c r="AB30" s="3">
        <v>83.28</v>
      </c>
      <c r="AC30" s="3">
        <v>24.37</v>
      </c>
      <c r="AD30" s="3">
        <v>44.04</v>
      </c>
      <c r="AE30" s="3">
        <v>26.75</v>
      </c>
      <c r="AF30" s="3">
        <v>46.43</v>
      </c>
      <c r="AG30" s="3">
        <v>37.61</v>
      </c>
      <c r="AH30" s="3">
        <v>48.3</v>
      </c>
      <c r="AT30" s="3" t="s">
        <v>144</v>
      </c>
      <c r="AU30" s="3" t="s">
        <v>144</v>
      </c>
    </row>
    <row r="31" spans="1:47" x14ac:dyDescent="0.2">
      <c r="A31" s="29">
        <v>30.000000000000071</v>
      </c>
      <c r="B31" s="3">
        <v>118</v>
      </c>
      <c r="C31" s="12" t="s">
        <v>158</v>
      </c>
      <c r="D31" s="36" t="s">
        <v>151</v>
      </c>
      <c r="F31" s="3" t="s">
        <v>153</v>
      </c>
      <c r="H31" s="3" t="s">
        <v>89</v>
      </c>
      <c r="I31" s="32">
        <v>44573</v>
      </c>
      <c r="J31" s="3" t="s">
        <v>142</v>
      </c>
      <c r="K31" s="3" t="s">
        <v>145</v>
      </c>
      <c r="O31" s="3">
        <v>175.61</v>
      </c>
      <c r="P31" s="3">
        <v>180.57</v>
      </c>
      <c r="Q31" s="3">
        <v>39.590000000000003</v>
      </c>
      <c r="R31" s="3">
        <v>15.03</v>
      </c>
      <c r="S31" s="3">
        <v>121.29</v>
      </c>
      <c r="T31" s="3">
        <v>94.22</v>
      </c>
      <c r="U31" s="3">
        <v>61.94</v>
      </c>
      <c r="V31" s="3">
        <v>49.66</v>
      </c>
      <c r="W31" s="3">
        <v>69.150000000000006</v>
      </c>
      <c r="X31" s="3">
        <v>95.99</v>
      </c>
      <c r="Y31" s="3">
        <v>37.61</v>
      </c>
      <c r="Z31" s="3">
        <v>103.79</v>
      </c>
      <c r="AA31" s="3">
        <v>82.41</v>
      </c>
      <c r="AB31" s="3">
        <v>77.75</v>
      </c>
      <c r="AC31" s="3">
        <v>23.4</v>
      </c>
      <c r="AD31" s="3">
        <v>50.78</v>
      </c>
      <c r="AE31" s="3">
        <v>32.68</v>
      </c>
      <c r="AF31" s="3">
        <v>39.42</v>
      </c>
      <c r="AG31" s="3">
        <v>34.64</v>
      </c>
      <c r="AH31" s="3">
        <v>41.26</v>
      </c>
      <c r="AT31" s="3" t="s">
        <v>144</v>
      </c>
      <c r="AU31" s="3" t="s">
        <v>144</v>
      </c>
    </row>
    <row r="32" spans="1:47" x14ac:dyDescent="0.2">
      <c r="A32" s="29">
        <v>30.999999999999872</v>
      </c>
      <c r="B32" s="3">
        <v>128</v>
      </c>
      <c r="C32" s="3">
        <v>22.31</v>
      </c>
      <c r="D32" s="36" t="s">
        <v>151</v>
      </c>
      <c r="F32" s="37" t="s">
        <v>153</v>
      </c>
      <c r="I32" s="32">
        <v>44575</v>
      </c>
      <c r="J32" s="3" t="s">
        <v>142</v>
      </c>
      <c r="K32" s="3" t="s">
        <v>145</v>
      </c>
      <c r="O32" s="3">
        <v>181</v>
      </c>
      <c r="P32" s="3">
        <v>187.97</v>
      </c>
      <c r="Q32" s="3">
        <v>44.53</v>
      </c>
      <c r="R32" s="3">
        <v>20.27</v>
      </c>
      <c r="S32" s="3">
        <v>117.58</v>
      </c>
      <c r="T32" s="3">
        <v>91.29</v>
      </c>
      <c r="U32" s="3">
        <v>70.34</v>
      </c>
      <c r="V32" s="3">
        <v>54.98</v>
      </c>
      <c r="W32" s="3">
        <v>76.23</v>
      </c>
      <c r="X32" s="3">
        <v>94.6</v>
      </c>
      <c r="Y32" s="3">
        <v>42.4</v>
      </c>
      <c r="Z32" s="3">
        <v>104.51</v>
      </c>
      <c r="AA32" s="3">
        <v>82.02</v>
      </c>
      <c r="AB32" s="3">
        <v>81.319999999999993</v>
      </c>
      <c r="AC32" s="3">
        <v>23.78</v>
      </c>
      <c r="AD32" s="3">
        <v>43.85</v>
      </c>
      <c r="AE32" s="3">
        <v>28.51</v>
      </c>
      <c r="AF32" s="3">
        <v>50.01</v>
      </c>
      <c r="AG32" s="3">
        <v>33.79</v>
      </c>
      <c r="AH32" s="3">
        <v>49.82</v>
      </c>
      <c r="AT32" s="3" t="s">
        <v>144</v>
      </c>
      <c r="AU32" s="3" t="s">
        <v>144</v>
      </c>
    </row>
    <row r="33" spans="1:47" x14ac:dyDescent="0.2">
      <c r="A33" s="29">
        <v>32.000000000000028</v>
      </c>
      <c r="B33" s="3">
        <v>127</v>
      </c>
      <c r="C33" s="3">
        <v>22.32</v>
      </c>
      <c r="D33" s="36" t="s">
        <v>151</v>
      </c>
      <c r="H33" s="3" t="s">
        <v>159</v>
      </c>
      <c r="I33" s="32">
        <v>44575</v>
      </c>
      <c r="J33" s="3" t="s">
        <v>142</v>
      </c>
      <c r="K33" s="3" t="s">
        <v>145</v>
      </c>
      <c r="O33" s="3">
        <v>181.47</v>
      </c>
      <c r="P33" s="3">
        <v>197.63</v>
      </c>
      <c r="Q33" s="3">
        <v>44.51</v>
      </c>
      <c r="R33" s="3">
        <v>27.03</v>
      </c>
      <c r="S33" s="3">
        <v>121.29</v>
      </c>
      <c r="T33" s="3">
        <v>95.45</v>
      </c>
      <c r="U33" s="3">
        <v>69.349999999999994</v>
      </c>
      <c r="V33" s="3">
        <v>54.72</v>
      </c>
      <c r="W33" s="3">
        <v>75.45</v>
      </c>
      <c r="X33" s="3">
        <v>91.89</v>
      </c>
      <c r="Y33" s="3">
        <v>43.47</v>
      </c>
      <c r="Z33" s="3">
        <v>100.85</v>
      </c>
      <c r="AA33" s="3">
        <v>77.64</v>
      </c>
      <c r="AB33" s="3">
        <v>82.52</v>
      </c>
      <c r="AC33" s="3">
        <v>24.33</v>
      </c>
      <c r="AD33" s="3">
        <v>42.55</v>
      </c>
      <c r="AE33" s="3">
        <v>30.75</v>
      </c>
      <c r="AF33" s="3">
        <v>43.74</v>
      </c>
      <c r="AG33" s="3">
        <v>36.659999999999997</v>
      </c>
      <c r="AH33" s="3">
        <v>47.91</v>
      </c>
      <c r="AT33" s="3" t="s">
        <v>144</v>
      </c>
      <c r="AU33" s="3" t="s">
        <v>144</v>
      </c>
    </row>
    <row r="34" spans="1:47" x14ac:dyDescent="0.2">
      <c r="A34" s="29">
        <v>32.999999999999829</v>
      </c>
      <c r="B34" s="3">
        <v>22</v>
      </c>
      <c r="C34" s="3">
        <v>22.33</v>
      </c>
      <c r="D34" s="31" t="s">
        <v>140</v>
      </c>
      <c r="E34" s="3" t="s">
        <v>141</v>
      </c>
      <c r="F34" s="3" t="s">
        <v>61</v>
      </c>
      <c r="H34" s="3" t="s">
        <v>61</v>
      </c>
      <c r="I34" s="32">
        <v>44590</v>
      </c>
      <c r="J34" s="3" t="s">
        <v>142</v>
      </c>
      <c r="K34" s="3" t="s">
        <v>145</v>
      </c>
      <c r="L34" s="3">
        <v>189.7</v>
      </c>
      <c r="N34" s="3">
        <v>189.7</v>
      </c>
      <c r="O34" s="3">
        <v>178.72</v>
      </c>
      <c r="P34" s="3">
        <v>186.6</v>
      </c>
      <c r="Q34" s="3">
        <v>44.7</v>
      </c>
      <c r="R34" s="3">
        <v>25.29</v>
      </c>
      <c r="S34" s="3">
        <v>119.31</v>
      </c>
      <c r="T34" s="3">
        <v>94.95</v>
      </c>
      <c r="U34" s="3">
        <v>56.44</v>
      </c>
      <c r="V34" s="3">
        <v>42.06</v>
      </c>
      <c r="W34" s="3">
        <v>70.03</v>
      </c>
      <c r="X34" s="3">
        <v>84.72</v>
      </c>
      <c r="Y34" s="3">
        <v>35.85</v>
      </c>
      <c r="Z34" s="3">
        <v>92.33</v>
      </c>
      <c r="AA34" s="3">
        <v>73.31</v>
      </c>
      <c r="AB34" s="3">
        <v>64.260000000000005</v>
      </c>
      <c r="AC34" s="3">
        <v>15.67</v>
      </c>
      <c r="AD34" s="3">
        <v>44.89</v>
      </c>
      <c r="AE34" s="3">
        <v>42.24</v>
      </c>
      <c r="AF34" s="3">
        <v>37.65</v>
      </c>
      <c r="AG34" s="3">
        <v>38.42</v>
      </c>
      <c r="AH34" s="3">
        <v>38.51</v>
      </c>
      <c r="AI34" s="3">
        <v>1.39</v>
      </c>
      <c r="AL34" s="3">
        <v>10.4</v>
      </c>
      <c r="AO34" s="3">
        <v>12.3</v>
      </c>
      <c r="AP34" s="3">
        <v>67.2</v>
      </c>
      <c r="AQ34" s="3">
        <v>53.3</v>
      </c>
      <c r="AR34" s="3">
        <v>42.9</v>
      </c>
      <c r="AS34" s="3">
        <v>19.100000000000001</v>
      </c>
      <c r="AT34" s="3" t="s">
        <v>144</v>
      </c>
      <c r="AU34" s="3" t="s">
        <v>144</v>
      </c>
    </row>
    <row r="35" spans="1:47" x14ac:dyDescent="0.2">
      <c r="A35" s="29">
        <v>33.999999999999986</v>
      </c>
      <c r="B35" s="3">
        <v>23</v>
      </c>
      <c r="C35" s="3">
        <v>22.34</v>
      </c>
      <c r="D35" s="31" t="s">
        <v>140</v>
      </c>
      <c r="E35" s="3" t="s">
        <v>141</v>
      </c>
      <c r="F35" s="3" t="s">
        <v>61</v>
      </c>
      <c r="H35" s="3" t="s">
        <v>61</v>
      </c>
      <c r="I35" s="32">
        <v>44590</v>
      </c>
      <c r="J35" s="3" t="s">
        <v>142</v>
      </c>
      <c r="K35" s="3" t="s">
        <v>145</v>
      </c>
      <c r="L35" s="3">
        <v>193.5</v>
      </c>
      <c r="N35" s="3">
        <v>195.5</v>
      </c>
      <c r="O35" s="3">
        <v>186.75</v>
      </c>
      <c r="P35" s="3">
        <v>188.74</v>
      </c>
      <c r="Q35" s="3">
        <v>45.81</v>
      </c>
      <c r="R35" s="3">
        <v>29.3</v>
      </c>
      <c r="S35" s="3">
        <v>118.36</v>
      </c>
      <c r="T35" s="3">
        <v>94.68</v>
      </c>
      <c r="U35" s="3">
        <v>56.53</v>
      </c>
      <c r="V35" s="3">
        <v>40.18</v>
      </c>
      <c r="W35" s="3">
        <v>70.38</v>
      </c>
      <c r="X35" s="3">
        <v>84.76</v>
      </c>
      <c r="Y35" s="3">
        <v>36.229999999999997</v>
      </c>
      <c r="Z35" s="3">
        <v>93.36</v>
      </c>
      <c r="AA35" s="3">
        <v>75.38</v>
      </c>
      <c r="AB35" s="3">
        <v>66.62</v>
      </c>
      <c r="AC35" s="3">
        <v>14.52</v>
      </c>
      <c r="AD35" s="3">
        <v>45.84</v>
      </c>
      <c r="AE35" s="3">
        <v>38.869999999999997</v>
      </c>
      <c r="AF35" s="3">
        <v>41.07</v>
      </c>
      <c r="AG35" s="3">
        <v>35.89</v>
      </c>
      <c r="AH35" s="3">
        <v>36.4</v>
      </c>
      <c r="AI35" s="3">
        <v>1.4670000000000001</v>
      </c>
      <c r="AL35" s="3">
        <v>20</v>
      </c>
      <c r="AT35" s="3" t="s">
        <v>144</v>
      </c>
      <c r="AU35" s="3" t="s">
        <v>144</v>
      </c>
    </row>
    <row r="36" spans="1:47" x14ac:dyDescent="0.2">
      <c r="A36" s="29">
        <v>35.000000000000142</v>
      </c>
      <c r="B36" s="3">
        <v>24</v>
      </c>
      <c r="C36" s="3">
        <v>22.35</v>
      </c>
      <c r="D36" s="31" t="s">
        <v>140</v>
      </c>
      <c r="E36" s="3" t="s">
        <v>141</v>
      </c>
      <c r="F36" s="3" t="s">
        <v>61</v>
      </c>
      <c r="H36" s="3" t="s">
        <v>61</v>
      </c>
      <c r="I36" s="32">
        <v>44590</v>
      </c>
      <c r="J36" s="3" t="s">
        <v>142</v>
      </c>
      <c r="K36" s="3" t="s">
        <v>145</v>
      </c>
      <c r="L36" s="3">
        <v>191.9</v>
      </c>
      <c r="N36" s="3">
        <v>197.3</v>
      </c>
      <c r="O36" s="3">
        <v>168.59</v>
      </c>
      <c r="P36" s="3">
        <v>180.28</v>
      </c>
      <c r="Q36" s="3">
        <v>43.07</v>
      </c>
      <c r="R36" s="3">
        <v>23.75</v>
      </c>
      <c r="S36" s="3">
        <v>115.37</v>
      </c>
      <c r="T36" s="3">
        <v>94.82</v>
      </c>
      <c r="U36" s="3">
        <v>58.27</v>
      </c>
      <c r="V36" s="3">
        <v>41.07</v>
      </c>
      <c r="W36" s="3">
        <v>66.599999999999994</v>
      </c>
      <c r="X36" s="3">
        <v>85.06</v>
      </c>
      <c r="Y36" s="3">
        <v>31.74</v>
      </c>
      <c r="Z36" s="3">
        <v>92.9</v>
      </c>
      <c r="AA36" s="3">
        <v>73.61</v>
      </c>
      <c r="AB36" s="3">
        <v>64.22</v>
      </c>
      <c r="AC36" s="3">
        <v>15.78</v>
      </c>
      <c r="AD36" s="3">
        <v>45.42</v>
      </c>
      <c r="AE36" s="3">
        <v>37.36</v>
      </c>
      <c r="AF36" s="3">
        <v>36.840000000000003</v>
      </c>
      <c r="AG36" s="3">
        <v>36.770000000000003</v>
      </c>
      <c r="AH36" s="3">
        <v>34.119999999999997</v>
      </c>
      <c r="AI36" s="3">
        <v>1.323</v>
      </c>
      <c r="AL36" s="3">
        <v>24</v>
      </c>
      <c r="AO36" s="3">
        <v>9.6999999999999993</v>
      </c>
      <c r="AP36" s="3">
        <v>60.7</v>
      </c>
      <c r="AQ36" s="3">
        <v>56</v>
      </c>
      <c r="AR36" s="3">
        <v>42</v>
      </c>
      <c r="AS36" s="3">
        <v>18.100000000000001</v>
      </c>
      <c r="AT36" s="3" t="s">
        <v>144</v>
      </c>
      <c r="AU36" s="3" t="s">
        <v>144</v>
      </c>
    </row>
    <row r="37" spans="1:47" x14ac:dyDescent="0.2">
      <c r="A37" s="29">
        <v>35.999999999999943</v>
      </c>
      <c r="B37" s="3">
        <v>25</v>
      </c>
      <c r="C37" s="3">
        <v>22.36</v>
      </c>
      <c r="D37" s="31" t="s">
        <v>140</v>
      </c>
      <c r="E37" s="3" t="s">
        <v>141</v>
      </c>
      <c r="F37" s="3" t="s">
        <v>61</v>
      </c>
      <c r="H37" s="3" t="s">
        <v>61</v>
      </c>
      <c r="I37" s="32">
        <v>44590</v>
      </c>
      <c r="J37" s="3" t="s">
        <v>142</v>
      </c>
      <c r="K37" s="3" t="s">
        <v>145</v>
      </c>
      <c r="L37" s="3">
        <v>183.5</v>
      </c>
      <c r="N37" s="3">
        <v>192.7</v>
      </c>
      <c r="O37" s="3">
        <v>162.29</v>
      </c>
      <c r="P37" s="3">
        <v>177.8</v>
      </c>
      <c r="Q37" s="3">
        <v>40.96</v>
      </c>
      <c r="R37" s="3">
        <v>21.38</v>
      </c>
      <c r="S37" s="3">
        <v>112.41</v>
      </c>
      <c r="T37" s="3">
        <v>92.26</v>
      </c>
      <c r="U37" s="3">
        <v>59.06</v>
      </c>
      <c r="V37" s="3">
        <v>41.25</v>
      </c>
      <c r="W37" s="3">
        <v>67.16</v>
      </c>
      <c r="X37" s="3">
        <v>83.73</v>
      </c>
      <c r="Y37" s="3">
        <v>35.83</v>
      </c>
      <c r="Z37" s="3">
        <v>93.39</v>
      </c>
      <c r="AA37" s="3">
        <v>74.56</v>
      </c>
      <c r="AB37" s="3">
        <v>64.069999999999993</v>
      </c>
      <c r="AC37" s="3">
        <v>17</v>
      </c>
      <c r="AD37" s="3">
        <v>45.19</v>
      </c>
      <c r="AE37" s="3">
        <v>34.26</v>
      </c>
      <c r="AF37" s="3">
        <v>36.770000000000003</v>
      </c>
      <c r="AG37" s="3">
        <v>37.64</v>
      </c>
      <c r="AH37" s="3">
        <v>41.76</v>
      </c>
      <c r="AI37" s="3">
        <v>1.512</v>
      </c>
      <c r="AL37" s="3">
        <v>11</v>
      </c>
      <c r="AO37" s="3">
        <v>9.3000000000000007</v>
      </c>
      <c r="AP37" s="3">
        <v>61.6</v>
      </c>
      <c r="AQ37" s="3">
        <v>67.400000000000006</v>
      </c>
      <c r="AR37" s="3">
        <v>40</v>
      </c>
      <c r="AS37" s="3">
        <v>16.2</v>
      </c>
      <c r="AT37" s="3" t="s">
        <v>144</v>
      </c>
      <c r="AU37" s="3" t="s">
        <v>144</v>
      </c>
    </row>
    <row r="38" spans="1:47" x14ac:dyDescent="0.2">
      <c r="A38" s="29">
        <v>37.000000000000099</v>
      </c>
      <c r="B38" s="3">
        <v>27</v>
      </c>
      <c r="C38" s="3">
        <v>22.37</v>
      </c>
      <c r="D38" s="31" t="s">
        <v>140</v>
      </c>
      <c r="E38" s="3" t="s">
        <v>141</v>
      </c>
      <c r="F38" s="3" t="s">
        <v>61</v>
      </c>
      <c r="H38" s="3" t="s">
        <v>157</v>
      </c>
      <c r="I38" s="32">
        <v>44590</v>
      </c>
      <c r="J38" s="3" t="s">
        <v>142</v>
      </c>
      <c r="K38" s="3" t="s">
        <v>145</v>
      </c>
      <c r="L38" s="3">
        <v>203.8</v>
      </c>
      <c r="N38" s="3">
        <v>203.8</v>
      </c>
      <c r="O38" s="3">
        <v>170.35</v>
      </c>
      <c r="P38" s="3">
        <v>199.9</v>
      </c>
      <c r="Q38" s="3">
        <v>45.08</v>
      </c>
      <c r="R38" s="3">
        <v>32.51</v>
      </c>
      <c r="S38" s="3">
        <v>114.56</v>
      </c>
      <c r="T38" s="3">
        <v>93.62</v>
      </c>
      <c r="U38" s="3">
        <v>68.349999999999994</v>
      </c>
      <c r="V38" s="3">
        <v>54.29</v>
      </c>
      <c r="W38" s="3">
        <v>76.92</v>
      </c>
      <c r="X38" s="3">
        <v>88.68</v>
      </c>
      <c r="Y38" s="3">
        <v>37.72</v>
      </c>
      <c r="Z38" s="3">
        <v>99.11</v>
      </c>
      <c r="AA38" s="3">
        <v>74.11</v>
      </c>
      <c r="AB38" s="3">
        <v>75.78</v>
      </c>
      <c r="AC38" s="3">
        <v>23.29</v>
      </c>
      <c r="AD38" s="3">
        <v>45.16</v>
      </c>
      <c r="AE38" s="3">
        <v>28.82</v>
      </c>
      <c r="AF38" s="3">
        <v>36.32</v>
      </c>
      <c r="AG38" s="3">
        <v>33.119999999999997</v>
      </c>
      <c r="AH38" s="3">
        <v>38.74</v>
      </c>
      <c r="AI38" s="3">
        <v>1.6659999999999999</v>
      </c>
      <c r="AL38" s="3">
        <v>11.6</v>
      </c>
      <c r="AO38" s="3">
        <v>12.6</v>
      </c>
      <c r="AP38" s="3">
        <v>78.7</v>
      </c>
      <c r="AQ38" s="3">
        <v>48.4</v>
      </c>
      <c r="AR38" s="3">
        <v>47.1</v>
      </c>
      <c r="AS38" s="3">
        <v>20.7</v>
      </c>
      <c r="AT38" s="3" t="s">
        <v>144</v>
      </c>
      <c r="AU38" s="3" t="s">
        <v>144</v>
      </c>
    </row>
    <row r="39" spans="1:47" x14ac:dyDescent="0.2">
      <c r="A39" s="29">
        <v>37.999999999999901</v>
      </c>
      <c r="B39" s="3">
        <v>128</v>
      </c>
      <c r="C39" s="3">
        <v>22.38</v>
      </c>
      <c r="D39" s="36" t="s">
        <v>151</v>
      </c>
      <c r="F39" s="37" t="s">
        <v>153</v>
      </c>
      <c r="I39" s="32">
        <v>44575</v>
      </c>
      <c r="J39" s="3" t="s">
        <v>142</v>
      </c>
      <c r="K39" s="3" t="s">
        <v>145</v>
      </c>
      <c r="N39" s="3">
        <v>220.3</v>
      </c>
      <c r="O39" s="3">
        <v>181</v>
      </c>
      <c r="P39" s="3">
        <v>187.97</v>
      </c>
      <c r="Q39" s="3">
        <v>44.53</v>
      </c>
      <c r="R39" s="3">
        <v>20.27</v>
      </c>
      <c r="S39" s="3">
        <v>117.58</v>
      </c>
      <c r="T39" s="3">
        <v>91.29</v>
      </c>
      <c r="U39" s="3">
        <v>70.34</v>
      </c>
      <c r="V39" s="3">
        <v>54.98</v>
      </c>
      <c r="W39" s="3">
        <v>76.23</v>
      </c>
      <c r="X39" s="3">
        <v>94.6</v>
      </c>
      <c r="Y39" s="3">
        <v>42.4</v>
      </c>
      <c r="Z39" s="3">
        <v>104.51</v>
      </c>
      <c r="AA39" s="3">
        <v>82.02</v>
      </c>
      <c r="AB39" s="3">
        <v>81.319999999999993</v>
      </c>
      <c r="AC39" s="3">
        <v>23.78</v>
      </c>
      <c r="AD39" s="3">
        <v>43.85</v>
      </c>
      <c r="AE39" s="3">
        <v>28.51</v>
      </c>
      <c r="AF39" s="3">
        <v>50.01</v>
      </c>
      <c r="AG39" s="3">
        <v>33.79</v>
      </c>
      <c r="AH39" s="3">
        <v>49.82</v>
      </c>
      <c r="AI39" s="3">
        <v>2.0840000000000001</v>
      </c>
      <c r="AL39" s="3">
        <v>8</v>
      </c>
      <c r="AO39" s="3">
        <v>15.6</v>
      </c>
      <c r="AP39" s="3">
        <v>102</v>
      </c>
      <c r="AQ39" s="3">
        <v>38.200000000000003</v>
      </c>
      <c r="AR39" s="3">
        <v>54.6</v>
      </c>
      <c r="AS39" s="3">
        <v>22.4</v>
      </c>
      <c r="AT39" s="3" t="s">
        <v>144</v>
      </c>
      <c r="AU39" s="3" t="s">
        <v>144</v>
      </c>
    </row>
    <row r="40" spans="1:47" x14ac:dyDescent="0.2">
      <c r="A40" s="29">
        <v>39.000000000000057</v>
      </c>
      <c r="B40" s="3">
        <v>127</v>
      </c>
      <c r="C40" s="3">
        <v>22.39</v>
      </c>
      <c r="D40" s="36" t="s">
        <v>151</v>
      </c>
      <c r="F40" s="37" t="s">
        <v>153</v>
      </c>
      <c r="I40" s="32">
        <v>44575</v>
      </c>
      <c r="J40" s="3" t="s">
        <v>142</v>
      </c>
      <c r="K40" s="3" t="s">
        <v>145</v>
      </c>
      <c r="N40" s="3">
        <v>222.7</v>
      </c>
      <c r="O40" s="3">
        <v>181.47</v>
      </c>
      <c r="P40" s="3">
        <v>197.63</v>
      </c>
      <c r="Q40" s="3">
        <v>44.51</v>
      </c>
      <c r="R40" s="3">
        <v>27.03</v>
      </c>
      <c r="S40" s="3">
        <v>121.29</v>
      </c>
      <c r="T40" s="3">
        <v>95.45</v>
      </c>
      <c r="U40" s="3">
        <v>69.349999999999994</v>
      </c>
      <c r="V40" s="3">
        <v>54.72</v>
      </c>
      <c r="W40" s="3">
        <v>75.45</v>
      </c>
      <c r="X40" s="3">
        <v>91.89</v>
      </c>
      <c r="Y40" s="3">
        <v>43.47</v>
      </c>
      <c r="Z40" s="3">
        <v>100.85</v>
      </c>
      <c r="AA40" s="3">
        <v>77.64</v>
      </c>
      <c r="AB40" s="3">
        <v>82.52</v>
      </c>
      <c r="AC40" s="3">
        <v>24.33</v>
      </c>
      <c r="AD40" s="3">
        <v>42.55</v>
      </c>
      <c r="AE40" s="3">
        <v>30.75</v>
      </c>
      <c r="AF40" s="3">
        <v>43.74</v>
      </c>
      <c r="AG40" s="3">
        <v>36.659999999999997</v>
      </c>
      <c r="AH40" s="3">
        <v>47.91</v>
      </c>
      <c r="AI40" s="3">
        <v>2.0640000000000001</v>
      </c>
      <c r="AL40" s="3">
        <v>5</v>
      </c>
      <c r="AO40" s="3">
        <v>15.7</v>
      </c>
      <c r="AP40" s="3">
        <v>97.8</v>
      </c>
      <c r="AQ40" s="3">
        <v>46.5</v>
      </c>
      <c r="AR40" s="3">
        <v>55.1</v>
      </c>
      <c r="AS40" s="3">
        <v>22.9</v>
      </c>
      <c r="AT40" s="3" t="s">
        <v>144</v>
      </c>
      <c r="AU40" s="3" t="s">
        <v>144</v>
      </c>
    </row>
    <row r="41" spans="1:47" x14ac:dyDescent="0.2">
      <c r="A41" s="29">
        <v>39.999999999999858</v>
      </c>
      <c r="B41" s="3">
        <v>125</v>
      </c>
      <c r="C41" s="12" t="s">
        <v>160</v>
      </c>
      <c r="D41" s="36" t="s">
        <v>151</v>
      </c>
      <c r="F41" s="37" t="s">
        <v>153</v>
      </c>
      <c r="I41" s="32">
        <v>44575</v>
      </c>
      <c r="J41" s="3" t="s">
        <v>142</v>
      </c>
      <c r="K41" s="3" t="s">
        <v>145</v>
      </c>
      <c r="N41" s="3">
        <v>222.2</v>
      </c>
      <c r="O41" s="3">
        <v>176.95</v>
      </c>
      <c r="P41" s="3">
        <v>189.46</v>
      </c>
      <c r="Q41" s="3">
        <v>46.6</v>
      </c>
      <c r="R41" s="3">
        <v>23.95</v>
      </c>
      <c r="S41" s="3">
        <v>118.45</v>
      </c>
      <c r="T41" s="3">
        <v>95.91</v>
      </c>
      <c r="U41" s="3">
        <v>71.59</v>
      </c>
      <c r="V41" s="3">
        <v>55.02</v>
      </c>
      <c r="W41" s="3">
        <v>74.64</v>
      </c>
      <c r="X41" s="3">
        <v>93.44</v>
      </c>
      <c r="Y41" s="3">
        <v>43.5</v>
      </c>
      <c r="Z41" s="3">
        <v>103.7</v>
      </c>
      <c r="AA41" s="3">
        <v>80.760000000000005</v>
      </c>
      <c r="AB41" s="3">
        <v>83.28</v>
      </c>
      <c r="AC41" s="3">
        <v>24.37</v>
      </c>
      <c r="AD41" s="3">
        <v>44.04</v>
      </c>
      <c r="AE41" s="3">
        <v>26.75</v>
      </c>
      <c r="AF41" s="3">
        <v>46.43</v>
      </c>
      <c r="AG41" s="3">
        <v>37.61</v>
      </c>
      <c r="AH41" s="3">
        <v>48.3</v>
      </c>
      <c r="AI41" s="3">
        <v>1.893</v>
      </c>
      <c r="AL41" s="3">
        <v>7</v>
      </c>
      <c r="AO41" s="3">
        <v>18.600000000000001</v>
      </c>
      <c r="AP41" s="3">
        <v>99</v>
      </c>
      <c r="AQ41" s="3">
        <v>40.299999999999997</v>
      </c>
      <c r="AR41" s="3">
        <v>54</v>
      </c>
      <c r="AS41" s="3">
        <v>22.5</v>
      </c>
      <c r="AT41" s="3" t="s">
        <v>144</v>
      </c>
      <c r="AU41" s="3" t="s">
        <v>144</v>
      </c>
    </row>
    <row r="42" spans="1:47" x14ac:dyDescent="0.2">
      <c r="A42" s="29">
        <v>41.000000000000014</v>
      </c>
      <c r="B42" s="3">
        <v>118</v>
      </c>
      <c r="C42" s="3">
        <v>22.41</v>
      </c>
      <c r="D42" s="36" t="s">
        <v>151</v>
      </c>
      <c r="F42" s="3" t="s">
        <v>153</v>
      </c>
      <c r="G42" s="3" t="s">
        <v>89</v>
      </c>
      <c r="H42" s="3" t="s">
        <v>89</v>
      </c>
      <c r="I42" s="32">
        <v>44573</v>
      </c>
      <c r="J42" s="3" t="s">
        <v>142</v>
      </c>
      <c r="K42" s="3" t="s">
        <v>145</v>
      </c>
      <c r="N42" s="3">
        <v>239.1</v>
      </c>
      <c r="O42" s="3">
        <v>175.61</v>
      </c>
      <c r="P42" s="3">
        <v>180.57</v>
      </c>
      <c r="Q42" s="3">
        <v>39.590000000000003</v>
      </c>
      <c r="R42" s="3">
        <v>15.03</v>
      </c>
      <c r="S42" s="3">
        <v>121.29</v>
      </c>
      <c r="T42" s="3">
        <v>94.22</v>
      </c>
      <c r="U42" s="3">
        <v>61.94</v>
      </c>
      <c r="V42" s="3">
        <v>49.66</v>
      </c>
      <c r="W42" s="3">
        <v>69.150000000000006</v>
      </c>
      <c r="X42" s="3">
        <v>95.99</v>
      </c>
      <c r="Y42" s="3">
        <v>37.61</v>
      </c>
      <c r="Z42" s="3">
        <v>103.79</v>
      </c>
      <c r="AA42" s="3">
        <v>82.41</v>
      </c>
      <c r="AB42" s="3">
        <v>77.75</v>
      </c>
      <c r="AC42" s="3">
        <v>23.4</v>
      </c>
      <c r="AD42" s="3">
        <v>50.78</v>
      </c>
      <c r="AE42" s="3">
        <v>32.68</v>
      </c>
      <c r="AF42" s="3">
        <v>39.42</v>
      </c>
      <c r="AG42" s="3">
        <v>34.64</v>
      </c>
      <c r="AH42" s="3">
        <v>41.26</v>
      </c>
      <c r="AI42" s="3">
        <v>1.879</v>
      </c>
      <c r="AO42" s="3">
        <v>17.5</v>
      </c>
      <c r="AP42" s="3">
        <v>106.1</v>
      </c>
      <c r="AQ42" s="3">
        <v>58.1</v>
      </c>
      <c r="AR42" s="3">
        <v>53.7</v>
      </c>
      <c r="AS42" s="3">
        <v>22.6</v>
      </c>
      <c r="AT42" s="3" t="s">
        <v>144</v>
      </c>
      <c r="AU42" s="3" t="s">
        <v>144</v>
      </c>
    </row>
    <row r="43" spans="1:47" x14ac:dyDescent="0.2">
      <c r="A43" s="29">
        <v>42.000000000000171</v>
      </c>
      <c r="B43" s="3">
        <v>29</v>
      </c>
      <c r="C43" s="3">
        <v>22.42</v>
      </c>
      <c r="D43" s="31" t="s">
        <v>140</v>
      </c>
      <c r="E43" s="3" t="s">
        <v>141</v>
      </c>
      <c r="F43" s="3" t="s">
        <v>61</v>
      </c>
      <c r="H43" s="3" t="s">
        <v>157</v>
      </c>
      <c r="I43" s="32">
        <v>44593</v>
      </c>
      <c r="J43" s="3" t="s">
        <v>142</v>
      </c>
      <c r="K43" s="3" t="s">
        <v>145</v>
      </c>
      <c r="L43" s="3">
        <v>208.6</v>
      </c>
      <c r="N43" s="3">
        <v>212.7</v>
      </c>
      <c r="O43" s="3">
        <v>181.27</v>
      </c>
      <c r="P43" s="3">
        <v>195.9</v>
      </c>
      <c r="Q43" s="3">
        <v>44.84</v>
      </c>
      <c r="R43" s="3">
        <v>32.01</v>
      </c>
      <c r="S43" s="3">
        <v>115.4</v>
      </c>
      <c r="T43" s="3">
        <v>94.67</v>
      </c>
      <c r="U43" s="3">
        <v>66.94</v>
      </c>
      <c r="V43" s="3">
        <v>52.37</v>
      </c>
      <c r="W43" s="3">
        <v>77.97</v>
      </c>
      <c r="X43" s="3">
        <v>91.08</v>
      </c>
      <c r="Y43" s="3">
        <v>40.92</v>
      </c>
      <c r="Z43" s="3">
        <v>102.27</v>
      </c>
      <c r="AA43" s="3">
        <v>78.12</v>
      </c>
      <c r="AB43" s="3">
        <v>77.11</v>
      </c>
      <c r="AC43" s="3">
        <v>21.14</v>
      </c>
      <c r="AD43" s="3">
        <v>45.19</v>
      </c>
      <c r="AE43" s="3">
        <v>32.54</v>
      </c>
      <c r="AF43" s="3">
        <v>38.06</v>
      </c>
      <c r="AG43" s="3">
        <v>33.94</v>
      </c>
      <c r="AH43" s="3">
        <v>42.65</v>
      </c>
      <c r="AI43" s="3">
        <v>1.7070000000000001</v>
      </c>
      <c r="AL43" s="3">
        <v>12</v>
      </c>
      <c r="AT43" s="3" t="s">
        <v>144</v>
      </c>
      <c r="AU43" s="3" t="s">
        <v>144</v>
      </c>
    </row>
    <row r="44" spans="1:47" x14ac:dyDescent="0.2">
      <c r="A44" s="29">
        <v>42.999999999999972</v>
      </c>
      <c r="B44" s="3">
        <v>30</v>
      </c>
      <c r="C44" s="3">
        <v>22.43</v>
      </c>
      <c r="D44" s="31" t="s">
        <v>140</v>
      </c>
      <c r="E44" s="3" t="s">
        <v>141</v>
      </c>
      <c r="F44" s="3" t="s">
        <v>61</v>
      </c>
      <c r="H44" s="3" t="s">
        <v>157</v>
      </c>
      <c r="I44" s="32">
        <v>44593</v>
      </c>
      <c r="J44" s="3" t="s">
        <v>142</v>
      </c>
      <c r="K44" s="3" t="s">
        <v>145</v>
      </c>
      <c r="L44" s="3">
        <v>207.6</v>
      </c>
      <c r="N44" s="3">
        <v>215.1</v>
      </c>
      <c r="O44" s="3">
        <v>168.13</v>
      </c>
      <c r="P44" s="3">
        <v>193.33</v>
      </c>
      <c r="Q44" s="3">
        <v>43.37</v>
      </c>
      <c r="R44" s="3">
        <v>31.53</v>
      </c>
      <c r="S44" s="3">
        <v>114.77</v>
      </c>
      <c r="T44" s="3">
        <v>94.25</v>
      </c>
      <c r="U44" s="3">
        <v>64.67</v>
      </c>
      <c r="V44" s="3">
        <v>53.83</v>
      </c>
      <c r="W44" s="3">
        <v>76.5</v>
      </c>
      <c r="X44" s="3">
        <v>88.99</v>
      </c>
      <c r="Y44" s="3">
        <v>38.96</v>
      </c>
      <c r="Z44" s="3">
        <v>102.26</v>
      </c>
      <c r="AA44" s="3">
        <v>76.209999999999994</v>
      </c>
      <c r="AB44" s="3">
        <v>79.52</v>
      </c>
      <c r="AC44" s="3">
        <v>23.83</v>
      </c>
      <c r="AD44" s="3">
        <v>45.46</v>
      </c>
      <c r="AE44" s="3">
        <v>32.950000000000003</v>
      </c>
      <c r="AF44" s="3">
        <v>40.25</v>
      </c>
      <c r="AG44" s="3">
        <v>32.58</v>
      </c>
      <c r="AH44" s="3">
        <v>41.37</v>
      </c>
      <c r="AI44" s="3">
        <v>1.764</v>
      </c>
      <c r="AL44" s="3">
        <v>11</v>
      </c>
      <c r="AO44" s="3">
        <v>10.1</v>
      </c>
      <c r="AP44" s="3">
        <v>73.2</v>
      </c>
      <c r="AQ44" s="3">
        <v>68.400000000000006</v>
      </c>
      <c r="AR44" s="3">
        <v>48</v>
      </c>
      <c r="AS44" s="3">
        <v>21.1</v>
      </c>
      <c r="AT44" s="3" t="s">
        <v>144</v>
      </c>
      <c r="AU44" s="3" t="s">
        <v>144</v>
      </c>
    </row>
    <row r="45" spans="1:47" x14ac:dyDescent="0.2">
      <c r="A45" s="29">
        <v>44.000000000000128</v>
      </c>
      <c r="B45" s="3">
        <v>31</v>
      </c>
      <c r="C45" s="3">
        <v>22.44</v>
      </c>
      <c r="D45" s="31" t="s">
        <v>140</v>
      </c>
      <c r="E45" s="3" t="s">
        <v>141</v>
      </c>
      <c r="F45" s="3" t="s">
        <v>61</v>
      </c>
      <c r="H45" s="3" t="s">
        <v>157</v>
      </c>
      <c r="I45" s="32">
        <v>44593</v>
      </c>
      <c r="J45" s="3" t="s">
        <v>142</v>
      </c>
      <c r="K45" s="3" t="s">
        <v>145</v>
      </c>
      <c r="L45" s="3">
        <v>197.6</v>
      </c>
      <c r="N45" s="3">
        <v>208.7</v>
      </c>
      <c r="O45" s="3">
        <v>172.52</v>
      </c>
      <c r="P45" s="3">
        <v>198.12</v>
      </c>
      <c r="Q45" s="3">
        <v>45.19</v>
      </c>
      <c r="R45" s="3">
        <v>30.97</v>
      </c>
      <c r="S45" s="3">
        <v>116.43</v>
      </c>
      <c r="T45" s="3">
        <v>92.22</v>
      </c>
      <c r="U45" s="3">
        <v>69.73</v>
      </c>
      <c r="V45" s="3">
        <v>53.06</v>
      </c>
      <c r="W45" s="3">
        <v>77.319999999999993</v>
      </c>
      <c r="X45" s="3">
        <v>89.74</v>
      </c>
      <c r="Y45" s="3">
        <v>36.74</v>
      </c>
      <c r="Z45" s="3">
        <v>101.67</v>
      </c>
      <c r="AA45" s="3">
        <v>75.36</v>
      </c>
      <c r="AB45" s="3">
        <v>77.400000000000006</v>
      </c>
      <c r="AC45" s="3">
        <v>23.84</v>
      </c>
      <c r="AD45" s="3">
        <v>43.57</v>
      </c>
      <c r="AE45" s="3">
        <v>33.19</v>
      </c>
      <c r="AF45" s="3">
        <v>38.619999999999997</v>
      </c>
      <c r="AG45" s="3">
        <v>38.14</v>
      </c>
      <c r="AH45" s="3">
        <v>48.99</v>
      </c>
      <c r="AI45" s="3">
        <v>1.607</v>
      </c>
      <c r="AL45" s="3">
        <v>11</v>
      </c>
      <c r="AO45" s="3">
        <v>11</v>
      </c>
      <c r="AP45" s="3">
        <v>62.9</v>
      </c>
      <c r="AQ45" s="3">
        <v>73.099999999999994</v>
      </c>
      <c r="AR45" s="3">
        <v>46.2</v>
      </c>
      <c r="AS45" s="3">
        <v>20.2</v>
      </c>
      <c r="AT45" s="3" t="s">
        <v>144</v>
      </c>
      <c r="AU45" s="3" t="s">
        <v>144</v>
      </c>
    </row>
    <row r="46" spans="1:47" x14ac:dyDescent="0.2">
      <c r="A46" s="29">
        <v>44.999999999999929</v>
      </c>
      <c r="B46" s="3">
        <v>36</v>
      </c>
      <c r="C46" s="3">
        <v>22.45</v>
      </c>
      <c r="D46" s="31" t="s">
        <v>140</v>
      </c>
      <c r="E46" s="3" t="s">
        <v>141</v>
      </c>
      <c r="F46" s="3" t="s">
        <v>60</v>
      </c>
      <c r="H46" s="3" t="s">
        <v>60</v>
      </c>
      <c r="I46" s="32">
        <v>44598</v>
      </c>
      <c r="J46" s="3" t="s">
        <v>142</v>
      </c>
      <c r="K46" s="3" t="s">
        <v>145</v>
      </c>
      <c r="L46" s="3">
        <v>177.3</v>
      </c>
      <c r="AT46" s="3" t="s">
        <v>144</v>
      </c>
      <c r="AU46" s="3" t="s">
        <v>144</v>
      </c>
    </row>
    <row r="47" spans="1:47" x14ac:dyDescent="0.2">
      <c r="A47" s="29">
        <v>46.000000000000085</v>
      </c>
      <c r="B47" s="3">
        <v>39</v>
      </c>
      <c r="C47" s="3">
        <v>22.46</v>
      </c>
      <c r="D47" s="31" t="s">
        <v>140</v>
      </c>
      <c r="E47" s="3" t="s">
        <v>141</v>
      </c>
      <c r="F47" s="3" t="s">
        <v>60</v>
      </c>
      <c r="H47" s="3" t="s">
        <v>60</v>
      </c>
      <c r="I47" s="32">
        <v>44600</v>
      </c>
      <c r="J47" s="3" t="s">
        <v>142</v>
      </c>
      <c r="K47" s="3" t="s">
        <v>145</v>
      </c>
      <c r="L47" s="3">
        <v>127.2</v>
      </c>
      <c r="AT47" s="3" t="s">
        <v>144</v>
      </c>
      <c r="AU47" s="3" t="s">
        <v>144</v>
      </c>
    </row>
    <row r="48" spans="1:47" x14ac:dyDescent="0.2">
      <c r="A48" s="29">
        <v>46.999999999999886</v>
      </c>
      <c r="B48" s="3">
        <v>138</v>
      </c>
      <c r="C48" s="3">
        <v>22.47</v>
      </c>
      <c r="D48" s="36" t="s">
        <v>151</v>
      </c>
      <c r="E48" s="3" t="s">
        <v>152</v>
      </c>
      <c r="F48" s="37" t="s">
        <v>153</v>
      </c>
      <c r="I48" s="32">
        <v>44591</v>
      </c>
      <c r="J48" s="3" t="s">
        <v>142</v>
      </c>
      <c r="K48" s="3" t="s">
        <v>145</v>
      </c>
      <c r="N48" s="3">
        <v>232.7</v>
      </c>
      <c r="O48" s="3">
        <v>180.2</v>
      </c>
      <c r="P48" s="3">
        <v>195.64</v>
      </c>
      <c r="Q48" s="3">
        <v>44.88</v>
      </c>
      <c r="R48" s="3">
        <v>27.07</v>
      </c>
      <c r="S48" s="3">
        <v>119.63</v>
      </c>
      <c r="T48" s="3">
        <v>92.94</v>
      </c>
      <c r="U48" s="3">
        <v>70.58</v>
      </c>
      <c r="V48" s="3">
        <v>54.8</v>
      </c>
      <c r="W48" s="3">
        <v>72.77</v>
      </c>
      <c r="X48" s="3">
        <v>90.98</v>
      </c>
      <c r="Y48" s="3">
        <v>40.47</v>
      </c>
      <c r="Z48" s="3">
        <v>102.35</v>
      </c>
      <c r="AA48" s="3">
        <v>78.69</v>
      </c>
      <c r="AB48" s="3">
        <v>82.52</v>
      </c>
      <c r="AC48" s="3">
        <v>27.09</v>
      </c>
      <c r="AD48" s="3">
        <v>44.43</v>
      </c>
      <c r="AE48" s="3">
        <v>31.09</v>
      </c>
      <c r="AF48" s="3">
        <v>44.26</v>
      </c>
      <c r="AG48" s="3">
        <v>38.24</v>
      </c>
      <c r="AH48" s="3">
        <v>44</v>
      </c>
      <c r="AI48" s="3">
        <v>1.9219999999999999</v>
      </c>
      <c r="AL48" s="3">
        <v>5</v>
      </c>
      <c r="AO48" s="3">
        <v>14.6</v>
      </c>
      <c r="AP48" s="3">
        <v>93.5</v>
      </c>
      <c r="AQ48" s="3">
        <v>60</v>
      </c>
      <c r="AR48" s="3">
        <v>56.7</v>
      </c>
      <c r="AS48" s="3">
        <v>23.9</v>
      </c>
      <c r="AT48" s="3" t="s">
        <v>144</v>
      </c>
      <c r="AU48" s="3" t="s">
        <v>144</v>
      </c>
    </row>
    <row r="49" spans="1:47" x14ac:dyDescent="0.2">
      <c r="A49" s="29">
        <v>48.000000000000043</v>
      </c>
      <c r="B49" s="3">
        <v>142</v>
      </c>
      <c r="C49" s="3">
        <v>22.48</v>
      </c>
      <c r="D49" s="36" t="s">
        <v>151</v>
      </c>
      <c r="E49" s="3" t="s">
        <v>152</v>
      </c>
      <c r="F49" s="37" t="s">
        <v>153</v>
      </c>
      <c r="I49" s="32">
        <v>44592</v>
      </c>
      <c r="J49" s="3" t="s">
        <v>142</v>
      </c>
      <c r="K49" s="3" t="s">
        <v>145</v>
      </c>
      <c r="N49" s="3">
        <v>224.3</v>
      </c>
      <c r="O49" s="3">
        <v>177.53</v>
      </c>
      <c r="P49" s="3">
        <v>190.78</v>
      </c>
      <c r="Q49" s="3">
        <v>43.29</v>
      </c>
      <c r="R49" s="3">
        <v>24.79</v>
      </c>
      <c r="S49" s="3">
        <v>117.38</v>
      </c>
      <c r="T49" s="3">
        <v>91.31</v>
      </c>
      <c r="U49" s="3">
        <v>70.959999999999994</v>
      </c>
      <c r="V49" s="3">
        <v>55.16</v>
      </c>
      <c r="W49" s="3">
        <v>73.63</v>
      </c>
      <c r="X49" s="3">
        <v>93.55</v>
      </c>
      <c r="Y49" s="3">
        <v>41.73</v>
      </c>
      <c r="Z49" s="3">
        <v>103.57</v>
      </c>
      <c r="AA49" s="3">
        <v>81.53</v>
      </c>
      <c r="AB49" s="3">
        <v>81.81</v>
      </c>
      <c r="AC49" s="3">
        <v>25.4</v>
      </c>
      <c r="AD49" s="3">
        <v>44.75</v>
      </c>
      <c r="AE49" s="3">
        <v>29.72</v>
      </c>
      <c r="AF49" s="3">
        <v>45.05</v>
      </c>
      <c r="AG49" s="3">
        <v>34.96</v>
      </c>
      <c r="AH49" s="3">
        <v>46.97</v>
      </c>
      <c r="AI49" s="3">
        <v>2.08</v>
      </c>
      <c r="AL49" s="3">
        <v>8</v>
      </c>
      <c r="AO49" s="3">
        <v>14.8</v>
      </c>
      <c r="AP49" s="3">
        <v>98.2</v>
      </c>
      <c r="AQ49" s="3">
        <v>48.5</v>
      </c>
      <c r="AR49" s="3">
        <v>52.4</v>
      </c>
      <c r="AS49" s="3">
        <v>22.3</v>
      </c>
      <c r="AT49" s="3" t="s">
        <v>144</v>
      </c>
      <c r="AU49" s="3" t="s">
        <v>144</v>
      </c>
    </row>
    <row r="50" spans="1:47" x14ac:dyDescent="0.2">
      <c r="A50" s="29">
        <v>48.999999999999844</v>
      </c>
      <c r="B50" s="3">
        <v>140</v>
      </c>
      <c r="C50" s="3">
        <v>22.49</v>
      </c>
      <c r="D50" s="36" t="s">
        <v>151</v>
      </c>
      <c r="E50" s="3" t="s">
        <v>152</v>
      </c>
      <c r="F50" s="37" t="s">
        <v>153</v>
      </c>
      <c r="I50" s="32">
        <v>44592</v>
      </c>
      <c r="J50" s="3" t="s">
        <v>142</v>
      </c>
      <c r="K50" s="3" t="s">
        <v>145</v>
      </c>
      <c r="N50" s="3">
        <v>217.5</v>
      </c>
      <c r="O50" s="3">
        <v>186.66</v>
      </c>
      <c r="P50" s="3">
        <v>195.85</v>
      </c>
      <c r="Q50" s="3">
        <v>46.59</v>
      </c>
      <c r="R50" s="3">
        <v>28.83</v>
      </c>
      <c r="S50" s="3">
        <v>115.6</v>
      </c>
      <c r="T50" s="3">
        <v>87.86</v>
      </c>
      <c r="U50" s="3">
        <v>67.540000000000006</v>
      </c>
      <c r="V50" s="3">
        <v>54.23</v>
      </c>
      <c r="W50" s="3">
        <v>74.39</v>
      </c>
      <c r="X50" s="3">
        <v>97.96</v>
      </c>
      <c r="Y50" s="3">
        <v>41.13</v>
      </c>
      <c r="Z50" s="3">
        <v>104.52</v>
      </c>
      <c r="AA50" s="3">
        <v>79.89</v>
      </c>
      <c r="AB50" s="3">
        <v>83.45</v>
      </c>
      <c r="AC50" s="3">
        <v>20.14</v>
      </c>
      <c r="AD50" s="3">
        <v>45.03</v>
      </c>
      <c r="AE50" s="3">
        <v>31.48</v>
      </c>
      <c r="AF50" s="3">
        <v>50.08</v>
      </c>
      <c r="AG50" s="3">
        <v>38.090000000000003</v>
      </c>
      <c r="AH50" s="3">
        <v>51.21</v>
      </c>
      <c r="AI50" s="3">
        <v>1.9</v>
      </c>
      <c r="AL50" s="3">
        <v>11</v>
      </c>
      <c r="AO50" s="3">
        <v>10.9</v>
      </c>
      <c r="AP50" s="3">
        <v>92.6</v>
      </c>
      <c r="AQ50" s="3">
        <v>49.8</v>
      </c>
      <c r="AR50" s="3">
        <v>50.1</v>
      </c>
      <c r="AS50" s="3">
        <v>21.4</v>
      </c>
      <c r="AT50" s="3" t="s">
        <v>144</v>
      </c>
      <c r="AU50" s="3" t="s">
        <v>144</v>
      </c>
    </row>
    <row r="51" spans="1:47" x14ac:dyDescent="0.2">
      <c r="A51" s="29">
        <v>50</v>
      </c>
      <c r="B51" s="3">
        <v>131</v>
      </c>
      <c r="C51" s="12" t="s">
        <v>161</v>
      </c>
      <c r="D51" s="36" t="s">
        <v>151</v>
      </c>
      <c r="E51" s="3" t="s">
        <v>162</v>
      </c>
      <c r="F51" s="3" t="s">
        <v>88</v>
      </c>
      <c r="G51" s="3" t="s">
        <v>88</v>
      </c>
      <c r="I51" s="32">
        <v>44578</v>
      </c>
      <c r="J51" s="3" t="s">
        <v>142</v>
      </c>
      <c r="K51" s="3" t="s">
        <v>145</v>
      </c>
      <c r="N51" s="3">
        <v>227.5</v>
      </c>
      <c r="O51" s="3">
        <v>178.93</v>
      </c>
      <c r="P51" s="3">
        <v>190.38</v>
      </c>
      <c r="Q51" s="3">
        <v>43.81</v>
      </c>
      <c r="R51" s="3">
        <v>23.67</v>
      </c>
      <c r="S51" s="3">
        <v>114.62</v>
      </c>
      <c r="T51" s="3">
        <v>89.33</v>
      </c>
      <c r="U51" s="3">
        <v>64.39</v>
      </c>
      <c r="V51" s="3">
        <v>48.83</v>
      </c>
      <c r="W51" s="3">
        <v>73.42</v>
      </c>
      <c r="X51" s="3">
        <v>93.48</v>
      </c>
      <c r="Y51" s="3">
        <v>43.46</v>
      </c>
      <c r="Z51" s="3">
        <v>102.59</v>
      </c>
      <c r="AA51" s="3">
        <v>78.95</v>
      </c>
      <c r="AB51" s="3">
        <v>81.52</v>
      </c>
      <c r="AC51" s="3">
        <v>20.69</v>
      </c>
      <c r="AD51" s="3">
        <v>46.05</v>
      </c>
      <c r="AE51" s="3">
        <v>32.46</v>
      </c>
      <c r="AF51" s="3">
        <v>42.09</v>
      </c>
      <c r="AG51" s="3">
        <v>38.159999999999997</v>
      </c>
      <c r="AH51" s="3">
        <v>45.69</v>
      </c>
      <c r="AI51" s="3">
        <v>1.9850000000000001</v>
      </c>
      <c r="AL51" s="3">
        <v>4</v>
      </c>
      <c r="AO51" s="3">
        <v>12.8</v>
      </c>
      <c r="AP51" s="3">
        <v>92.4</v>
      </c>
      <c r="AQ51" s="3">
        <v>59.3</v>
      </c>
      <c r="AR51" s="3">
        <v>55.5</v>
      </c>
      <c r="AS51" s="3">
        <v>24.1</v>
      </c>
      <c r="AT51" s="3" t="s">
        <v>144</v>
      </c>
      <c r="AU51" s="3" t="s">
        <v>144</v>
      </c>
    </row>
    <row r="52" spans="1:47" x14ac:dyDescent="0.2">
      <c r="A52" s="29">
        <v>51.000000000000156</v>
      </c>
      <c r="B52" s="3">
        <v>132</v>
      </c>
      <c r="C52" s="3">
        <v>22.51</v>
      </c>
      <c r="D52" s="36" t="s">
        <v>151</v>
      </c>
      <c r="E52" s="3" t="s">
        <v>162</v>
      </c>
      <c r="F52" s="3" t="s">
        <v>88</v>
      </c>
      <c r="G52" s="3" t="s">
        <v>88</v>
      </c>
      <c r="I52" s="32">
        <v>44578</v>
      </c>
      <c r="J52" s="3" t="s">
        <v>142</v>
      </c>
      <c r="K52" s="3" t="s">
        <v>145</v>
      </c>
      <c r="N52" s="3">
        <v>226.8</v>
      </c>
      <c r="O52" s="3">
        <v>179.98</v>
      </c>
      <c r="P52" s="3">
        <v>196.74</v>
      </c>
      <c r="Q52" s="3">
        <v>47.34</v>
      </c>
      <c r="R52" s="3">
        <v>24.98</v>
      </c>
      <c r="S52" s="3">
        <v>116.56</v>
      </c>
      <c r="T52" s="3">
        <v>88.69</v>
      </c>
      <c r="U52" s="3">
        <v>61.44</v>
      </c>
      <c r="V52" s="3">
        <v>47.72</v>
      </c>
      <c r="W52" s="3">
        <v>72.040000000000006</v>
      </c>
      <c r="X52" s="3">
        <v>92.54</v>
      </c>
      <c r="Y52" s="3">
        <v>42.47</v>
      </c>
      <c r="Z52" s="3">
        <v>100.94</v>
      </c>
      <c r="AA52" s="3">
        <v>77.5</v>
      </c>
      <c r="AB52" s="3">
        <v>79.27</v>
      </c>
      <c r="AC52" s="3">
        <v>17.22</v>
      </c>
      <c r="AD52" s="3">
        <v>47.43</v>
      </c>
      <c r="AE52" s="3">
        <v>34.81</v>
      </c>
      <c r="AF52" s="3">
        <v>43.83</v>
      </c>
      <c r="AG52" s="3">
        <v>40.130000000000003</v>
      </c>
      <c r="AH52" s="3">
        <v>45.07</v>
      </c>
      <c r="AI52" s="3">
        <v>1.8560000000000001</v>
      </c>
      <c r="AL52" s="3">
        <v>18</v>
      </c>
      <c r="AO52" s="3">
        <v>14.4</v>
      </c>
      <c r="AP52" s="3">
        <v>77.7</v>
      </c>
      <c r="AQ52" s="3">
        <v>58.2</v>
      </c>
      <c r="AR52" s="3">
        <v>55.7</v>
      </c>
      <c r="AS52" s="3">
        <v>24.2</v>
      </c>
      <c r="AT52" s="3" t="s">
        <v>144</v>
      </c>
      <c r="AU52" s="3" t="s">
        <v>144</v>
      </c>
    </row>
    <row r="53" spans="1:47" x14ac:dyDescent="0.2">
      <c r="A53" s="29">
        <v>51.999999999999957</v>
      </c>
      <c r="B53" s="3">
        <v>146</v>
      </c>
      <c r="C53" s="3">
        <v>22.52</v>
      </c>
      <c r="D53" s="36" t="s">
        <v>151</v>
      </c>
      <c r="E53" s="3" t="s">
        <v>162</v>
      </c>
      <c r="F53" s="3" t="s">
        <v>88</v>
      </c>
      <c r="G53" s="3" t="s">
        <v>88</v>
      </c>
      <c r="I53" s="32">
        <v>44592</v>
      </c>
      <c r="J53" s="3" t="s">
        <v>142</v>
      </c>
      <c r="K53" s="3" t="s">
        <v>145</v>
      </c>
      <c r="N53" s="3">
        <v>230.2</v>
      </c>
      <c r="O53" s="3">
        <v>178.81</v>
      </c>
      <c r="P53" s="3">
        <v>189.74</v>
      </c>
      <c r="Q53" s="3">
        <v>42.61</v>
      </c>
      <c r="R53" s="3">
        <v>22.09</v>
      </c>
      <c r="S53" s="3">
        <v>117.09</v>
      </c>
      <c r="T53" s="3">
        <v>89.15</v>
      </c>
      <c r="U53" s="3">
        <v>62.59</v>
      </c>
      <c r="V53" s="3">
        <v>48.42</v>
      </c>
      <c r="W53" s="3">
        <v>70.66</v>
      </c>
      <c r="X53" s="3">
        <v>93.3</v>
      </c>
      <c r="Y53" s="3">
        <v>42.46</v>
      </c>
      <c r="Z53" s="3">
        <v>103.6</v>
      </c>
      <c r="AA53" s="3">
        <v>78.86</v>
      </c>
      <c r="AB53" s="3">
        <v>82.06</v>
      </c>
      <c r="AC53" s="3">
        <v>18.940000000000001</v>
      </c>
      <c r="AD53" s="3">
        <v>46.69</v>
      </c>
      <c r="AE53" s="3">
        <v>32.97</v>
      </c>
      <c r="AF53" s="3">
        <v>41.87</v>
      </c>
      <c r="AG53" s="3">
        <v>39.18</v>
      </c>
      <c r="AH53" s="3">
        <v>43.97</v>
      </c>
      <c r="AI53" s="3">
        <v>2.105</v>
      </c>
      <c r="AL53" s="3">
        <v>16</v>
      </c>
      <c r="AO53" s="3">
        <v>13.7</v>
      </c>
      <c r="AP53" s="3">
        <v>84.2</v>
      </c>
      <c r="AQ53" s="3">
        <v>56.3</v>
      </c>
      <c r="AR53" s="3">
        <v>57</v>
      </c>
      <c r="AS53" s="3">
        <v>25</v>
      </c>
      <c r="AT53" s="3" t="s">
        <v>144</v>
      </c>
      <c r="AU53" s="3" t="s">
        <v>144</v>
      </c>
    </row>
    <row r="54" spans="1:47" x14ac:dyDescent="0.2">
      <c r="A54" s="29">
        <v>53.000000000000114</v>
      </c>
      <c r="B54" s="3">
        <v>139</v>
      </c>
      <c r="C54" s="3">
        <v>22.53</v>
      </c>
      <c r="D54" s="36" t="s">
        <v>151</v>
      </c>
      <c r="E54" s="3" t="s">
        <v>152</v>
      </c>
      <c r="F54" s="37" t="s">
        <v>153</v>
      </c>
      <c r="I54" s="32">
        <v>44592</v>
      </c>
      <c r="J54" s="3" t="s">
        <v>142</v>
      </c>
      <c r="K54" s="3" t="s">
        <v>145</v>
      </c>
      <c r="N54" s="3">
        <v>223.1</v>
      </c>
      <c r="O54" s="3">
        <v>180.76</v>
      </c>
      <c r="P54" s="3">
        <v>192.1</v>
      </c>
      <c r="Q54" s="3">
        <v>42.95</v>
      </c>
      <c r="R54" s="3">
        <v>23.14</v>
      </c>
      <c r="S54" s="3">
        <v>116.89</v>
      </c>
      <c r="T54" s="3">
        <v>91.43</v>
      </c>
      <c r="U54" s="3">
        <v>69.209999999999994</v>
      </c>
      <c r="V54" s="3">
        <v>54.26</v>
      </c>
      <c r="W54" s="3">
        <v>74.88</v>
      </c>
      <c r="X54" s="3">
        <v>95.49</v>
      </c>
      <c r="Y54" s="3">
        <v>41.94</v>
      </c>
      <c r="Z54" s="3">
        <v>104.26</v>
      </c>
      <c r="AA54" s="3">
        <v>82.31</v>
      </c>
      <c r="AB54" s="3">
        <v>82.36</v>
      </c>
      <c r="AC54" s="3">
        <v>23.51</v>
      </c>
      <c r="AD54" s="3">
        <v>45.03</v>
      </c>
      <c r="AE54" s="3">
        <v>27.68</v>
      </c>
      <c r="AF54" s="3">
        <v>44.77</v>
      </c>
      <c r="AG54" s="3">
        <v>35.49</v>
      </c>
      <c r="AH54" s="3">
        <v>43.09</v>
      </c>
      <c r="AI54" s="3">
        <v>2.0179999999999998</v>
      </c>
      <c r="AL54" s="3">
        <v>13</v>
      </c>
      <c r="AO54" s="3">
        <v>12.5</v>
      </c>
      <c r="AP54" s="3">
        <v>87.5</v>
      </c>
      <c r="AQ54" s="3">
        <v>55.5</v>
      </c>
      <c r="AR54" s="3">
        <v>51.9</v>
      </c>
      <c r="AS54" s="3">
        <v>22.2</v>
      </c>
      <c r="AT54" s="3" t="s">
        <v>144</v>
      </c>
      <c r="AU54" s="3" t="s">
        <v>144</v>
      </c>
    </row>
    <row r="55" spans="1:47" x14ac:dyDescent="0.2">
      <c r="A55" s="29">
        <v>53.999999999999915</v>
      </c>
      <c r="B55" s="3">
        <v>147</v>
      </c>
      <c r="C55" s="3">
        <v>22.54</v>
      </c>
      <c r="D55" s="36" t="s">
        <v>151</v>
      </c>
      <c r="E55" s="3" t="s">
        <v>152</v>
      </c>
      <c r="F55" s="3" t="s">
        <v>90</v>
      </c>
      <c r="G55" s="3" t="s">
        <v>90</v>
      </c>
      <c r="I55" s="32">
        <v>44593</v>
      </c>
      <c r="J55" s="3" t="s">
        <v>142</v>
      </c>
      <c r="K55" s="3" t="s">
        <v>145</v>
      </c>
      <c r="N55" s="3">
        <v>234.4</v>
      </c>
      <c r="O55" s="3">
        <v>178.09</v>
      </c>
      <c r="P55" s="3">
        <v>189.87</v>
      </c>
      <c r="Q55" s="3">
        <v>42.73</v>
      </c>
      <c r="R55" s="3">
        <v>23.7</v>
      </c>
      <c r="S55" s="3">
        <v>115.64</v>
      </c>
      <c r="T55" s="3">
        <v>93.58</v>
      </c>
      <c r="U55" s="3">
        <v>69.959999999999994</v>
      </c>
      <c r="V55" s="3">
        <v>54.13</v>
      </c>
      <c r="W55" s="3">
        <v>78.239999999999995</v>
      </c>
      <c r="X55" s="3">
        <v>96.45</v>
      </c>
      <c r="Y55" s="3">
        <v>41.01</v>
      </c>
      <c r="Z55" s="3">
        <v>102.64</v>
      </c>
      <c r="AA55" s="3">
        <v>81.239999999999995</v>
      </c>
      <c r="AB55" s="3">
        <v>82.15</v>
      </c>
      <c r="AC55" s="3">
        <v>26.73</v>
      </c>
      <c r="AD55" s="3">
        <v>45.39</v>
      </c>
      <c r="AE55" s="3">
        <v>31.67</v>
      </c>
      <c r="AF55" s="3">
        <v>40.950000000000003</v>
      </c>
      <c r="AG55" s="3">
        <v>39.29</v>
      </c>
      <c r="AH55" s="3">
        <v>45.06</v>
      </c>
      <c r="AI55" s="3">
        <v>2.2320000000000002</v>
      </c>
      <c r="AL55" s="3">
        <v>8</v>
      </c>
      <c r="AO55" s="3">
        <v>14.6</v>
      </c>
      <c r="AP55" s="3">
        <v>93.5</v>
      </c>
      <c r="AQ55" s="3">
        <v>54.7</v>
      </c>
      <c r="AR55" s="3">
        <v>60.9</v>
      </c>
      <c r="AS55" s="3">
        <v>26.2</v>
      </c>
      <c r="AT55" s="3" t="s">
        <v>144</v>
      </c>
      <c r="AU55" s="3" t="s">
        <v>144</v>
      </c>
    </row>
    <row r="56" spans="1:47" x14ac:dyDescent="0.2">
      <c r="A56" s="29">
        <v>55.000000000000071</v>
      </c>
      <c r="B56" s="3">
        <v>42</v>
      </c>
      <c r="C56" s="3">
        <v>22.55</v>
      </c>
      <c r="D56" s="31" t="s">
        <v>140</v>
      </c>
      <c r="E56" s="3" t="s">
        <v>141</v>
      </c>
      <c r="F56" s="3" t="s">
        <v>60</v>
      </c>
      <c r="H56" s="3" t="s">
        <v>60</v>
      </c>
      <c r="I56" s="32">
        <v>44605</v>
      </c>
      <c r="J56" s="3" t="s">
        <v>142</v>
      </c>
      <c r="K56" s="3" t="s">
        <v>145</v>
      </c>
      <c r="L56" s="3">
        <v>122.5</v>
      </c>
      <c r="AT56" s="3" t="s">
        <v>144</v>
      </c>
      <c r="AU56" s="3" t="s">
        <v>144</v>
      </c>
    </row>
    <row r="57" spans="1:47" x14ac:dyDescent="0.2">
      <c r="A57" s="29">
        <v>55.999999999999872</v>
      </c>
      <c r="B57" s="3">
        <v>141</v>
      </c>
      <c r="C57" s="3">
        <v>22.56</v>
      </c>
      <c r="D57" s="36" t="s">
        <v>151</v>
      </c>
      <c r="E57" s="3" t="s">
        <v>152</v>
      </c>
      <c r="F57" s="37" t="s">
        <v>153</v>
      </c>
      <c r="I57" s="32">
        <v>44592</v>
      </c>
      <c r="J57" s="3" t="s">
        <v>142</v>
      </c>
      <c r="K57" s="3" t="s">
        <v>145</v>
      </c>
      <c r="N57" s="3">
        <v>219</v>
      </c>
      <c r="O57" s="3">
        <v>183.48</v>
      </c>
      <c r="P57" s="3">
        <v>197.44</v>
      </c>
      <c r="Q57" s="3">
        <v>49.38</v>
      </c>
      <c r="R57" s="3">
        <v>29.33</v>
      </c>
      <c r="S57" s="3">
        <v>118.4</v>
      </c>
      <c r="T57" s="3">
        <v>91.97</v>
      </c>
      <c r="U57" s="3">
        <v>69.25</v>
      </c>
      <c r="V57" s="3">
        <v>52.87</v>
      </c>
      <c r="W57" s="3">
        <v>73.17</v>
      </c>
      <c r="X57" s="3">
        <v>94.6</v>
      </c>
      <c r="Y57" s="3">
        <v>41.62</v>
      </c>
      <c r="Z57" s="3">
        <v>103.5</v>
      </c>
      <c r="AA57" s="3">
        <v>80.599999999999994</v>
      </c>
      <c r="AB57" s="3">
        <v>83.44</v>
      </c>
      <c r="AC57" s="3">
        <v>21.53</v>
      </c>
      <c r="AD57" s="3">
        <v>44.09</v>
      </c>
      <c r="AE57" s="3">
        <v>29.92</v>
      </c>
      <c r="AF57" s="3">
        <v>48.3</v>
      </c>
      <c r="AG57" s="3">
        <v>37.22</v>
      </c>
      <c r="AH57" s="3">
        <v>52.11</v>
      </c>
      <c r="AI57" s="3">
        <v>1.909</v>
      </c>
      <c r="AL57" s="3">
        <v>8</v>
      </c>
      <c r="AO57" s="3">
        <v>12.4</v>
      </c>
      <c r="AP57" s="3">
        <v>84.9</v>
      </c>
      <c r="AQ57" s="3">
        <v>60.1</v>
      </c>
      <c r="AR57" s="3">
        <v>51</v>
      </c>
      <c r="AS57" s="3">
        <v>21.8</v>
      </c>
      <c r="AT57" s="3" t="s">
        <v>144</v>
      </c>
      <c r="AU57" s="3" t="s">
        <v>144</v>
      </c>
    </row>
    <row r="58" spans="1:47" x14ac:dyDescent="0.2">
      <c r="A58" s="29">
        <v>57.000000000000028</v>
      </c>
      <c r="B58" s="3">
        <v>145</v>
      </c>
      <c r="C58" s="3">
        <v>22.57</v>
      </c>
      <c r="D58" s="36" t="s">
        <v>151</v>
      </c>
      <c r="E58" s="3" t="s">
        <v>162</v>
      </c>
      <c r="F58" s="3" t="s">
        <v>88</v>
      </c>
      <c r="G58" s="3" t="s">
        <v>88</v>
      </c>
      <c r="I58" s="32">
        <v>44592</v>
      </c>
      <c r="J58" s="3" t="s">
        <v>142</v>
      </c>
      <c r="K58" s="3" t="s">
        <v>145</v>
      </c>
      <c r="N58" s="3">
        <v>236.7</v>
      </c>
      <c r="O58" s="3">
        <v>176.55</v>
      </c>
      <c r="P58" s="3">
        <v>189.32</v>
      </c>
      <c r="Q58" s="3">
        <v>44.26</v>
      </c>
      <c r="R58" s="3">
        <v>15.13</v>
      </c>
      <c r="S58" s="3">
        <v>119.1</v>
      </c>
      <c r="T58" s="3">
        <v>92.12</v>
      </c>
      <c r="U58" s="3">
        <v>63.03</v>
      </c>
      <c r="V58" s="3">
        <v>49.15</v>
      </c>
      <c r="W58" s="3">
        <v>70.510000000000005</v>
      </c>
      <c r="X58" s="3">
        <v>93.41</v>
      </c>
      <c r="Y58" s="3">
        <v>41.19</v>
      </c>
      <c r="Z58" s="3">
        <v>101.77</v>
      </c>
      <c r="AA58" s="3">
        <v>77.849999999999994</v>
      </c>
      <c r="AB58" s="3">
        <v>81.34</v>
      </c>
      <c r="AC58" s="3">
        <v>10.9</v>
      </c>
      <c r="AD58" s="3">
        <v>48.33</v>
      </c>
      <c r="AE58" s="3">
        <v>30.02</v>
      </c>
      <c r="AF58" s="3">
        <v>41.73</v>
      </c>
      <c r="AG58" s="3">
        <v>37.75</v>
      </c>
      <c r="AH58" s="3">
        <v>43.89</v>
      </c>
      <c r="AI58" s="3">
        <v>2.09</v>
      </c>
      <c r="AL58" s="3">
        <v>8</v>
      </c>
      <c r="AO58" s="3">
        <v>13.7</v>
      </c>
      <c r="AP58" s="3">
        <v>93.9</v>
      </c>
      <c r="AQ58" s="3">
        <v>58.9</v>
      </c>
      <c r="AR58" s="3">
        <v>58.6</v>
      </c>
      <c r="AS58" s="3">
        <v>25.1</v>
      </c>
      <c r="AT58" s="3" t="s">
        <v>144</v>
      </c>
      <c r="AU58" s="3" t="s">
        <v>144</v>
      </c>
    </row>
    <row r="59" spans="1:47" x14ac:dyDescent="0.2">
      <c r="A59" s="29">
        <v>57.999999999999829</v>
      </c>
      <c r="B59" s="3">
        <v>137</v>
      </c>
      <c r="C59" s="3">
        <v>22.58</v>
      </c>
      <c r="D59" s="36" t="s">
        <v>151</v>
      </c>
      <c r="E59" s="3" t="s">
        <v>152</v>
      </c>
      <c r="F59" s="37" t="s">
        <v>153</v>
      </c>
      <c r="I59" s="32">
        <v>44591</v>
      </c>
      <c r="J59" s="3" t="s">
        <v>142</v>
      </c>
      <c r="K59" s="3" t="s">
        <v>145</v>
      </c>
      <c r="N59" s="3">
        <v>232.2</v>
      </c>
      <c r="O59" s="3">
        <v>181.36</v>
      </c>
      <c r="P59" s="3">
        <v>196.65</v>
      </c>
      <c r="Q59" s="3">
        <v>46.14</v>
      </c>
      <c r="R59" s="3">
        <v>23.47</v>
      </c>
      <c r="S59" s="3">
        <v>119.74</v>
      </c>
      <c r="T59" s="3">
        <v>92.25</v>
      </c>
      <c r="U59" s="3">
        <v>71.790000000000006</v>
      </c>
      <c r="V59" s="3">
        <v>57.32</v>
      </c>
      <c r="W59" s="3">
        <v>75.239999999999995</v>
      </c>
      <c r="X59" s="3">
        <v>94.83</v>
      </c>
      <c r="Y59" s="3">
        <v>40.4</v>
      </c>
      <c r="Z59" s="3">
        <v>103.99</v>
      </c>
      <c r="AA59" s="3">
        <v>80.94</v>
      </c>
      <c r="AB59" s="3">
        <v>82.64</v>
      </c>
      <c r="AC59" s="3">
        <v>24.89</v>
      </c>
      <c r="AD59" s="3">
        <v>44.8</v>
      </c>
      <c r="AE59" s="3">
        <v>32.03</v>
      </c>
      <c r="AF59" s="3">
        <v>45.81</v>
      </c>
      <c r="AG59" s="3">
        <v>37.22</v>
      </c>
      <c r="AH59" s="3">
        <v>42.67</v>
      </c>
      <c r="AI59" s="3">
        <v>1.954</v>
      </c>
      <c r="AL59" s="3">
        <v>11</v>
      </c>
      <c r="AO59" s="3">
        <v>15.5</v>
      </c>
      <c r="AP59" s="3">
        <v>84.8</v>
      </c>
      <c r="AQ59" s="3">
        <v>62.7</v>
      </c>
      <c r="AR59" s="3">
        <v>55.8</v>
      </c>
      <c r="AS59" s="3">
        <v>23.7</v>
      </c>
      <c r="AT59" s="3" t="s">
        <v>144</v>
      </c>
      <c r="AU59" s="3" t="s">
        <v>144</v>
      </c>
    </row>
    <row r="60" spans="1:47" x14ac:dyDescent="0.2">
      <c r="A60" s="29">
        <v>58.999999999999986</v>
      </c>
      <c r="B60" s="3">
        <v>148</v>
      </c>
      <c r="C60" s="3">
        <v>22.59</v>
      </c>
      <c r="D60" s="36" t="s">
        <v>151</v>
      </c>
      <c r="E60" s="3" t="s">
        <v>152</v>
      </c>
      <c r="F60" s="3" t="s">
        <v>90</v>
      </c>
      <c r="G60" s="3" t="s">
        <v>90</v>
      </c>
      <c r="I60" s="32">
        <v>44593</v>
      </c>
      <c r="J60" s="3" t="s">
        <v>142</v>
      </c>
      <c r="K60" s="3" t="s">
        <v>145</v>
      </c>
      <c r="N60" s="3">
        <v>236.8</v>
      </c>
      <c r="O60" s="3">
        <v>177.28</v>
      </c>
      <c r="P60" s="3">
        <v>194.16</v>
      </c>
      <c r="Q60" s="3">
        <v>46.11</v>
      </c>
      <c r="R60" s="3">
        <v>26.48</v>
      </c>
      <c r="S60" s="3">
        <v>114.08</v>
      </c>
      <c r="T60" s="3">
        <v>92.21</v>
      </c>
      <c r="U60" s="3">
        <v>70.23</v>
      </c>
      <c r="V60" s="3">
        <v>55.17</v>
      </c>
      <c r="W60" s="3">
        <v>74.75</v>
      </c>
      <c r="X60" s="3">
        <v>91.13</v>
      </c>
      <c r="Y60" s="3">
        <v>39.36</v>
      </c>
      <c r="Z60" s="3">
        <v>101.07</v>
      </c>
      <c r="AA60" s="3">
        <v>79.42</v>
      </c>
      <c r="AB60" s="3">
        <v>81.45</v>
      </c>
      <c r="AC60" s="3">
        <v>26.23</v>
      </c>
      <c r="AD60" s="3">
        <v>47.11</v>
      </c>
      <c r="AE60" s="3">
        <v>30.49</v>
      </c>
      <c r="AF60" s="3">
        <v>42.21</v>
      </c>
      <c r="AG60" s="3">
        <v>37.67</v>
      </c>
      <c r="AH60" s="3">
        <v>45.83</v>
      </c>
      <c r="AI60" s="3">
        <v>2.226</v>
      </c>
      <c r="AL60" s="3">
        <v>5</v>
      </c>
      <c r="AO60" s="3">
        <v>14.8</v>
      </c>
      <c r="AP60" s="3">
        <v>96.9</v>
      </c>
      <c r="AQ60" s="3">
        <v>53.8</v>
      </c>
      <c r="AR60" s="3">
        <v>64.400000000000006</v>
      </c>
      <c r="AS60" s="3">
        <v>27.2</v>
      </c>
      <c r="AT60" s="3" t="s">
        <v>144</v>
      </c>
      <c r="AU60" s="3" t="s">
        <v>144</v>
      </c>
    </row>
    <row r="61" spans="1:47" x14ac:dyDescent="0.2">
      <c r="A61" s="29">
        <v>60.000000000000142</v>
      </c>
      <c r="B61" s="3">
        <v>45</v>
      </c>
      <c r="C61" s="12" t="s">
        <v>163</v>
      </c>
      <c r="D61" s="31" t="s">
        <v>140</v>
      </c>
      <c r="E61" s="3" t="s">
        <v>141</v>
      </c>
      <c r="F61" s="17" t="s">
        <v>164</v>
      </c>
      <c r="H61" s="3" t="s">
        <v>165</v>
      </c>
      <c r="I61" s="32">
        <v>44607</v>
      </c>
      <c r="J61" s="3" t="s">
        <v>142</v>
      </c>
      <c r="K61" s="3" t="s">
        <v>166</v>
      </c>
      <c r="L61" s="3">
        <v>271.10000000000002</v>
      </c>
      <c r="N61" s="3">
        <v>270.10000000000002</v>
      </c>
      <c r="O61" s="3">
        <v>171.88</v>
      </c>
      <c r="P61" s="3">
        <v>187.89</v>
      </c>
      <c r="Q61" s="3">
        <v>36.85</v>
      </c>
      <c r="R61" s="3">
        <v>16.29</v>
      </c>
      <c r="S61" s="3">
        <v>127.48</v>
      </c>
      <c r="T61" s="3">
        <v>102.4</v>
      </c>
      <c r="U61" s="3">
        <v>64.58</v>
      </c>
      <c r="V61" s="3">
        <v>49.35</v>
      </c>
      <c r="W61" s="3">
        <v>72.73</v>
      </c>
      <c r="X61" s="3">
        <v>92.85</v>
      </c>
      <c r="Y61" s="3">
        <v>37.770000000000003</v>
      </c>
      <c r="Z61" s="3">
        <v>100.12</v>
      </c>
      <c r="AA61" s="3">
        <v>79.37</v>
      </c>
      <c r="AB61" s="3">
        <v>77.25</v>
      </c>
      <c r="AC61" s="3">
        <v>12.94</v>
      </c>
      <c r="AD61" s="3">
        <v>51.02</v>
      </c>
      <c r="AE61" s="3">
        <v>23.86</v>
      </c>
      <c r="AF61" s="3">
        <v>40.75</v>
      </c>
      <c r="AG61" s="3">
        <v>27.67</v>
      </c>
      <c r="AH61" s="3">
        <v>45.41</v>
      </c>
      <c r="AI61" s="3">
        <v>2.3119999999999998</v>
      </c>
      <c r="AL61" s="3">
        <v>25</v>
      </c>
      <c r="AO61" s="3">
        <v>12.1</v>
      </c>
      <c r="AP61" s="3">
        <v>99.5</v>
      </c>
      <c r="AQ61" s="3">
        <v>60</v>
      </c>
      <c r="AR61" s="3">
        <v>69.900000000000006</v>
      </c>
      <c r="AS61" s="3">
        <v>30.4</v>
      </c>
      <c r="AT61" s="3" t="s">
        <v>144</v>
      </c>
      <c r="AU61" s="3" t="s">
        <v>144</v>
      </c>
    </row>
    <row r="62" spans="1:47" x14ac:dyDescent="0.2">
      <c r="A62" s="29">
        <v>60.999999999999943</v>
      </c>
      <c r="B62" s="3">
        <v>41</v>
      </c>
      <c r="C62" s="3">
        <v>22.61</v>
      </c>
      <c r="D62" s="31" t="s">
        <v>140</v>
      </c>
      <c r="E62" s="3" t="s">
        <v>141</v>
      </c>
      <c r="F62" s="3" t="s">
        <v>60</v>
      </c>
      <c r="H62" s="3" t="s">
        <v>60</v>
      </c>
      <c r="I62" s="32">
        <v>44604</v>
      </c>
      <c r="J62" s="3" t="s">
        <v>142</v>
      </c>
      <c r="K62" s="3" t="s">
        <v>166</v>
      </c>
      <c r="L62" s="3">
        <v>204.9</v>
      </c>
      <c r="N62" s="3">
        <v>203.2</v>
      </c>
      <c r="O62" s="3">
        <v>150.41</v>
      </c>
      <c r="P62" s="3">
        <v>159.99</v>
      </c>
      <c r="Q62" s="3">
        <v>33.57</v>
      </c>
      <c r="R62" s="3">
        <v>18.12</v>
      </c>
      <c r="S62" s="3">
        <v>108.7</v>
      </c>
      <c r="T62" s="3">
        <v>87.09</v>
      </c>
      <c r="U62" s="3">
        <v>66.94</v>
      </c>
      <c r="V62" s="3">
        <v>53.2</v>
      </c>
      <c r="W62" s="3">
        <v>73.760000000000005</v>
      </c>
      <c r="X62" s="3">
        <v>88.25</v>
      </c>
      <c r="Y62" s="3">
        <v>39.83</v>
      </c>
      <c r="Z62" s="3">
        <v>96.48</v>
      </c>
      <c r="AA62" s="3">
        <v>74.91</v>
      </c>
      <c r="AB62" s="3">
        <v>76.540000000000006</v>
      </c>
      <c r="AC62" s="3">
        <v>21.44</v>
      </c>
      <c r="AD62" s="3">
        <v>46.68</v>
      </c>
      <c r="AE62" s="3">
        <v>24.69</v>
      </c>
      <c r="AF62" s="3">
        <v>36.07</v>
      </c>
      <c r="AG62" s="3">
        <v>28.96</v>
      </c>
      <c r="AH62" s="3">
        <v>38.85</v>
      </c>
      <c r="AI62" s="3">
        <v>2.145</v>
      </c>
      <c r="AL62" s="3">
        <v>18</v>
      </c>
      <c r="AO62" s="3">
        <v>9.5</v>
      </c>
      <c r="AP62" s="3">
        <v>70.8</v>
      </c>
      <c r="AQ62" s="3">
        <v>50.5</v>
      </c>
      <c r="AR62" s="3">
        <v>51.5</v>
      </c>
      <c r="AS62" s="3">
        <v>22.3</v>
      </c>
      <c r="AT62" s="3" t="s">
        <v>144</v>
      </c>
      <c r="AU62" s="3" t="s">
        <v>144</v>
      </c>
    </row>
    <row r="63" spans="1:47" x14ac:dyDescent="0.2">
      <c r="A63" s="29">
        <v>62.000000000000099</v>
      </c>
      <c r="B63" s="3">
        <v>44</v>
      </c>
      <c r="C63" s="3">
        <v>22.62</v>
      </c>
      <c r="D63" s="31" t="s">
        <v>140</v>
      </c>
      <c r="E63" s="3" t="s">
        <v>141</v>
      </c>
      <c r="F63" s="17" t="s">
        <v>164</v>
      </c>
      <c r="H63" s="3" t="s">
        <v>165</v>
      </c>
      <c r="I63" s="32">
        <v>44607</v>
      </c>
      <c r="J63" s="3" t="s">
        <v>142</v>
      </c>
      <c r="K63" s="3" t="s">
        <v>166</v>
      </c>
      <c r="L63" s="3">
        <v>203.2</v>
      </c>
      <c r="N63" s="3">
        <v>200.9</v>
      </c>
      <c r="O63" s="3">
        <v>196.68</v>
      </c>
      <c r="P63" s="3">
        <v>203.07</v>
      </c>
      <c r="Q63" s="3">
        <v>45.55</v>
      </c>
      <c r="R63" s="3">
        <v>34.94</v>
      </c>
      <c r="S63" s="3">
        <v>124.28</v>
      </c>
      <c r="T63" s="3">
        <v>97.55</v>
      </c>
      <c r="U63" s="3">
        <v>67.930000000000007</v>
      </c>
      <c r="V63" s="3">
        <v>52.97</v>
      </c>
      <c r="W63" s="3">
        <v>74.31</v>
      </c>
      <c r="X63" s="3">
        <v>85.12</v>
      </c>
      <c r="Y63" s="3">
        <v>39.799999999999997</v>
      </c>
      <c r="Z63" s="3">
        <v>98.01</v>
      </c>
      <c r="AA63" s="3">
        <v>74.23</v>
      </c>
      <c r="AB63" s="3">
        <v>77.92</v>
      </c>
      <c r="AC63" s="3">
        <v>23.98</v>
      </c>
      <c r="AD63" s="3">
        <v>43.84</v>
      </c>
      <c r="AE63" s="3">
        <v>41.88</v>
      </c>
      <c r="AF63" s="3">
        <v>42.32</v>
      </c>
      <c r="AG63" s="3">
        <v>34.65</v>
      </c>
      <c r="AH63" s="3">
        <v>44.37</v>
      </c>
      <c r="AI63" s="3">
        <v>1.7</v>
      </c>
      <c r="AL63" s="3">
        <v>4</v>
      </c>
      <c r="AO63" s="3">
        <v>8.8000000000000007</v>
      </c>
      <c r="AP63" s="3">
        <v>79</v>
      </c>
      <c r="AQ63" s="3">
        <v>63.3</v>
      </c>
      <c r="AR63" s="3">
        <v>43.2</v>
      </c>
      <c r="AS63" s="3">
        <v>18.600000000000001</v>
      </c>
      <c r="AT63" s="3" t="s">
        <v>144</v>
      </c>
      <c r="AU63" s="3" t="s">
        <v>144</v>
      </c>
    </row>
    <row r="64" spans="1:47" x14ac:dyDescent="0.2">
      <c r="A64" s="29">
        <v>62.999999999999901</v>
      </c>
      <c r="B64" s="3">
        <v>50</v>
      </c>
      <c r="C64" s="3">
        <v>22.63</v>
      </c>
      <c r="D64" s="31" t="s">
        <v>140</v>
      </c>
      <c r="E64" s="3" t="s">
        <v>141</v>
      </c>
      <c r="F64" s="17" t="s">
        <v>164</v>
      </c>
      <c r="H64" s="3" t="s">
        <v>165</v>
      </c>
      <c r="I64" s="32">
        <v>44612</v>
      </c>
      <c r="J64" s="3" t="s">
        <v>142</v>
      </c>
      <c r="K64" s="3" t="s">
        <v>166</v>
      </c>
      <c r="N64" s="3">
        <v>235.4</v>
      </c>
      <c r="O64" s="3">
        <v>206.67</v>
      </c>
      <c r="P64" s="3">
        <v>220</v>
      </c>
      <c r="Q64" s="3">
        <v>48.15</v>
      </c>
      <c r="R64" s="3">
        <v>37.81</v>
      </c>
      <c r="S64" s="3">
        <v>133.55000000000001</v>
      </c>
      <c r="T64" s="3">
        <v>100.12</v>
      </c>
      <c r="U64" s="3">
        <v>64.84</v>
      </c>
      <c r="V64" s="3">
        <v>50.78</v>
      </c>
      <c r="W64" s="3">
        <v>76.5</v>
      </c>
      <c r="X64" s="3">
        <v>96</v>
      </c>
      <c r="Y64" s="3">
        <v>42.53</v>
      </c>
      <c r="Z64" s="3">
        <v>105.94</v>
      </c>
      <c r="AA64" s="3">
        <v>80.540000000000006</v>
      </c>
      <c r="AB64" s="3">
        <v>78.650000000000006</v>
      </c>
      <c r="AC64" s="3">
        <v>19.34</v>
      </c>
      <c r="AD64" s="3">
        <v>44.74</v>
      </c>
      <c r="AE64" s="3">
        <v>43.58</v>
      </c>
      <c r="AF64" s="3">
        <v>41.44</v>
      </c>
      <c r="AG64" s="3">
        <v>48.35</v>
      </c>
      <c r="AH64" s="3">
        <v>48.01</v>
      </c>
      <c r="AI64" s="3">
        <v>1.675</v>
      </c>
      <c r="AL64" s="3">
        <v>14</v>
      </c>
      <c r="AO64" s="3">
        <v>14.1</v>
      </c>
      <c r="AP64" s="3">
        <v>91.3</v>
      </c>
      <c r="AQ64" s="3">
        <v>59.7</v>
      </c>
      <c r="AR64" s="3">
        <v>51.6</v>
      </c>
      <c r="AS64" s="3">
        <v>23.9</v>
      </c>
      <c r="AT64" s="3" t="s">
        <v>144</v>
      </c>
      <c r="AU64" s="3" t="s">
        <v>144</v>
      </c>
    </row>
    <row r="65" spans="1:47" x14ac:dyDescent="0.2">
      <c r="A65" s="29">
        <v>64.000000000000057</v>
      </c>
      <c r="B65" s="3">
        <v>51</v>
      </c>
      <c r="C65" s="3">
        <v>22.64</v>
      </c>
      <c r="D65" s="31" t="s">
        <v>140</v>
      </c>
      <c r="E65" s="3" t="s">
        <v>141</v>
      </c>
      <c r="F65" s="17" t="s">
        <v>164</v>
      </c>
      <c r="H65" s="3" t="s">
        <v>165</v>
      </c>
      <c r="I65" s="32">
        <v>44613</v>
      </c>
      <c r="J65" s="3" t="s">
        <v>142</v>
      </c>
      <c r="K65" s="3" t="s">
        <v>166</v>
      </c>
      <c r="L65" s="3">
        <v>220.21</v>
      </c>
      <c r="N65" s="3">
        <v>217.7</v>
      </c>
      <c r="O65" s="3">
        <v>178.36</v>
      </c>
      <c r="P65" s="3">
        <v>205.69</v>
      </c>
      <c r="Q65" s="3">
        <v>48.43</v>
      </c>
      <c r="R65" s="3">
        <v>22.62</v>
      </c>
      <c r="S65" s="3">
        <v>123.37</v>
      </c>
      <c r="T65" s="3">
        <v>95.87</v>
      </c>
      <c r="U65" s="3">
        <v>72.77</v>
      </c>
      <c r="V65" s="3">
        <v>56.59</v>
      </c>
      <c r="W65" s="3">
        <v>75.55</v>
      </c>
      <c r="X65" s="3">
        <v>91.58</v>
      </c>
      <c r="Y65" s="3">
        <v>40</v>
      </c>
      <c r="Z65" s="3">
        <v>103.38</v>
      </c>
      <c r="AA65" s="3">
        <v>78.73</v>
      </c>
      <c r="AB65" s="3">
        <v>78.8</v>
      </c>
      <c r="AC65" s="3">
        <v>23.09</v>
      </c>
      <c r="AD65" s="3">
        <v>45.07</v>
      </c>
      <c r="AE65" s="3">
        <v>30.71</v>
      </c>
      <c r="AF65" s="3">
        <v>41.02</v>
      </c>
      <c r="AG65" s="3">
        <v>33.85</v>
      </c>
      <c r="AH65" s="3">
        <v>44.11</v>
      </c>
      <c r="AI65" s="3">
        <v>1.7450000000000001</v>
      </c>
      <c r="AL65" s="3">
        <v>8</v>
      </c>
      <c r="AO65" s="3">
        <v>12.7</v>
      </c>
      <c r="AP65" s="3">
        <v>95.2</v>
      </c>
      <c r="AQ65" s="3">
        <v>47.3</v>
      </c>
      <c r="AR65" s="3">
        <v>51.2</v>
      </c>
      <c r="AS65" s="3">
        <v>22.4</v>
      </c>
      <c r="AT65" s="3" t="s">
        <v>144</v>
      </c>
      <c r="AU65" s="3" t="s">
        <v>144</v>
      </c>
    </row>
    <row r="66" spans="1:47" x14ac:dyDescent="0.2">
      <c r="A66" s="29">
        <v>64.999999999999858</v>
      </c>
      <c r="B66" s="3">
        <v>52</v>
      </c>
      <c r="C66" s="3">
        <v>22.65</v>
      </c>
      <c r="D66" s="31" t="s">
        <v>140</v>
      </c>
      <c r="E66" s="3" t="s">
        <v>141</v>
      </c>
      <c r="F66" s="17" t="s">
        <v>164</v>
      </c>
      <c r="H66" s="3" t="s">
        <v>165</v>
      </c>
      <c r="I66" s="32">
        <v>44613</v>
      </c>
      <c r="J66" s="3" t="s">
        <v>142</v>
      </c>
      <c r="K66" s="3" t="s">
        <v>166</v>
      </c>
      <c r="L66" s="3">
        <v>219.44</v>
      </c>
      <c r="N66" s="3">
        <v>216.9</v>
      </c>
      <c r="O66" s="3">
        <v>198.97</v>
      </c>
      <c r="P66" s="3">
        <v>204.84</v>
      </c>
      <c r="Q66" s="3">
        <v>50.61</v>
      </c>
      <c r="R66" s="3">
        <v>30.56</v>
      </c>
      <c r="S66" s="3">
        <v>126.07</v>
      </c>
      <c r="T66" s="3">
        <v>100.06</v>
      </c>
      <c r="U66" s="3">
        <v>72.599999999999994</v>
      </c>
      <c r="V66" s="3">
        <v>54.25</v>
      </c>
      <c r="W66" s="3">
        <v>77.900000000000006</v>
      </c>
      <c r="X66" s="3">
        <v>94.22</v>
      </c>
      <c r="Y66" s="3">
        <v>43.25</v>
      </c>
      <c r="Z66" s="3">
        <v>102.71</v>
      </c>
      <c r="AA66" s="3">
        <v>79.239999999999995</v>
      </c>
      <c r="AB66" s="3">
        <v>79.83</v>
      </c>
      <c r="AC66" s="3">
        <v>24.41</v>
      </c>
      <c r="AD66" s="3">
        <v>45.01</v>
      </c>
      <c r="AE66" s="3">
        <v>37.92</v>
      </c>
      <c r="AF66" s="3">
        <v>42.53</v>
      </c>
      <c r="AG66" s="3">
        <v>38.479999999999997</v>
      </c>
      <c r="AH66" s="3">
        <v>45.14</v>
      </c>
      <c r="AI66" s="3">
        <v>1.83</v>
      </c>
      <c r="AL66" s="3">
        <v>8</v>
      </c>
      <c r="AO66" s="3">
        <v>11.3</v>
      </c>
      <c r="AP66" s="3">
        <v>97.7</v>
      </c>
      <c r="AQ66" s="3">
        <v>45.6</v>
      </c>
      <c r="AR66" s="3">
        <v>51.2</v>
      </c>
      <c r="AS66" s="3">
        <v>22.7</v>
      </c>
      <c r="AT66" s="3" t="s">
        <v>144</v>
      </c>
      <c r="AU66" s="3" t="s">
        <v>144</v>
      </c>
    </row>
    <row r="67" spans="1:47" x14ac:dyDescent="0.2">
      <c r="A67" s="29">
        <v>66.000000000000014</v>
      </c>
      <c r="B67" s="3">
        <v>35</v>
      </c>
      <c r="C67" s="3">
        <v>22.66</v>
      </c>
      <c r="D67" s="31" t="s">
        <v>140</v>
      </c>
      <c r="E67" s="3" t="s">
        <v>141</v>
      </c>
      <c r="F67" s="3" t="s">
        <v>61</v>
      </c>
      <c r="H67" s="3" t="s">
        <v>157</v>
      </c>
      <c r="I67" s="32">
        <v>44597</v>
      </c>
      <c r="J67" s="3" t="s">
        <v>142</v>
      </c>
      <c r="K67" s="3" t="s">
        <v>145</v>
      </c>
      <c r="L67" s="3">
        <v>197.6</v>
      </c>
      <c r="N67" s="3">
        <v>198.3</v>
      </c>
      <c r="O67" s="3">
        <v>187.63</v>
      </c>
      <c r="P67" s="3">
        <v>192.63</v>
      </c>
      <c r="Q67" s="3">
        <v>43.12</v>
      </c>
      <c r="R67" s="3">
        <v>32.4</v>
      </c>
      <c r="S67" s="3">
        <v>119.71</v>
      </c>
      <c r="T67" s="3">
        <v>96.8</v>
      </c>
      <c r="U67" s="3">
        <v>54.37</v>
      </c>
      <c r="V67" s="3">
        <v>39.35</v>
      </c>
      <c r="W67" s="3">
        <v>66.239999999999995</v>
      </c>
      <c r="X67" s="3">
        <v>84.42</v>
      </c>
      <c r="Y67" s="3">
        <v>35.72</v>
      </c>
      <c r="Z67" s="3">
        <v>92.98</v>
      </c>
      <c r="AA67" s="3">
        <v>73.790000000000006</v>
      </c>
      <c r="AB67" s="3">
        <v>66.900000000000006</v>
      </c>
      <c r="AC67" s="3">
        <v>15.65</v>
      </c>
      <c r="AD67" s="3">
        <v>45.29</v>
      </c>
      <c r="AE67" s="3">
        <v>45.63</v>
      </c>
      <c r="AF67" s="3">
        <v>37.090000000000003</v>
      </c>
      <c r="AG67" s="3">
        <v>39.57</v>
      </c>
      <c r="AH67" s="3">
        <v>36.74</v>
      </c>
      <c r="AI67" s="3">
        <v>1.704</v>
      </c>
      <c r="AL67" s="3">
        <v>12</v>
      </c>
      <c r="AO67" s="3">
        <v>9.8000000000000007</v>
      </c>
      <c r="AP67" s="3">
        <f>71.4-10.7</f>
        <v>60.7</v>
      </c>
      <c r="AQ67" s="3">
        <v>65.099999999999994</v>
      </c>
      <c r="AR67" s="3">
        <v>46.8</v>
      </c>
      <c r="AS67" s="3">
        <v>20.5</v>
      </c>
      <c r="AT67" s="3" t="s">
        <v>144</v>
      </c>
      <c r="AU67" s="3" t="s">
        <v>144</v>
      </c>
    </row>
    <row r="68" spans="1:47" x14ac:dyDescent="0.2">
      <c r="A68" s="29">
        <v>67.000000000000171</v>
      </c>
      <c r="B68" s="3">
        <v>32</v>
      </c>
      <c r="C68" s="3">
        <v>22.67</v>
      </c>
      <c r="D68" s="31" t="s">
        <v>140</v>
      </c>
      <c r="E68" s="3" t="s">
        <v>141</v>
      </c>
      <c r="F68" s="3" t="s">
        <v>61</v>
      </c>
      <c r="H68" s="3" t="s">
        <v>157</v>
      </c>
      <c r="I68" s="32">
        <v>44594</v>
      </c>
      <c r="J68" s="3" t="s">
        <v>142</v>
      </c>
      <c r="K68" s="3" t="s">
        <v>145</v>
      </c>
      <c r="L68" s="3">
        <v>204</v>
      </c>
      <c r="N68" s="3">
        <v>205.2</v>
      </c>
      <c r="O68" s="3">
        <v>172.28</v>
      </c>
      <c r="P68" s="3">
        <v>195.96</v>
      </c>
      <c r="Q68" s="3">
        <v>41.36</v>
      </c>
      <c r="R68" s="3">
        <v>28.89</v>
      </c>
      <c r="S68" s="3">
        <v>115.59</v>
      </c>
      <c r="T68" s="3">
        <v>94.93</v>
      </c>
      <c r="U68" s="3">
        <v>71.83</v>
      </c>
      <c r="V68" s="3">
        <v>56.57</v>
      </c>
      <c r="W68" s="3">
        <v>76.91</v>
      </c>
      <c r="X68" s="3">
        <v>89.67</v>
      </c>
      <c r="Y68" s="3">
        <v>37.69</v>
      </c>
      <c r="Z68" s="3">
        <v>101.86</v>
      </c>
      <c r="AA68" s="3">
        <v>77.73</v>
      </c>
      <c r="AB68" s="3">
        <v>79.42</v>
      </c>
      <c r="AC68" s="3">
        <v>22.64</v>
      </c>
      <c r="AD68" s="3">
        <v>43.69</v>
      </c>
      <c r="AE68" s="3">
        <v>29.75</v>
      </c>
      <c r="AF68" s="3">
        <v>38.61</v>
      </c>
      <c r="AG68" s="3">
        <v>35.74</v>
      </c>
      <c r="AH68" s="3">
        <v>40.26</v>
      </c>
      <c r="AI68" s="3">
        <v>1.776</v>
      </c>
      <c r="AL68" s="3">
        <v>12</v>
      </c>
      <c r="AO68" s="3">
        <v>10.7</v>
      </c>
      <c r="AP68" s="3">
        <v>67.599999999999994</v>
      </c>
      <c r="AQ68" s="3">
        <v>64.2</v>
      </c>
      <c r="AR68" s="3">
        <v>47.1</v>
      </c>
      <c r="AS68" s="3">
        <v>21.1</v>
      </c>
      <c r="AT68" s="3" t="s">
        <v>144</v>
      </c>
      <c r="AU68" s="3" t="s">
        <v>144</v>
      </c>
    </row>
    <row r="69" spans="1:47" x14ac:dyDescent="0.2">
      <c r="A69" s="29">
        <v>67.999999999999972</v>
      </c>
      <c r="B69" s="3">
        <v>37</v>
      </c>
      <c r="C69" s="3">
        <v>22.68</v>
      </c>
      <c r="D69" s="31" t="s">
        <v>140</v>
      </c>
      <c r="E69" s="3" t="s">
        <v>141</v>
      </c>
      <c r="F69" s="3" t="s">
        <v>60</v>
      </c>
      <c r="H69" s="3" t="s">
        <v>60</v>
      </c>
      <c r="I69" s="32">
        <v>44599</v>
      </c>
      <c r="J69" s="3" t="s">
        <v>142</v>
      </c>
      <c r="K69" s="3" t="s">
        <v>145</v>
      </c>
      <c r="L69" s="3">
        <v>214.7</v>
      </c>
      <c r="N69" s="3">
        <v>216.1</v>
      </c>
      <c r="O69" s="3">
        <v>151.69</v>
      </c>
      <c r="P69" s="3">
        <v>160.02000000000001</v>
      </c>
      <c r="Q69" s="3">
        <v>28.64</v>
      </c>
      <c r="R69" s="3">
        <v>13.97</v>
      </c>
      <c r="S69" s="3">
        <v>110.31</v>
      </c>
      <c r="T69" s="3">
        <v>88.99</v>
      </c>
      <c r="U69" s="3">
        <v>69.84</v>
      </c>
      <c r="V69" s="3">
        <v>48.09</v>
      </c>
      <c r="W69" s="3">
        <v>75.58</v>
      </c>
      <c r="X69" s="3">
        <v>89.11</v>
      </c>
      <c r="Y69" s="3">
        <v>38.69</v>
      </c>
      <c r="Z69" s="3">
        <v>96.23</v>
      </c>
      <c r="AA69" s="3">
        <v>75.989999999999995</v>
      </c>
      <c r="AB69" s="3">
        <v>76.67</v>
      </c>
      <c r="AC69" s="3">
        <v>14.23</v>
      </c>
      <c r="AD69" s="3">
        <v>46.98</v>
      </c>
      <c r="AE69" s="3">
        <v>24.41</v>
      </c>
      <c r="AF69" s="3">
        <v>37.229999999999997</v>
      </c>
      <c r="AG69" s="3">
        <v>27.27</v>
      </c>
      <c r="AH69" s="3">
        <v>39.700000000000003</v>
      </c>
      <c r="AI69" s="3">
        <v>2.04</v>
      </c>
      <c r="AL69" s="3">
        <v>26</v>
      </c>
      <c r="AO69" s="3">
        <v>12.9</v>
      </c>
      <c r="AP69" s="3">
        <v>71</v>
      </c>
      <c r="AQ69" s="3">
        <v>50.1</v>
      </c>
      <c r="AR69" s="3">
        <v>52</v>
      </c>
      <c r="AS69" s="3">
        <v>24.2</v>
      </c>
      <c r="AT69" s="3" t="s">
        <v>144</v>
      </c>
      <c r="AU69" s="3" t="s">
        <v>144</v>
      </c>
    </row>
    <row r="70" spans="1:47" x14ac:dyDescent="0.2">
      <c r="A70" s="29">
        <v>69.000000000000128</v>
      </c>
      <c r="B70" s="3">
        <v>49</v>
      </c>
      <c r="C70" s="3">
        <v>22.69</v>
      </c>
      <c r="D70" s="31" t="s">
        <v>140</v>
      </c>
      <c r="E70" s="3" t="s">
        <v>141</v>
      </c>
      <c r="F70" s="17" t="s">
        <v>164</v>
      </c>
      <c r="H70" s="3" t="s">
        <v>165</v>
      </c>
      <c r="I70" s="32">
        <v>44611</v>
      </c>
      <c r="J70" s="3" t="s">
        <v>142</v>
      </c>
      <c r="K70" s="3" t="s">
        <v>166</v>
      </c>
      <c r="L70" s="3">
        <v>239.3</v>
      </c>
      <c r="N70" s="3">
        <v>238.3</v>
      </c>
      <c r="O70" s="3">
        <v>194.48</v>
      </c>
      <c r="P70" s="3">
        <v>230.54</v>
      </c>
      <c r="Q70" s="3">
        <v>45.25</v>
      </c>
      <c r="R70" s="3">
        <v>40.03</v>
      </c>
      <c r="S70" s="3">
        <v>132.41</v>
      </c>
      <c r="T70" s="3">
        <v>101.78</v>
      </c>
      <c r="U70" s="3">
        <v>68.78</v>
      </c>
      <c r="V70" s="3">
        <v>53.56</v>
      </c>
      <c r="W70" s="3">
        <v>75.44</v>
      </c>
      <c r="X70" s="3">
        <v>94.37</v>
      </c>
      <c r="Y70" s="3">
        <v>38.97</v>
      </c>
      <c r="Z70" s="3">
        <v>105.79</v>
      </c>
      <c r="AA70" s="3">
        <v>79.22</v>
      </c>
      <c r="AB70" s="3">
        <v>80.39</v>
      </c>
      <c r="AC70" s="3">
        <v>22.54</v>
      </c>
      <c r="AD70" s="3">
        <v>45.13</v>
      </c>
      <c r="AE70" s="3">
        <v>35.68</v>
      </c>
      <c r="AF70" s="3">
        <v>41.64</v>
      </c>
      <c r="AG70" s="3">
        <v>38.51</v>
      </c>
      <c r="AH70" s="3">
        <v>45.75</v>
      </c>
      <c r="AI70" s="3">
        <v>1.704</v>
      </c>
      <c r="AL70" s="3">
        <v>12</v>
      </c>
      <c r="AO70" s="3">
        <v>11.5</v>
      </c>
      <c r="AP70" s="3">
        <v>87.4</v>
      </c>
      <c r="AQ70" s="3">
        <v>66.599999999999994</v>
      </c>
      <c r="AR70" s="3">
        <v>55</v>
      </c>
      <c r="AS70" s="3">
        <v>24.7</v>
      </c>
      <c r="AT70" s="3" t="s">
        <v>144</v>
      </c>
      <c r="AU70" s="3" t="s">
        <v>144</v>
      </c>
    </row>
    <row r="71" spans="1:47" x14ac:dyDescent="0.2">
      <c r="A71" s="29">
        <v>69.999999999999929</v>
      </c>
      <c r="B71" s="3">
        <v>40</v>
      </c>
      <c r="C71" s="12" t="s">
        <v>167</v>
      </c>
      <c r="D71" s="31" t="s">
        <v>140</v>
      </c>
      <c r="E71" s="3" t="s">
        <v>141</v>
      </c>
      <c r="F71" s="3" t="s">
        <v>60</v>
      </c>
      <c r="H71" s="3" t="s">
        <v>60</v>
      </c>
      <c r="I71" s="32">
        <v>44604</v>
      </c>
      <c r="J71" s="3" t="s">
        <v>142</v>
      </c>
      <c r="K71" s="3" t="s">
        <v>166</v>
      </c>
      <c r="L71" s="3">
        <v>214.8</v>
      </c>
      <c r="N71" s="3">
        <v>214.3</v>
      </c>
      <c r="O71" s="3">
        <v>145.36000000000001</v>
      </c>
      <c r="P71" s="3">
        <v>159.84</v>
      </c>
      <c r="Q71" s="3">
        <v>30.21</v>
      </c>
      <c r="R71" s="3">
        <v>9.4600000000000009</v>
      </c>
      <c r="S71" s="3">
        <v>111.33</v>
      </c>
      <c r="T71" s="3">
        <v>90.95</v>
      </c>
      <c r="U71" s="3">
        <v>69.81</v>
      </c>
      <c r="V71" s="3">
        <v>46.41</v>
      </c>
      <c r="W71" s="3">
        <v>73.83</v>
      </c>
      <c r="X71" s="3">
        <v>90.14</v>
      </c>
      <c r="Y71" s="3">
        <v>39.630000000000003</v>
      </c>
      <c r="Z71" s="3">
        <v>96.22</v>
      </c>
      <c r="AA71" s="3">
        <v>75.59</v>
      </c>
      <c r="AB71" s="3">
        <v>76.67</v>
      </c>
      <c r="AC71" s="3">
        <v>13.42</v>
      </c>
      <c r="AD71" s="3">
        <v>46.41</v>
      </c>
      <c r="AE71" s="3">
        <v>23.57</v>
      </c>
      <c r="AF71" s="3">
        <v>38.96</v>
      </c>
      <c r="AG71" s="3">
        <v>35.369999999999997</v>
      </c>
      <c r="AH71" s="3">
        <v>42.83</v>
      </c>
      <c r="AI71" s="3">
        <v>1.956</v>
      </c>
      <c r="AL71" s="3">
        <v>17</v>
      </c>
      <c r="AO71" s="3">
        <v>11.3</v>
      </c>
      <c r="AP71" s="3">
        <v>77.5</v>
      </c>
      <c r="AQ71" s="3">
        <v>56.9</v>
      </c>
      <c r="AR71" s="3">
        <v>47.9</v>
      </c>
      <c r="AS71" s="3">
        <v>21.7</v>
      </c>
      <c r="AT71" s="3" t="s">
        <v>144</v>
      </c>
      <c r="AU71" s="3" t="s">
        <v>144</v>
      </c>
    </row>
    <row r="72" spans="1:47" x14ac:dyDescent="0.2">
      <c r="A72" s="29">
        <v>71.000000000000085</v>
      </c>
      <c r="B72" s="3">
        <v>55</v>
      </c>
      <c r="C72" s="3">
        <v>22.71</v>
      </c>
      <c r="D72" s="31" t="s">
        <v>140</v>
      </c>
      <c r="E72" s="3" t="s">
        <v>141</v>
      </c>
      <c r="F72" s="3" t="s">
        <v>61</v>
      </c>
      <c r="H72" s="3" t="s">
        <v>157</v>
      </c>
      <c r="I72" s="32">
        <v>44626</v>
      </c>
      <c r="J72" s="3" t="s">
        <v>142</v>
      </c>
      <c r="K72" s="3" t="s">
        <v>145</v>
      </c>
      <c r="L72" s="3">
        <v>194.8</v>
      </c>
      <c r="N72" s="3">
        <v>192.7</v>
      </c>
      <c r="O72" s="3">
        <v>184.25</v>
      </c>
      <c r="P72" s="3">
        <v>192.49</v>
      </c>
      <c r="Q72" s="3">
        <v>43.98</v>
      </c>
      <c r="R72" s="3">
        <v>28.86</v>
      </c>
      <c r="S72" s="3">
        <v>115.41</v>
      </c>
      <c r="T72" s="3">
        <v>88.76</v>
      </c>
      <c r="U72" s="3">
        <v>68.05</v>
      </c>
      <c r="V72" s="3">
        <v>52.89</v>
      </c>
      <c r="W72" s="3">
        <v>73.92</v>
      </c>
      <c r="X72" s="3">
        <v>89.39</v>
      </c>
      <c r="Y72" s="3">
        <v>38.369999999999997</v>
      </c>
      <c r="Z72" s="3">
        <v>99.73</v>
      </c>
      <c r="AA72" s="3">
        <v>73.540000000000006</v>
      </c>
      <c r="AB72" s="3">
        <v>78.75</v>
      </c>
      <c r="AC72" s="3">
        <v>25.59</v>
      </c>
      <c r="AD72" s="3">
        <v>42.33</v>
      </c>
      <c r="AE72" s="3">
        <v>32.68</v>
      </c>
      <c r="AF72" s="3">
        <v>38.28</v>
      </c>
      <c r="AG72" s="3">
        <v>34.43</v>
      </c>
      <c r="AH72" s="3">
        <v>38.56</v>
      </c>
      <c r="AL72" s="3">
        <v>6</v>
      </c>
      <c r="AO72" s="3">
        <f>15-3.1</f>
        <v>11.9</v>
      </c>
      <c r="AP72" s="3">
        <f>82.8-10.4</f>
        <v>72.399999999999991</v>
      </c>
      <c r="AQ72" s="3">
        <f>69-11</f>
        <v>58</v>
      </c>
      <c r="AR72" s="3">
        <v>39.5</v>
      </c>
      <c r="AS72" s="3">
        <v>17.3</v>
      </c>
      <c r="AT72" s="3" t="s">
        <v>144</v>
      </c>
      <c r="AU72" s="3" t="s">
        <v>144</v>
      </c>
    </row>
    <row r="73" spans="1:47" x14ac:dyDescent="0.2">
      <c r="A73" s="29">
        <v>71.999999999999886</v>
      </c>
      <c r="B73" s="3">
        <v>57</v>
      </c>
      <c r="C73" s="3">
        <v>22.72</v>
      </c>
      <c r="D73" s="31" t="s">
        <v>140</v>
      </c>
      <c r="E73" s="3" t="s">
        <v>141</v>
      </c>
      <c r="F73" s="17" t="s">
        <v>164</v>
      </c>
      <c r="H73" s="3" t="s">
        <v>165</v>
      </c>
      <c r="I73" s="32">
        <v>44628</v>
      </c>
      <c r="J73" s="3" t="s">
        <v>142</v>
      </c>
      <c r="K73" s="3" t="s">
        <v>145</v>
      </c>
      <c r="L73" s="3">
        <v>237.2</v>
      </c>
      <c r="N73" s="3">
        <v>234.7</v>
      </c>
      <c r="O73" s="3">
        <v>176.06</v>
      </c>
      <c r="P73" s="3">
        <v>201.46</v>
      </c>
      <c r="Q73" s="3">
        <v>44.01</v>
      </c>
      <c r="R73" s="3">
        <v>26.67</v>
      </c>
      <c r="S73" s="3">
        <v>121.93</v>
      </c>
      <c r="T73" s="3">
        <v>91.74</v>
      </c>
      <c r="U73" s="3">
        <v>70.42</v>
      </c>
      <c r="V73" s="3">
        <v>52.44</v>
      </c>
      <c r="W73" s="3">
        <v>78.569999999999993</v>
      </c>
      <c r="X73" s="3">
        <v>94.49</v>
      </c>
      <c r="Y73" s="3">
        <v>41.88</v>
      </c>
      <c r="Z73" s="3">
        <v>104.27</v>
      </c>
      <c r="AA73" s="3">
        <v>77.98</v>
      </c>
      <c r="AB73" s="3">
        <v>83.71</v>
      </c>
      <c r="AC73" s="3">
        <v>25.72</v>
      </c>
      <c r="AD73" s="3">
        <v>45.67</v>
      </c>
      <c r="AE73" s="3">
        <v>28.14</v>
      </c>
      <c r="AF73" s="3">
        <v>40.380000000000003</v>
      </c>
      <c r="AG73" s="3">
        <v>36.979999999999997</v>
      </c>
      <c r="AH73" s="3">
        <v>41.03</v>
      </c>
      <c r="AL73" s="3">
        <v>13</v>
      </c>
      <c r="AO73" s="3">
        <f>12.3-3.3</f>
        <v>9</v>
      </c>
      <c r="AP73" s="3">
        <v>102.9</v>
      </c>
      <c r="AQ73" s="3">
        <v>47</v>
      </c>
      <c r="AR73" s="3">
        <v>54.3</v>
      </c>
      <c r="AS73" s="3">
        <v>23.4</v>
      </c>
      <c r="AT73" s="3" t="s">
        <v>144</v>
      </c>
      <c r="AU73" s="3" t="s">
        <v>144</v>
      </c>
    </row>
    <row r="74" spans="1:47" s="21" customFormat="1" x14ac:dyDescent="0.2">
      <c r="A74" s="39">
        <v>73.000000000000043</v>
      </c>
      <c r="B74" s="21">
        <v>340</v>
      </c>
      <c r="C74" s="21">
        <v>22.73</v>
      </c>
      <c r="D74" s="40" t="s">
        <v>168</v>
      </c>
      <c r="E74" s="19" t="s">
        <v>169</v>
      </c>
      <c r="F74" s="3" t="s">
        <v>170</v>
      </c>
      <c r="G74" s="19"/>
      <c r="H74" s="18" t="s">
        <v>171</v>
      </c>
      <c r="I74" s="42">
        <v>44570</v>
      </c>
      <c r="J74" s="21" t="s">
        <v>142</v>
      </c>
      <c r="K74" s="21" t="s">
        <v>143</v>
      </c>
      <c r="AT74" s="21" t="s">
        <v>168</v>
      </c>
    </row>
    <row r="75" spans="1:47" x14ac:dyDescent="0.2">
      <c r="A75" s="29">
        <v>73.999999999999844</v>
      </c>
      <c r="B75" s="3">
        <v>33</v>
      </c>
      <c r="C75" s="3">
        <v>22.74</v>
      </c>
      <c r="D75" s="31" t="s">
        <v>140</v>
      </c>
      <c r="E75" s="3" t="s">
        <v>141</v>
      </c>
      <c r="F75" s="3" t="s">
        <v>61</v>
      </c>
      <c r="G75" s="3" t="s">
        <v>61</v>
      </c>
      <c r="H75" s="3" t="s">
        <v>61</v>
      </c>
      <c r="I75" s="32">
        <v>44597</v>
      </c>
      <c r="J75" s="3" t="s">
        <v>142</v>
      </c>
      <c r="K75" s="3" t="s">
        <v>143</v>
      </c>
      <c r="L75" s="3">
        <v>243.3</v>
      </c>
      <c r="N75" s="3">
        <v>254.63</v>
      </c>
      <c r="O75" s="3">
        <v>172.98</v>
      </c>
      <c r="P75" s="3">
        <v>186.09</v>
      </c>
      <c r="Q75" s="3">
        <v>43.44</v>
      </c>
      <c r="R75" s="3">
        <v>23.81</v>
      </c>
      <c r="S75" s="3">
        <v>114.84</v>
      </c>
      <c r="T75" s="3">
        <v>92.96</v>
      </c>
      <c r="U75" s="3">
        <v>57.68</v>
      </c>
      <c r="V75" s="3">
        <v>43.63</v>
      </c>
      <c r="W75" s="3">
        <v>71.63</v>
      </c>
      <c r="X75" s="3">
        <v>83.84</v>
      </c>
      <c r="Y75" s="3">
        <v>33.29</v>
      </c>
      <c r="Z75" s="3">
        <v>95.35</v>
      </c>
      <c r="AA75" s="3">
        <v>80</v>
      </c>
      <c r="AB75" s="3">
        <v>64.98</v>
      </c>
      <c r="AC75" s="3">
        <v>17.18</v>
      </c>
      <c r="AD75" s="3">
        <v>52.19</v>
      </c>
      <c r="AE75" s="3">
        <v>38</v>
      </c>
      <c r="AF75" s="3">
        <v>34.15</v>
      </c>
      <c r="AG75" s="3">
        <v>40</v>
      </c>
      <c r="AH75" s="3">
        <v>38.090000000000003</v>
      </c>
      <c r="AI75" s="3">
        <v>1.2869999999999999</v>
      </c>
      <c r="AJ75" s="3">
        <v>51.19</v>
      </c>
      <c r="AK75" s="3" t="s">
        <v>172</v>
      </c>
      <c r="AN75" s="3">
        <v>103</v>
      </c>
      <c r="AT75" s="3" t="s">
        <v>146</v>
      </c>
      <c r="AU75" s="3" t="s">
        <v>144</v>
      </c>
    </row>
    <row r="76" spans="1:47" x14ac:dyDescent="0.2">
      <c r="A76" s="29">
        <v>75</v>
      </c>
      <c r="B76" s="3">
        <v>47</v>
      </c>
      <c r="C76" s="3">
        <v>22.75</v>
      </c>
      <c r="D76" s="31" t="s">
        <v>140</v>
      </c>
      <c r="E76" s="3" t="s">
        <v>141</v>
      </c>
      <c r="F76" s="3" t="s">
        <v>61</v>
      </c>
      <c r="H76" s="3" t="s">
        <v>157</v>
      </c>
      <c r="I76" s="32">
        <v>44611</v>
      </c>
      <c r="J76" s="3" t="s">
        <v>142</v>
      </c>
      <c r="K76" s="3" t="s">
        <v>143</v>
      </c>
      <c r="N76" s="3">
        <v>276.2</v>
      </c>
      <c r="O76" s="3">
        <v>196.8</v>
      </c>
      <c r="P76" s="3">
        <v>197.27</v>
      </c>
      <c r="Q76" s="3">
        <v>46.1</v>
      </c>
      <c r="R76" s="3">
        <v>27.41</v>
      </c>
      <c r="S76" s="3">
        <v>125.61</v>
      </c>
      <c r="T76" s="3">
        <v>100.27</v>
      </c>
      <c r="U76" s="3">
        <v>58.54</v>
      </c>
      <c r="V76" s="3">
        <v>41.3</v>
      </c>
      <c r="W76" s="3">
        <v>68.28</v>
      </c>
      <c r="X76" s="3">
        <v>84.73</v>
      </c>
      <c r="Y76" s="3">
        <v>35.729999999999997</v>
      </c>
      <c r="Z76" s="3">
        <v>94.18</v>
      </c>
      <c r="AA76" s="3">
        <v>78.900000000000006</v>
      </c>
      <c r="AB76" s="3">
        <v>70.41</v>
      </c>
      <c r="AC76" s="3">
        <v>17.55</v>
      </c>
      <c r="AD76" s="3">
        <v>55.35</v>
      </c>
      <c r="AE76" s="3">
        <v>43.68</v>
      </c>
      <c r="AF76" s="3">
        <v>43.53</v>
      </c>
      <c r="AG76" s="3">
        <v>38.33</v>
      </c>
      <c r="AH76" s="3">
        <v>39.31</v>
      </c>
      <c r="AI76" s="3">
        <v>1.226</v>
      </c>
      <c r="AJ76" s="3">
        <v>32.43</v>
      </c>
      <c r="AK76" s="3" t="s">
        <v>172</v>
      </c>
      <c r="AN76" s="3">
        <v>139</v>
      </c>
      <c r="AT76" s="3" t="s">
        <v>146</v>
      </c>
      <c r="AU76" s="3" t="s">
        <v>144</v>
      </c>
    </row>
    <row r="77" spans="1:47" x14ac:dyDescent="0.2">
      <c r="A77" s="29">
        <v>76.000000000000156</v>
      </c>
      <c r="B77" s="3">
        <v>43</v>
      </c>
      <c r="C77" s="3">
        <v>22.76</v>
      </c>
      <c r="D77" s="31" t="s">
        <v>140</v>
      </c>
      <c r="E77" s="3" t="s">
        <v>141</v>
      </c>
      <c r="F77" s="3" t="s">
        <v>61</v>
      </c>
      <c r="H77" s="3" t="s">
        <v>157</v>
      </c>
      <c r="I77" s="32">
        <v>44607</v>
      </c>
      <c r="J77" s="3" t="s">
        <v>142</v>
      </c>
      <c r="K77" s="3" t="s">
        <v>143</v>
      </c>
      <c r="L77" s="3">
        <v>255.2</v>
      </c>
      <c r="N77" s="3">
        <v>262.60000000000002</v>
      </c>
      <c r="O77" s="3">
        <v>187.8</v>
      </c>
      <c r="P77" s="3">
        <v>199.62</v>
      </c>
      <c r="Q77" s="3">
        <v>42.28</v>
      </c>
      <c r="R77" s="3">
        <v>29.45</v>
      </c>
      <c r="S77" s="3">
        <v>121.33</v>
      </c>
      <c r="T77" s="3">
        <v>94.92</v>
      </c>
      <c r="U77" s="3">
        <v>69.73</v>
      </c>
      <c r="V77" s="3">
        <v>55.39</v>
      </c>
      <c r="W77" s="3">
        <v>76.489999999999995</v>
      </c>
      <c r="X77" s="3">
        <v>90.09</v>
      </c>
      <c r="Y77" s="3">
        <v>40.43</v>
      </c>
      <c r="Z77" s="3">
        <v>103</v>
      </c>
      <c r="AA77" s="3">
        <v>84.37</v>
      </c>
      <c r="AB77" s="3">
        <v>79.97</v>
      </c>
      <c r="AC77" s="3">
        <v>24.66</v>
      </c>
      <c r="AD77" s="3">
        <v>51.47</v>
      </c>
      <c r="AE77" s="3">
        <v>46.01</v>
      </c>
      <c r="AF77" s="3">
        <v>39.630000000000003</v>
      </c>
      <c r="AG77" s="3">
        <v>34.94</v>
      </c>
      <c r="AH77" s="3">
        <v>46.3</v>
      </c>
      <c r="AI77" s="3">
        <v>1.288</v>
      </c>
      <c r="AJ77" s="3">
        <v>57.12</v>
      </c>
      <c r="AK77" s="3" t="s">
        <v>172</v>
      </c>
      <c r="AN77" s="3">
        <v>113</v>
      </c>
      <c r="AT77" s="3" t="s">
        <v>146</v>
      </c>
      <c r="AU77" s="3" t="s">
        <v>144</v>
      </c>
    </row>
    <row r="78" spans="1:47" x14ac:dyDescent="0.2">
      <c r="A78" s="29">
        <v>76.999999999999957</v>
      </c>
      <c r="B78" s="3">
        <v>48</v>
      </c>
      <c r="C78" s="3">
        <v>22.77</v>
      </c>
      <c r="D78" s="31" t="s">
        <v>140</v>
      </c>
      <c r="E78" s="3" t="s">
        <v>141</v>
      </c>
      <c r="F78" s="17" t="s">
        <v>164</v>
      </c>
      <c r="H78" s="3" t="s">
        <v>165</v>
      </c>
      <c r="I78" s="32">
        <v>44611</v>
      </c>
      <c r="J78" s="3" t="s">
        <v>142</v>
      </c>
      <c r="K78" s="3" t="s">
        <v>143</v>
      </c>
      <c r="N78" s="3">
        <v>287.54000000000002</v>
      </c>
      <c r="O78" s="3">
        <v>184.74</v>
      </c>
      <c r="P78" s="3">
        <v>206.67</v>
      </c>
      <c r="Q78" s="3">
        <v>43.96</v>
      </c>
      <c r="R78" s="3">
        <v>28.98</v>
      </c>
      <c r="S78" s="3">
        <v>124.58</v>
      </c>
      <c r="T78" s="3">
        <v>99.72</v>
      </c>
      <c r="U78" s="3">
        <v>70.900000000000006</v>
      </c>
      <c r="V78" s="3">
        <v>54.18</v>
      </c>
      <c r="W78" s="3">
        <v>75.930000000000007</v>
      </c>
      <c r="X78" s="3">
        <v>90.25</v>
      </c>
      <c r="Y78" s="3">
        <v>40.130000000000003</v>
      </c>
      <c r="Z78" s="3">
        <v>103.65</v>
      </c>
      <c r="AA78" s="3">
        <v>84.37</v>
      </c>
      <c r="AB78" s="3">
        <v>81.599999999999994</v>
      </c>
      <c r="AC78" s="3">
        <v>22.36</v>
      </c>
      <c r="AD78" s="3">
        <v>51.03</v>
      </c>
      <c r="AE78" s="3">
        <v>32.590000000000003</v>
      </c>
      <c r="AF78" s="3">
        <v>40.270000000000003</v>
      </c>
      <c r="AG78" s="3">
        <v>40.159999999999997</v>
      </c>
      <c r="AH78" s="3">
        <v>44.49</v>
      </c>
      <c r="AI78" s="3">
        <v>1.36</v>
      </c>
      <c r="AJ78" s="3">
        <v>55.94</v>
      </c>
      <c r="AK78" s="3" t="s">
        <v>173</v>
      </c>
      <c r="AM78" s="3">
        <v>38</v>
      </c>
      <c r="AN78" s="3">
        <v>38</v>
      </c>
      <c r="AT78" s="3" t="s">
        <v>146</v>
      </c>
      <c r="AU78" s="3" t="s">
        <v>144</v>
      </c>
    </row>
    <row r="79" spans="1:47" x14ac:dyDescent="0.2">
      <c r="A79" s="29">
        <v>78.000000000000114</v>
      </c>
      <c r="B79" s="3">
        <v>46</v>
      </c>
      <c r="C79" s="3">
        <v>22.78</v>
      </c>
      <c r="D79" s="31" t="s">
        <v>140</v>
      </c>
      <c r="E79" s="3" t="s">
        <v>141</v>
      </c>
      <c r="F79" s="17" t="s">
        <v>164</v>
      </c>
      <c r="H79" s="3" t="s">
        <v>165</v>
      </c>
      <c r="I79" s="32">
        <v>44610</v>
      </c>
      <c r="J79" s="3" t="s">
        <v>142</v>
      </c>
      <c r="K79" s="3" t="s">
        <v>143</v>
      </c>
      <c r="N79" s="3">
        <v>270.69</v>
      </c>
      <c r="O79" s="3">
        <v>177.22</v>
      </c>
      <c r="P79" s="3">
        <v>201.05</v>
      </c>
      <c r="Q79" s="3">
        <v>40.93</v>
      </c>
      <c r="R79" s="3">
        <v>29.77</v>
      </c>
      <c r="S79" s="3">
        <v>119.33</v>
      </c>
      <c r="T79" s="3">
        <v>98.05</v>
      </c>
      <c r="U79" s="3">
        <v>69.010000000000005</v>
      </c>
      <c r="V79" s="3">
        <v>54.71</v>
      </c>
      <c r="W79" s="3">
        <v>77.3</v>
      </c>
      <c r="X79" s="3">
        <v>90.47</v>
      </c>
      <c r="Y79" s="3">
        <v>39.17</v>
      </c>
      <c r="Z79" s="3">
        <v>104.37</v>
      </c>
      <c r="AA79" s="3">
        <v>85.94</v>
      </c>
      <c r="AB79" s="3">
        <v>81.349999999999994</v>
      </c>
      <c r="AC79" s="3">
        <v>23.63</v>
      </c>
      <c r="AD79" s="3">
        <v>50.82</v>
      </c>
      <c r="AE79" s="3">
        <v>32.9</v>
      </c>
      <c r="AF79" s="3">
        <v>39.22</v>
      </c>
      <c r="AG79" s="3">
        <v>33.409999999999997</v>
      </c>
      <c r="AH79" s="3">
        <v>38.869999999999997</v>
      </c>
      <c r="AI79" s="3">
        <v>1.3460000000000001</v>
      </c>
      <c r="AJ79" s="3">
        <v>53.47</v>
      </c>
      <c r="AK79" s="3" t="s">
        <v>173</v>
      </c>
      <c r="AM79" s="3">
        <v>34</v>
      </c>
      <c r="AN79" s="3">
        <v>47</v>
      </c>
      <c r="AT79" s="3" t="s">
        <v>146</v>
      </c>
      <c r="AU79" s="3" t="s">
        <v>144</v>
      </c>
    </row>
    <row r="80" spans="1:47" x14ac:dyDescent="0.2">
      <c r="A80" s="29">
        <v>78.999999999999915</v>
      </c>
      <c r="B80" s="3">
        <v>34</v>
      </c>
      <c r="C80" s="3">
        <v>22.79</v>
      </c>
      <c r="D80" s="31" t="s">
        <v>140</v>
      </c>
      <c r="E80" s="3" t="s">
        <v>141</v>
      </c>
      <c r="F80" s="3" t="s">
        <v>61</v>
      </c>
      <c r="H80" s="3" t="s">
        <v>157</v>
      </c>
      <c r="I80" s="32">
        <v>44597</v>
      </c>
      <c r="J80" s="3" t="s">
        <v>142</v>
      </c>
      <c r="K80" s="3" t="s">
        <v>143</v>
      </c>
      <c r="L80" s="3">
        <v>246.2</v>
      </c>
      <c r="N80" s="3">
        <v>264.08</v>
      </c>
      <c r="O80" s="3">
        <v>176.77</v>
      </c>
      <c r="P80" s="3">
        <v>194.87</v>
      </c>
      <c r="Q80" s="3">
        <v>48.03</v>
      </c>
      <c r="R80" s="3">
        <v>23.2</v>
      </c>
      <c r="S80" s="3">
        <v>120.68</v>
      </c>
      <c r="T80" s="3">
        <v>97.87</v>
      </c>
      <c r="U80" s="3">
        <v>61.02</v>
      </c>
      <c r="V80" s="3">
        <v>40.99</v>
      </c>
      <c r="W80" s="3">
        <v>65.44</v>
      </c>
      <c r="X80" s="3">
        <v>84.18</v>
      </c>
      <c r="Y80" s="3">
        <v>36.24</v>
      </c>
      <c r="Z80" s="3">
        <v>94.22</v>
      </c>
      <c r="AA80" s="3">
        <v>79.2</v>
      </c>
      <c r="AB80" s="3">
        <v>66.459999999999994</v>
      </c>
      <c r="AC80" s="3">
        <v>16.75</v>
      </c>
      <c r="AD80" s="3">
        <v>52.93</v>
      </c>
      <c r="AE80" s="3">
        <v>34.89</v>
      </c>
      <c r="AF80" s="3">
        <v>37.869999999999997</v>
      </c>
      <c r="AG80" s="3">
        <v>39.130000000000003</v>
      </c>
      <c r="AH80" s="3">
        <v>37.28</v>
      </c>
      <c r="AI80" s="3">
        <v>1.3120000000000001</v>
      </c>
      <c r="AJ80" s="3">
        <v>57.09</v>
      </c>
      <c r="AK80" s="3" t="s">
        <v>172</v>
      </c>
      <c r="AN80" s="3">
        <v>104</v>
      </c>
      <c r="AT80" s="3" t="s">
        <v>146</v>
      </c>
      <c r="AU80" s="3" t="s">
        <v>144</v>
      </c>
    </row>
    <row r="81" spans="1:47" x14ac:dyDescent="0.2">
      <c r="A81" s="29">
        <v>80.000000000000071</v>
      </c>
      <c r="B81" s="3">
        <v>38</v>
      </c>
      <c r="C81" s="6">
        <v>22.8</v>
      </c>
      <c r="D81" s="31" t="s">
        <v>140</v>
      </c>
      <c r="E81" s="3" t="s">
        <v>141</v>
      </c>
      <c r="F81" s="3" t="s">
        <v>60</v>
      </c>
      <c r="H81" s="3" t="s">
        <v>60</v>
      </c>
      <c r="I81" s="32">
        <v>44600</v>
      </c>
      <c r="J81" s="3" t="s">
        <v>142</v>
      </c>
      <c r="K81" s="3" t="s">
        <v>143</v>
      </c>
      <c r="L81" s="3">
        <v>280.2</v>
      </c>
      <c r="N81" s="3">
        <v>291.5</v>
      </c>
      <c r="O81" s="3">
        <v>154.66</v>
      </c>
      <c r="P81" s="3">
        <v>173.47</v>
      </c>
      <c r="Q81" s="3">
        <v>30.24</v>
      </c>
      <c r="R81" s="3">
        <v>11.95</v>
      </c>
      <c r="S81" s="3">
        <v>119.58</v>
      </c>
      <c r="T81" s="3">
        <v>99.12</v>
      </c>
      <c r="U81" s="3">
        <v>66.290000000000006</v>
      </c>
      <c r="V81" s="3">
        <v>52.24</v>
      </c>
      <c r="W81" s="3">
        <v>72.92</v>
      </c>
      <c r="X81" s="3">
        <v>88.92</v>
      </c>
      <c r="Y81" s="3">
        <v>40</v>
      </c>
      <c r="Z81" s="3">
        <v>99.86</v>
      </c>
      <c r="AA81" s="3">
        <v>83.73</v>
      </c>
      <c r="AB81" s="3">
        <v>74.55</v>
      </c>
      <c r="AC81" s="3">
        <v>17.16</v>
      </c>
      <c r="AD81" s="3">
        <v>52.66</v>
      </c>
      <c r="AE81" s="3">
        <v>23.64</v>
      </c>
      <c r="AF81" s="3">
        <v>36.270000000000003</v>
      </c>
      <c r="AG81" s="3">
        <v>26.86</v>
      </c>
      <c r="AH81" s="3">
        <v>41.53</v>
      </c>
      <c r="AI81" s="3">
        <v>1.71</v>
      </c>
      <c r="AJ81" s="3">
        <v>72.41</v>
      </c>
      <c r="AK81" s="3" t="s">
        <v>172</v>
      </c>
      <c r="AN81" s="3">
        <v>114</v>
      </c>
      <c r="AT81" s="3" t="s">
        <v>146</v>
      </c>
      <c r="AU81" s="3" t="s">
        <v>144</v>
      </c>
    </row>
    <row r="82" spans="1:47" x14ac:dyDescent="0.2">
      <c r="A82" s="29">
        <v>80.999999999999872</v>
      </c>
      <c r="B82" s="3">
        <v>26</v>
      </c>
      <c r="C82" s="3">
        <v>22.81</v>
      </c>
      <c r="D82" s="31" t="s">
        <v>140</v>
      </c>
      <c r="E82" s="3" t="s">
        <v>141</v>
      </c>
      <c r="F82" s="17" t="s">
        <v>164</v>
      </c>
      <c r="H82" s="3" t="s">
        <v>165</v>
      </c>
      <c r="I82" s="32">
        <v>44590</v>
      </c>
      <c r="J82" s="3" t="s">
        <v>142</v>
      </c>
      <c r="K82" s="3" t="s">
        <v>143</v>
      </c>
      <c r="L82" s="3">
        <v>254.9</v>
      </c>
      <c r="N82" s="3">
        <v>271.69</v>
      </c>
      <c r="O82" s="3">
        <v>185.58</v>
      </c>
      <c r="P82" s="3">
        <v>194.17</v>
      </c>
      <c r="Q82" s="3">
        <v>43.9</v>
      </c>
      <c r="R82" s="3">
        <v>32.51</v>
      </c>
      <c r="S82" s="3">
        <v>117.9</v>
      </c>
      <c r="T82" s="3">
        <v>100.92</v>
      </c>
      <c r="U82" s="3">
        <v>69.53</v>
      </c>
      <c r="V82" s="3">
        <v>55.58</v>
      </c>
      <c r="W82" s="3">
        <v>80.11</v>
      </c>
      <c r="X82" s="3">
        <v>91.72</v>
      </c>
      <c r="Y82" s="3">
        <v>37.340000000000003</v>
      </c>
      <c r="Z82" s="3">
        <v>102.74</v>
      </c>
      <c r="AA82" s="3">
        <v>84.97</v>
      </c>
      <c r="AB82" s="3">
        <v>73.69</v>
      </c>
      <c r="AC82" s="3">
        <v>23.52</v>
      </c>
      <c r="AD82" s="3">
        <v>51.5</v>
      </c>
      <c r="AE82" s="3">
        <v>31.63</v>
      </c>
      <c r="AF82" s="3">
        <v>38.979999999999997</v>
      </c>
      <c r="AG82" s="3">
        <v>31.73</v>
      </c>
      <c r="AH82" s="3">
        <v>41.68</v>
      </c>
      <c r="AI82" s="3">
        <v>1.3839999999999999</v>
      </c>
      <c r="AJ82" s="3">
        <v>53.84</v>
      </c>
      <c r="AK82" s="3" t="s">
        <v>172</v>
      </c>
      <c r="AN82" s="3">
        <v>121</v>
      </c>
      <c r="AT82" s="3" t="s">
        <v>146</v>
      </c>
      <c r="AU82" s="3" t="s">
        <v>144</v>
      </c>
    </row>
    <row r="83" spans="1:47" x14ac:dyDescent="0.2">
      <c r="A83" s="29">
        <v>82.000000000000028</v>
      </c>
      <c r="B83" s="3">
        <v>28</v>
      </c>
      <c r="C83" s="3">
        <v>22.82</v>
      </c>
      <c r="D83" s="31" t="s">
        <v>140</v>
      </c>
      <c r="E83" s="3" t="s">
        <v>141</v>
      </c>
      <c r="F83" s="17" t="s">
        <v>164</v>
      </c>
      <c r="H83" s="3" t="s">
        <v>165</v>
      </c>
      <c r="I83" s="32">
        <v>44593</v>
      </c>
      <c r="J83" s="3" t="s">
        <v>142</v>
      </c>
      <c r="K83" s="3" t="s">
        <v>143</v>
      </c>
      <c r="L83" s="3">
        <v>265.60000000000002</v>
      </c>
      <c r="N83" s="3">
        <v>271.98</v>
      </c>
      <c r="O83" s="3">
        <v>189.96</v>
      </c>
      <c r="P83" s="3">
        <v>198.11</v>
      </c>
      <c r="Q83" s="3">
        <v>43.88</v>
      </c>
      <c r="R83" s="3">
        <v>28.97</v>
      </c>
      <c r="S83" s="3">
        <v>121.98</v>
      </c>
      <c r="T83" s="3">
        <v>103.38</v>
      </c>
      <c r="U83" s="3">
        <v>71.72</v>
      </c>
      <c r="V83" s="3">
        <v>57.63</v>
      </c>
      <c r="W83" s="3">
        <v>78.72</v>
      </c>
      <c r="X83" s="3">
        <v>92.09</v>
      </c>
      <c r="Y83" s="3">
        <v>40.72</v>
      </c>
      <c r="Z83" s="3">
        <v>103.12</v>
      </c>
      <c r="AA83" s="3">
        <v>85.26</v>
      </c>
      <c r="AB83" s="3">
        <v>78.11</v>
      </c>
      <c r="AC83" s="3">
        <v>22.46</v>
      </c>
      <c r="AD83" s="3">
        <v>52.33</v>
      </c>
      <c r="AE83" s="3">
        <v>29.58</v>
      </c>
      <c r="AF83" s="3">
        <v>39.200000000000003</v>
      </c>
      <c r="AG83" s="3">
        <v>33.89</v>
      </c>
      <c r="AH83" s="3">
        <v>40.25</v>
      </c>
      <c r="AI83" s="3">
        <v>1.42</v>
      </c>
      <c r="AJ83" s="3">
        <v>52.23</v>
      </c>
      <c r="AK83" s="3" t="s">
        <v>173</v>
      </c>
      <c r="AM83" s="3">
        <v>48</v>
      </c>
      <c r="AN83" s="3">
        <v>14</v>
      </c>
      <c r="AT83" s="3" t="s">
        <v>146</v>
      </c>
      <c r="AU83" s="3" t="s">
        <v>144</v>
      </c>
    </row>
    <row r="84" spans="1:47" x14ac:dyDescent="0.2">
      <c r="A84" s="29">
        <v>82.999999999999829</v>
      </c>
      <c r="B84" s="43">
        <v>133</v>
      </c>
      <c r="C84" s="3">
        <v>22.83</v>
      </c>
      <c r="D84" s="36" t="s">
        <v>151</v>
      </c>
      <c r="E84" s="3" t="s">
        <v>152</v>
      </c>
      <c r="F84" s="3" t="s">
        <v>153</v>
      </c>
      <c r="H84" s="3" t="s">
        <v>89</v>
      </c>
      <c r="I84" s="32">
        <v>44590</v>
      </c>
      <c r="J84" s="3" t="s">
        <v>142</v>
      </c>
      <c r="K84" s="3" t="s">
        <v>143</v>
      </c>
      <c r="L84" s="3">
        <v>290</v>
      </c>
      <c r="M84" s="21"/>
      <c r="N84" s="3">
        <v>292.35000000000002</v>
      </c>
      <c r="O84" s="3">
        <v>167.88</v>
      </c>
      <c r="P84" s="3">
        <v>176.72</v>
      </c>
      <c r="Q84" s="3">
        <v>34.22</v>
      </c>
      <c r="R84" s="3">
        <v>16.79</v>
      </c>
      <c r="S84" s="3">
        <v>118.09</v>
      </c>
      <c r="T84" s="3">
        <v>104.25</v>
      </c>
      <c r="U84" s="6">
        <v>59.79</v>
      </c>
      <c r="V84" s="6">
        <v>49.91</v>
      </c>
      <c r="W84" s="6">
        <v>65.14</v>
      </c>
      <c r="X84" s="6">
        <v>89.05</v>
      </c>
      <c r="Y84" s="6">
        <v>40.69</v>
      </c>
      <c r="Z84" s="6">
        <v>105.52</v>
      </c>
      <c r="AA84" s="6">
        <v>92.26</v>
      </c>
      <c r="AB84" s="6">
        <v>76.3</v>
      </c>
      <c r="AC84" s="6">
        <v>17.600000000000001</v>
      </c>
      <c r="AD84" s="6">
        <v>55.66</v>
      </c>
      <c r="AE84" s="3">
        <v>24.25</v>
      </c>
      <c r="AF84" s="3">
        <v>38.880000000000003</v>
      </c>
      <c r="AG84" s="3">
        <v>32.979999999999997</v>
      </c>
      <c r="AH84" s="3">
        <v>36.71</v>
      </c>
      <c r="AI84" s="3">
        <v>1.3160000000000001</v>
      </c>
      <c r="AJ84" s="3">
        <v>57.2</v>
      </c>
      <c r="AK84" s="3" t="s">
        <v>172</v>
      </c>
      <c r="AN84" s="3">
        <v>124</v>
      </c>
      <c r="AT84" s="3" t="s">
        <v>146</v>
      </c>
      <c r="AU84" s="3" t="s">
        <v>174</v>
      </c>
    </row>
    <row r="85" spans="1:47" x14ac:dyDescent="0.2">
      <c r="A85" s="29">
        <v>83.999999999999986</v>
      </c>
      <c r="B85" s="43">
        <v>134</v>
      </c>
      <c r="C85" s="3">
        <v>22.84</v>
      </c>
      <c r="D85" s="36" t="s">
        <v>151</v>
      </c>
      <c r="E85" s="3" t="s">
        <v>152</v>
      </c>
      <c r="F85" s="3" t="s">
        <v>153</v>
      </c>
      <c r="H85" s="3" t="s">
        <v>89</v>
      </c>
      <c r="I85" s="32">
        <v>44590</v>
      </c>
      <c r="J85" s="3" t="s">
        <v>142</v>
      </c>
      <c r="K85" s="3" t="s">
        <v>143</v>
      </c>
      <c r="L85" s="3">
        <v>286</v>
      </c>
      <c r="M85" s="21"/>
      <c r="N85" s="3">
        <v>289.14999999999998</v>
      </c>
      <c r="O85" s="3">
        <v>174.09</v>
      </c>
      <c r="P85" s="3">
        <v>175.35</v>
      </c>
      <c r="Q85" s="3">
        <v>34.700000000000003</v>
      </c>
      <c r="R85" s="3">
        <v>18.62</v>
      </c>
      <c r="S85" s="3">
        <v>120.4</v>
      </c>
      <c r="T85" s="3">
        <v>102.65</v>
      </c>
      <c r="U85" s="6">
        <v>58.22</v>
      </c>
      <c r="V85" s="6">
        <v>45.36</v>
      </c>
      <c r="W85" s="6">
        <v>61.95</v>
      </c>
      <c r="X85" s="6">
        <v>82.1</v>
      </c>
      <c r="Y85" s="6">
        <v>40.06</v>
      </c>
      <c r="Z85" s="6">
        <v>101.61</v>
      </c>
      <c r="AA85" s="6">
        <v>88.48</v>
      </c>
      <c r="AB85" s="6">
        <v>74.760000000000005</v>
      </c>
      <c r="AC85" s="6">
        <v>14.54</v>
      </c>
      <c r="AD85" s="6">
        <v>56.81</v>
      </c>
      <c r="AE85" s="3">
        <v>30.64</v>
      </c>
      <c r="AF85" s="3">
        <v>40.200000000000003</v>
      </c>
      <c r="AG85" s="3">
        <v>32.19</v>
      </c>
      <c r="AH85" s="3">
        <v>34.549999999999997</v>
      </c>
      <c r="AI85" s="3">
        <v>1.4570000000000001</v>
      </c>
      <c r="AJ85" s="3">
        <v>47.17</v>
      </c>
      <c r="AK85" s="3" t="s">
        <v>173</v>
      </c>
      <c r="AM85" s="3">
        <v>60</v>
      </c>
      <c r="AN85" s="3">
        <v>50</v>
      </c>
      <c r="AT85" s="3" t="s">
        <v>146</v>
      </c>
      <c r="AU85" s="3" t="s">
        <v>174</v>
      </c>
    </row>
    <row r="86" spans="1:47" x14ac:dyDescent="0.2">
      <c r="A86" s="29">
        <v>85.000000000000142</v>
      </c>
      <c r="B86" s="43">
        <v>143</v>
      </c>
      <c r="C86" s="3">
        <v>22.85</v>
      </c>
      <c r="D86" s="36" t="s">
        <v>151</v>
      </c>
      <c r="E86" s="3" t="s">
        <v>162</v>
      </c>
      <c r="F86" s="3" t="s">
        <v>88</v>
      </c>
      <c r="G86" s="3" t="s">
        <v>88</v>
      </c>
      <c r="I86" s="32">
        <v>44592</v>
      </c>
      <c r="J86" s="3" t="s">
        <v>142</v>
      </c>
      <c r="K86" s="3" t="s">
        <v>143</v>
      </c>
      <c r="L86" s="3">
        <v>295</v>
      </c>
      <c r="M86" s="21"/>
      <c r="N86" s="3">
        <v>299.56</v>
      </c>
      <c r="O86" s="3">
        <v>182.69</v>
      </c>
      <c r="P86" s="3">
        <v>199.35</v>
      </c>
      <c r="Q86" s="3">
        <v>45.47</v>
      </c>
      <c r="R86" s="3">
        <v>17.809999999999999</v>
      </c>
      <c r="S86" s="3">
        <v>125.05</v>
      </c>
      <c r="T86" s="3">
        <v>101.04</v>
      </c>
      <c r="U86" s="6">
        <v>65.25</v>
      </c>
      <c r="V86" s="6">
        <v>52.14</v>
      </c>
      <c r="W86" s="6">
        <v>69.819999999999993</v>
      </c>
      <c r="X86" s="6">
        <v>98.13</v>
      </c>
      <c r="Y86" s="6">
        <v>41.32</v>
      </c>
      <c r="Z86" s="6">
        <v>105.33</v>
      </c>
      <c r="AA86" s="6">
        <v>88.7</v>
      </c>
      <c r="AB86" s="6">
        <v>81.290000000000006</v>
      </c>
      <c r="AC86" s="6">
        <v>10.14</v>
      </c>
      <c r="AD86" s="6">
        <v>53.95</v>
      </c>
      <c r="AE86" s="3">
        <v>30.84</v>
      </c>
      <c r="AF86" s="3">
        <v>38.340000000000003</v>
      </c>
      <c r="AG86" s="3">
        <v>38.35</v>
      </c>
      <c r="AH86" s="3">
        <v>44.73</v>
      </c>
      <c r="AI86" s="3">
        <v>1.5620000000000001</v>
      </c>
      <c r="AJ86" s="3">
        <v>70.27</v>
      </c>
      <c r="AK86" s="3" t="s">
        <v>172</v>
      </c>
      <c r="AN86" s="3">
        <v>121</v>
      </c>
      <c r="AT86" s="3" t="s">
        <v>146</v>
      </c>
      <c r="AU86" s="3" t="s">
        <v>175</v>
      </c>
    </row>
    <row r="87" spans="1:47" x14ac:dyDescent="0.2">
      <c r="A87" s="29">
        <v>85.999999999999943</v>
      </c>
      <c r="B87" s="43">
        <v>144</v>
      </c>
      <c r="C87" s="3">
        <v>22.86</v>
      </c>
      <c r="D87" s="36" t="s">
        <v>151</v>
      </c>
      <c r="E87" s="3" t="s">
        <v>162</v>
      </c>
      <c r="F87" s="3" t="s">
        <v>88</v>
      </c>
      <c r="G87" s="3" t="s">
        <v>88</v>
      </c>
      <c r="I87" s="32">
        <v>44592</v>
      </c>
      <c r="J87" s="3" t="s">
        <v>142</v>
      </c>
      <c r="K87" s="3" t="s">
        <v>143</v>
      </c>
      <c r="L87" s="3">
        <v>291</v>
      </c>
      <c r="M87" s="21"/>
      <c r="N87" s="3">
        <v>292.62</v>
      </c>
      <c r="O87" s="3">
        <v>176.67</v>
      </c>
      <c r="P87" s="3">
        <v>186.09</v>
      </c>
      <c r="Q87" s="3">
        <v>38.020000000000003</v>
      </c>
      <c r="R87" s="3">
        <v>17.12</v>
      </c>
      <c r="S87" s="3">
        <v>123.75</v>
      </c>
      <c r="T87" s="3">
        <v>105.6</v>
      </c>
      <c r="U87" s="6">
        <v>64.17</v>
      </c>
      <c r="V87" s="6">
        <v>52.61</v>
      </c>
      <c r="W87" s="6">
        <v>70.06</v>
      </c>
      <c r="X87" s="6">
        <v>93.78</v>
      </c>
      <c r="Y87" s="6">
        <v>46.57</v>
      </c>
      <c r="Z87" s="6">
        <v>106.1</v>
      </c>
      <c r="AA87" s="6">
        <v>89.27</v>
      </c>
      <c r="AB87" s="6">
        <v>84.24</v>
      </c>
      <c r="AC87" s="6">
        <v>15.94</v>
      </c>
      <c r="AD87" s="6">
        <v>53.92</v>
      </c>
      <c r="AE87" s="3">
        <v>42.15</v>
      </c>
      <c r="AF87" s="3">
        <v>38.299999999999997</v>
      </c>
      <c r="AG87" s="3">
        <v>38.909999999999997</v>
      </c>
      <c r="AH87" s="3">
        <v>43.02</v>
      </c>
      <c r="AI87" s="3">
        <v>1.5549999999999999</v>
      </c>
      <c r="AJ87" s="3">
        <v>51.32</v>
      </c>
      <c r="AK87" s="3" t="s">
        <v>172</v>
      </c>
      <c r="AN87" s="3">
        <v>112</v>
      </c>
      <c r="AT87" s="3" t="s">
        <v>146</v>
      </c>
      <c r="AU87" s="3" t="s">
        <v>174</v>
      </c>
    </row>
    <row r="88" spans="1:47" x14ac:dyDescent="0.2">
      <c r="A88" s="29">
        <v>87.000000000000099</v>
      </c>
      <c r="B88" s="43">
        <v>149</v>
      </c>
      <c r="C88" s="3">
        <v>22.87</v>
      </c>
      <c r="D88" s="36" t="s">
        <v>151</v>
      </c>
      <c r="E88" s="3" t="s">
        <v>152</v>
      </c>
      <c r="F88" s="3" t="s">
        <v>153</v>
      </c>
      <c r="H88" s="37" t="s">
        <v>176</v>
      </c>
      <c r="I88" s="32">
        <v>44596</v>
      </c>
      <c r="J88" s="3" t="s">
        <v>142</v>
      </c>
      <c r="K88" s="3" t="s">
        <v>143</v>
      </c>
      <c r="L88" s="3">
        <v>289</v>
      </c>
      <c r="M88" s="21"/>
      <c r="N88" s="3">
        <v>294.29000000000002</v>
      </c>
      <c r="O88" s="3">
        <v>178.79</v>
      </c>
      <c r="P88" s="3">
        <v>181.15</v>
      </c>
      <c r="Q88" s="3">
        <v>41.76</v>
      </c>
      <c r="R88" s="3">
        <v>15.58</v>
      </c>
      <c r="S88" s="3">
        <v>127.59</v>
      </c>
      <c r="T88" s="3">
        <v>103.74</v>
      </c>
      <c r="U88" s="6">
        <v>59.74</v>
      </c>
      <c r="V88" s="6">
        <v>47.54</v>
      </c>
      <c r="W88" s="6">
        <v>62.84</v>
      </c>
      <c r="X88" s="6">
        <v>92.07</v>
      </c>
      <c r="Y88" s="6">
        <v>38.42</v>
      </c>
      <c r="Z88" s="6">
        <v>101.45</v>
      </c>
      <c r="AA88" s="6">
        <v>86.33</v>
      </c>
      <c r="AB88" s="6">
        <v>74.650000000000006</v>
      </c>
      <c r="AC88" s="6">
        <v>14.42</v>
      </c>
      <c r="AD88" s="6">
        <v>59.2</v>
      </c>
      <c r="AE88" s="3">
        <v>32.799999999999997</v>
      </c>
      <c r="AF88" s="3">
        <v>39.46</v>
      </c>
      <c r="AG88" s="3">
        <v>39.47</v>
      </c>
      <c r="AH88" s="3">
        <v>37.79</v>
      </c>
      <c r="AI88" s="3">
        <v>1.3859999999999999</v>
      </c>
      <c r="AJ88" s="3">
        <v>46.18</v>
      </c>
      <c r="AK88" s="3" t="s">
        <v>172</v>
      </c>
      <c r="AN88" s="3">
        <v>117</v>
      </c>
      <c r="AT88" s="3" t="s">
        <v>146</v>
      </c>
      <c r="AU88" s="3" t="s">
        <v>175</v>
      </c>
    </row>
    <row r="89" spans="1:47" ht="17" customHeight="1" x14ac:dyDescent="0.2">
      <c r="A89" s="29">
        <v>89.999999999999858</v>
      </c>
      <c r="B89" s="43">
        <v>150</v>
      </c>
      <c r="C89" s="3">
        <v>22.88</v>
      </c>
      <c r="D89" s="36" t="s">
        <v>151</v>
      </c>
      <c r="E89" s="3" t="s">
        <v>152</v>
      </c>
      <c r="F89" s="3" t="s">
        <v>153</v>
      </c>
      <c r="H89" s="37" t="s">
        <v>176</v>
      </c>
      <c r="I89" s="32">
        <v>44596</v>
      </c>
      <c r="J89" s="3" t="s">
        <v>142</v>
      </c>
      <c r="K89" s="3" t="s">
        <v>143</v>
      </c>
      <c r="L89" s="3">
        <v>270</v>
      </c>
      <c r="M89" s="21"/>
      <c r="N89" s="3">
        <v>275.57</v>
      </c>
      <c r="O89" s="3">
        <v>173.25</v>
      </c>
      <c r="P89" s="3">
        <v>181.08</v>
      </c>
      <c r="Q89" s="3">
        <v>37.82</v>
      </c>
      <c r="R89" s="3">
        <v>9.7200000000000006</v>
      </c>
      <c r="S89" s="3">
        <v>131.54</v>
      </c>
      <c r="T89" s="3">
        <v>110.11</v>
      </c>
      <c r="U89" s="6">
        <v>55.53</v>
      </c>
      <c r="V89" s="6">
        <v>45.79</v>
      </c>
      <c r="W89" s="6">
        <v>57.33</v>
      </c>
      <c r="X89" s="6">
        <v>83.45</v>
      </c>
      <c r="Y89" s="6">
        <v>39.54</v>
      </c>
      <c r="Z89" s="6">
        <v>100.41</v>
      </c>
      <c r="AA89" s="6">
        <v>86.94</v>
      </c>
      <c r="AB89" s="6">
        <v>76.69</v>
      </c>
      <c r="AC89" s="6">
        <v>14.89</v>
      </c>
      <c r="AD89" s="6">
        <v>56.24</v>
      </c>
      <c r="AE89" s="3">
        <v>26.12</v>
      </c>
      <c r="AF89" s="3">
        <v>39.56</v>
      </c>
      <c r="AG89" s="3">
        <v>34.479999999999997</v>
      </c>
      <c r="AH89" s="3">
        <v>39.67</v>
      </c>
      <c r="AI89" s="3">
        <v>1.296</v>
      </c>
      <c r="AJ89" s="3">
        <v>43.01</v>
      </c>
      <c r="AK89" s="3" t="s">
        <v>173</v>
      </c>
      <c r="AM89" s="3">
        <v>37</v>
      </c>
      <c r="AN89" s="3">
        <v>73</v>
      </c>
      <c r="AT89" s="3" t="s">
        <v>146</v>
      </c>
      <c r="AU89" s="3" t="s">
        <v>174</v>
      </c>
    </row>
    <row r="90" spans="1:47" x14ac:dyDescent="0.2">
      <c r="A90" s="29">
        <v>91.000000000000014</v>
      </c>
      <c r="B90" s="43">
        <v>151</v>
      </c>
      <c r="C90" s="3">
        <v>22.89</v>
      </c>
      <c r="D90" s="36" t="s">
        <v>151</v>
      </c>
      <c r="E90" s="3" t="s">
        <v>152</v>
      </c>
      <c r="F90" s="3" t="s">
        <v>153</v>
      </c>
      <c r="G90" t="s">
        <v>89</v>
      </c>
      <c r="H90" s="37" t="s">
        <v>176</v>
      </c>
      <c r="I90" s="32">
        <v>44596</v>
      </c>
      <c r="J90" s="3" t="s">
        <v>142</v>
      </c>
      <c r="K90" s="3" t="s">
        <v>143</v>
      </c>
      <c r="L90" s="3">
        <v>272</v>
      </c>
      <c r="M90" s="21"/>
      <c r="N90" s="3">
        <v>277.45999999999998</v>
      </c>
      <c r="O90" s="3">
        <v>170.44</v>
      </c>
      <c r="P90" s="3">
        <v>173.89</v>
      </c>
      <c r="Q90" s="3">
        <v>32.22</v>
      </c>
      <c r="R90" s="3">
        <v>19.05</v>
      </c>
      <c r="S90" s="3">
        <v>122.71</v>
      </c>
      <c r="T90" s="3">
        <v>104.12</v>
      </c>
      <c r="U90" s="6">
        <v>58.36</v>
      </c>
      <c r="V90" s="6">
        <v>47.04</v>
      </c>
      <c r="W90" s="6">
        <v>59.41</v>
      </c>
      <c r="X90" s="6">
        <v>80.67</v>
      </c>
      <c r="Y90" s="6">
        <v>40.19</v>
      </c>
      <c r="Z90" s="6">
        <v>99.78</v>
      </c>
      <c r="AA90" s="6">
        <v>86.62</v>
      </c>
      <c r="AB90" s="6">
        <v>73.8</v>
      </c>
      <c r="AC90" s="6">
        <v>14.83</v>
      </c>
      <c r="AD90" s="6">
        <v>55.49</v>
      </c>
      <c r="AE90" s="3">
        <v>28.28</v>
      </c>
      <c r="AF90" s="3">
        <v>35.21</v>
      </c>
      <c r="AG90" s="3">
        <v>31.19</v>
      </c>
      <c r="AH90" s="3">
        <v>36.619999999999997</v>
      </c>
      <c r="AI90" s="3">
        <v>1.32</v>
      </c>
      <c r="AJ90" s="3">
        <v>49.34</v>
      </c>
      <c r="AK90" s="3" t="s">
        <v>173</v>
      </c>
      <c r="AM90" s="3">
        <v>34</v>
      </c>
      <c r="AN90" s="3">
        <v>82</v>
      </c>
      <c r="AT90" s="3" t="s">
        <v>146</v>
      </c>
      <c r="AU90" s="3" t="s">
        <v>174</v>
      </c>
    </row>
    <row r="91" spans="1:47" x14ac:dyDescent="0.2">
      <c r="A91" s="29">
        <v>92.000000000000171</v>
      </c>
      <c r="B91" s="43">
        <v>377</v>
      </c>
      <c r="C91" s="12" t="s">
        <v>33</v>
      </c>
      <c r="D91" s="44" t="s">
        <v>168</v>
      </c>
      <c r="E91" t="s">
        <v>169</v>
      </c>
      <c r="F91" s="3" t="s">
        <v>170</v>
      </c>
      <c r="G91" t="s">
        <v>30</v>
      </c>
      <c r="H91"/>
      <c r="I91" s="32">
        <v>44574</v>
      </c>
      <c r="J91" s="3" t="s">
        <v>142</v>
      </c>
      <c r="K91" s="3" t="s">
        <v>143</v>
      </c>
      <c r="N91" s="3">
        <v>297.27999999999997</v>
      </c>
      <c r="O91" s="3">
        <v>181.97</v>
      </c>
      <c r="P91" s="3">
        <v>184.55</v>
      </c>
      <c r="Q91" s="3">
        <v>35.89</v>
      </c>
      <c r="R91" s="3">
        <v>32.299999999999997</v>
      </c>
      <c r="S91" s="3">
        <v>123.79</v>
      </c>
      <c r="T91" s="3">
        <v>103.29</v>
      </c>
      <c r="U91" s="6">
        <v>73.83</v>
      </c>
      <c r="V91" s="6">
        <v>56.46</v>
      </c>
      <c r="W91" s="6">
        <v>75.650000000000006</v>
      </c>
      <c r="X91" s="6">
        <v>92.07</v>
      </c>
      <c r="Y91" s="6">
        <v>46.4</v>
      </c>
      <c r="Z91" s="6">
        <v>106.61</v>
      </c>
      <c r="AA91" s="6">
        <v>93.15</v>
      </c>
      <c r="AB91" s="6">
        <v>83.83</v>
      </c>
      <c r="AC91" s="6">
        <v>19.920000000000002</v>
      </c>
      <c r="AD91" s="6">
        <v>52.19</v>
      </c>
      <c r="AE91" s="3">
        <v>36.729999999999997</v>
      </c>
      <c r="AF91" s="3">
        <v>42.27</v>
      </c>
      <c r="AG91" s="3">
        <v>47.66</v>
      </c>
      <c r="AH91" s="3">
        <v>46.96</v>
      </c>
      <c r="AI91" s="3">
        <v>1.242</v>
      </c>
      <c r="AJ91" s="3">
        <v>55.23</v>
      </c>
      <c r="AK91" s="3" t="s">
        <v>173</v>
      </c>
      <c r="AM91" s="3">
        <v>20</v>
      </c>
      <c r="AN91" s="3">
        <v>90</v>
      </c>
      <c r="AT91" s="3" t="s">
        <v>146</v>
      </c>
      <c r="AU91" s="3" t="s">
        <v>174</v>
      </c>
    </row>
    <row r="92" spans="1:47" x14ac:dyDescent="0.2">
      <c r="A92" s="29">
        <v>92.999999999999972</v>
      </c>
      <c r="B92" s="43">
        <v>275</v>
      </c>
      <c r="C92" s="3">
        <v>22.91</v>
      </c>
      <c r="D92" s="44" t="s">
        <v>168</v>
      </c>
      <c r="E92" t="s">
        <v>169</v>
      </c>
      <c r="F92" s="3" t="s">
        <v>170</v>
      </c>
      <c r="G92"/>
      <c r="H92" s="18" t="s">
        <v>177</v>
      </c>
      <c r="I92" s="32">
        <v>44577</v>
      </c>
      <c r="J92" s="3" t="s">
        <v>142</v>
      </c>
      <c r="K92" s="3" t="s">
        <v>143</v>
      </c>
      <c r="N92" s="3">
        <v>303.62</v>
      </c>
      <c r="O92" s="3">
        <v>192.99</v>
      </c>
      <c r="P92" s="3">
        <v>193.64</v>
      </c>
      <c r="Q92" s="3">
        <v>34.35</v>
      </c>
      <c r="R92" s="3">
        <v>33.03</v>
      </c>
      <c r="S92" s="3">
        <v>129.81</v>
      </c>
      <c r="T92" s="3">
        <v>106.12</v>
      </c>
      <c r="U92" s="6">
        <v>68.180000000000007</v>
      </c>
      <c r="V92" s="6">
        <v>54.76</v>
      </c>
      <c r="W92" s="6">
        <v>75.069999999999993</v>
      </c>
      <c r="X92" s="6">
        <v>86.9</v>
      </c>
      <c r="Y92" s="6">
        <v>44</v>
      </c>
      <c r="Z92" s="6">
        <v>104.08</v>
      </c>
      <c r="AA92" s="6">
        <v>91.56</v>
      </c>
      <c r="AB92" s="6">
        <v>81.3</v>
      </c>
      <c r="AC92" s="6">
        <v>21.34</v>
      </c>
      <c r="AD92" s="6">
        <v>54.55</v>
      </c>
      <c r="AE92" s="3">
        <v>47.69</v>
      </c>
      <c r="AF92" s="3">
        <v>42.68</v>
      </c>
      <c r="AG92" s="3">
        <v>49.93</v>
      </c>
      <c r="AH92" s="3">
        <v>42.49</v>
      </c>
      <c r="AI92" s="3">
        <v>1.1639999999999999</v>
      </c>
      <c r="AJ92" s="3">
        <v>57.69</v>
      </c>
      <c r="AK92" s="3" t="s">
        <v>172</v>
      </c>
      <c r="AN92" s="3">
        <v>126</v>
      </c>
      <c r="AT92" s="3" t="s">
        <v>146</v>
      </c>
      <c r="AU92" s="3" t="s">
        <v>174</v>
      </c>
    </row>
    <row r="93" spans="1:47" x14ac:dyDescent="0.2">
      <c r="A93" s="29">
        <v>94.000000000000128</v>
      </c>
      <c r="B93" s="43">
        <v>278</v>
      </c>
      <c r="C93" s="3">
        <v>22.92</v>
      </c>
      <c r="D93" s="44" t="s">
        <v>168</v>
      </c>
      <c r="E93" t="s">
        <v>169</v>
      </c>
      <c r="F93" s="3" t="s">
        <v>170</v>
      </c>
      <c r="G93" t="s">
        <v>30</v>
      </c>
      <c r="H93"/>
      <c r="I93" s="32">
        <v>44591</v>
      </c>
      <c r="J93" s="3" t="s">
        <v>142</v>
      </c>
      <c r="K93" s="3" t="s">
        <v>143</v>
      </c>
      <c r="N93" s="3">
        <v>289.77999999999997</v>
      </c>
      <c r="O93" s="3">
        <v>185.38</v>
      </c>
      <c r="P93" s="3">
        <v>187.15</v>
      </c>
      <c r="Q93" s="3">
        <v>36.869999999999997</v>
      </c>
      <c r="R93" s="3">
        <v>32.15</v>
      </c>
      <c r="S93" s="3">
        <v>124.82</v>
      </c>
      <c r="T93" s="3">
        <v>103.24</v>
      </c>
      <c r="U93" s="6">
        <v>66.59</v>
      </c>
      <c r="V93" s="6">
        <v>57.34</v>
      </c>
      <c r="W93" s="6">
        <v>74.319999999999993</v>
      </c>
      <c r="X93" s="6">
        <v>94.21</v>
      </c>
      <c r="Y93" s="6">
        <v>46.94</v>
      </c>
      <c r="Z93" s="6">
        <v>107.77</v>
      </c>
      <c r="AA93" s="6">
        <v>93.49</v>
      </c>
      <c r="AB93" s="6">
        <v>87.83</v>
      </c>
      <c r="AC93" s="6">
        <v>23.38</v>
      </c>
      <c r="AD93" s="6">
        <v>49.65</v>
      </c>
      <c r="AE93" s="3">
        <v>34.42</v>
      </c>
      <c r="AF93" s="3">
        <v>41.05</v>
      </c>
      <c r="AG93" s="3">
        <v>36.590000000000003</v>
      </c>
      <c r="AH93" s="3">
        <v>40.22</v>
      </c>
      <c r="AI93" s="3">
        <v>1.099</v>
      </c>
      <c r="AJ93" s="3">
        <v>45</v>
      </c>
      <c r="AK93" s="3" t="s">
        <v>172</v>
      </c>
      <c r="AN93" s="3">
        <v>104</v>
      </c>
      <c r="AT93" s="3" t="s">
        <v>146</v>
      </c>
      <c r="AU93" s="3" t="s">
        <v>174</v>
      </c>
    </row>
    <row r="94" spans="1:47" x14ac:dyDescent="0.2">
      <c r="A94" s="29">
        <v>94.999999999999929</v>
      </c>
      <c r="B94" s="43">
        <v>277</v>
      </c>
      <c r="C94" s="3">
        <v>22.93</v>
      </c>
      <c r="D94" s="44" t="s">
        <v>168</v>
      </c>
      <c r="E94" t="s">
        <v>169</v>
      </c>
      <c r="F94" s="3" t="s">
        <v>170</v>
      </c>
      <c r="G94" t="s">
        <v>30</v>
      </c>
      <c r="H94"/>
      <c r="I94" s="32">
        <v>44591</v>
      </c>
      <c r="J94" s="3" t="s">
        <v>142</v>
      </c>
      <c r="K94" s="3" t="s">
        <v>143</v>
      </c>
      <c r="N94" s="3">
        <v>299.29000000000002</v>
      </c>
      <c r="O94" s="3">
        <v>184.61</v>
      </c>
      <c r="P94" s="3">
        <v>184.17</v>
      </c>
      <c r="Q94" s="3">
        <v>34.96</v>
      </c>
      <c r="R94" s="3">
        <v>24.25</v>
      </c>
      <c r="S94" s="3">
        <v>125.22</v>
      </c>
      <c r="T94" s="3">
        <v>103.99</v>
      </c>
      <c r="U94" s="6">
        <v>69.5</v>
      </c>
      <c r="V94" s="6">
        <v>57.61</v>
      </c>
      <c r="W94" s="6">
        <v>74.849999999999994</v>
      </c>
      <c r="X94" s="6">
        <v>92.28</v>
      </c>
      <c r="Y94" s="6">
        <v>46.04</v>
      </c>
      <c r="Z94" s="6">
        <v>105.92</v>
      </c>
      <c r="AA94" s="6">
        <v>91.2</v>
      </c>
      <c r="AB94" s="6">
        <v>84.15</v>
      </c>
      <c r="AC94" s="6">
        <v>16.25</v>
      </c>
      <c r="AD94" s="6">
        <v>53.5</v>
      </c>
      <c r="AE94" s="3">
        <v>34.979999999999997</v>
      </c>
      <c r="AF94" s="3">
        <v>39.61</v>
      </c>
      <c r="AG94" s="3">
        <v>41.44</v>
      </c>
      <c r="AH94" s="3">
        <v>42.24</v>
      </c>
      <c r="AI94" s="3">
        <v>1.0960000000000001</v>
      </c>
      <c r="AJ94" s="3">
        <v>51.18</v>
      </c>
      <c r="AK94" s="3" t="s">
        <v>172</v>
      </c>
      <c r="AN94" s="3">
        <v>130</v>
      </c>
      <c r="AT94" s="3" t="s">
        <v>146</v>
      </c>
      <c r="AU94" s="3" t="s">
        <v>174</v>
      </c>
    </row>
    <row r="95" spans="1:47" x14ac:dyDescent="0.2">
      <c r="A95" s="29">
        <v>96.000000000000085</v>
      </c>
      <c r="B95" s="43">
        <v>286</v>
      </c>
      <c r="C95" s="3">
        <v>22.94</v>
      </c>
      <c r="D95" s="44" t="s">
        <v>168</v>
      </c>
      <c r="E95" t="s">
        <v>169</v>
      </c>
      <c r="F95" s="3" t="s">
        <v>170</v>
      </c>
      <c r="G95" t="s">
        <v>30</v>
      </c>
      <c r="H95"/>
      <c r="I95" s="32">
        <v>44634</v>
      </c>
      <c r="J95" s="3" t="s">
        <v>142</v>
      </c>
      <c r="K95" s="3" t="s">
        <v>143</v>
      </c>
      <c r="N95" s="3">
        <v>295.43</v>
      </c>
      <c r="O95" s="3">
        <v>184.57</v>
      </c>
      <c r="P95" s="3">
        <v>183.04</v>
      </c>
      <c r="Q95" s="3">
        <v>35.520000000000003</v>
      </c>
      <c r="R95" s="3">
        <v>26.43</v>
      </c>
      <c r="S95" s="3">
        <v>125.59</v>
      </c>
      <c r="T95" s="3">
        <v>104.09</v>
      </c>
      <c r="U95" s="6">
        <v>68.849999999999994</v>
      </c>
      <c r="V95" s="6">
        <v>57.45</v>
      </c>
      <c r="W95" s="6">
        <v>72.53</v>
      </c>
      <c r="X95" s="6">
        <v>90.31</v>
      </c>
      <c r="Y95" s="6">
        <v>44</v>
      </c>
      <c r="Z95" s="6">
        <v>104.79</v>
      </c>
      <c r="AA95" s="6">
        <v>92.3</v>
      </c>
      <c r="AB95" s="6">
        <v>85.07</v>
      </c>
      <c r="AC95" s="6">
        <v>20.079999999999998</v>
      </c>
      <c r="AD95" s="6">
        <v>52.3</v>
      </c>
      <c r="AE95" s="3">
        <v>38.14</v>
      </c>
      <c r="AF95" s="3">
        <v>40.5</v>
      </c>
      <c r="AG95" s="3">
        <v>32.31</v>
      </c>
      <c r="AH95" s="3">
        <v>42.12</v>
      </c>
      <c r="AI95" s="3">
        <v>1.1639999999999999</v>
      </c>
      <c r="AJ95" s="3">
        <v>53.23</v>
      </c>
      <c r="AK95" s="3" t="s">
        <v>172</v>
      </c>
      <c r="AN95" s="3">
        <v>114</v>
      </c>
      <c r="AT95" s="3" t="s">
        <v>146</v>
      </c>
      <c r="AU95" s="3" t="s">
        <v>174</v>
      </c>
    </row>
    <row r="96" spans="1:47" x14ac:dyDescent="0.2">
      <c r="A96" s="29">
        <v>96.999999999999886</v>
      </c>
      <c r="B96" s="43">
        <v>276</v>
      </c>
      <c r="C96" s="3">
        <v>22.95</v>
      </c>
      <c r="D96" s="44" t="s">
        <v>168</v>
      </c>
      <c r="E96" t="s">
        <v>169</v>
      </c>
      <c r="F96" s="3" t="s">
        <v>170</v>
      </c>
      <c r="G96" t="s">
        <v>30</v>
      </c>
      <c r="H96"/>
      <c r="I96" s="32">
        <v>44589</v>
      </c>
      <c r="J96" s="3" t="s">
        <v>142</v>
      </c>
      <c r="K96" s="3" t="s">
        <v>143</v>
      </c>
      <c r="N96" s="3">
        <v>292.14999999999998</v>
      </c>
      <c r="O96" s="3">
        <v>188.4</v>
      </c>
      <c r="P96" s="3">
        <v>186.54</v>
      </c>
      <c r="Q96" s="3">
        <v>41.47</v>
      </c>
      <c r="R96" s="3">
        <v>29.77</v>
      </c>
      <c r="S96" s="3">
        <v>123.15</v>
      </c>
      <c r="T96" s="3">
        <v>100.63</v>
      </c>
      <c r="U96" s="6">
        <v>73.14</v>
      </c>
      <c r="V96" s="6">
        <v>52.46</v>
      </c>
      <c r="W96" s="6">
        <v>78.58</v>
      </c>
      <c r="X96" s="6">
        <v>101.01</v>
      </c>
      <c r="Y96" s="6">
        <v>45.45</v>
      </c>
      <c r="Z96" s="6">
        <v>110.87</v>
      </c>
      <c r="AA96" s="6">
        <v>92.38</v>
      </c>
      <c r="AB96" s="6">
        <v>86.85</v>
      </c>
      <c r="AC96" s="6">
        <v>16.98</v>
      </c>
      <c r="AD96" s="6">
        <v>51.09</v>
      </c>
      <c r="AE96" s="3">
        <v>29.93</v>
      </c>
      <c r="AF96" s="3">
        <v>37.479999999999997</v>
      </c>
      <c r="AG96" s="3">
        <v>40.08</v>
      </c>
      <c r="AH96" s="3">
        <v>40.090000000000003</v>
      </c>
      <c r="AI96" s="3">
        <v>1.1020000000000001</v>
      </c>
      <c r="AJ96" s="3">
        <v>50.36</v>
      </c>
      <c r="AK96" s="3" t="s">
        <v>172</v>
      </c>
      <c r="AN96" s="3">
        <v>120</v>
      </c>
      <c r="AT96" s="3" t="s">
        <v>146</v>
      </c>
      <c r="AU96" s="3" t="s">
        <v>174</v>
      </c>
    </row>
    <row r="97" spans="1:47" x14ac:dyDescent="0.2">
      <c r="A97" s="29">
        <v>98.000000000000043</v>
      </c>
      <c r="B97" s="43">
        <v>283</v>
      </c>
      <c r="C97" s="3">
        <v>22.96</v>
      </c>
      <c r="D97" s="44" t="s">
        <v>168</v>
      </c>
      <c r="E97" t="s">
        <v>169</v>
      </c>
      <c r="F97" s="3" t="s">
        <v>170</v>
      </c>
      <c r="G97" t="s">
        <v>30</v>
      </c>
      <c r="H97"/>
      <c r="I97" s="32">
        <v>44593</v>
      </c>
      <c r="J97" s="3" t="s">
        <v>142</v>
      </c>
      <c r="K97" s="3" t="s">
        <v>143</v>
      </c>
      <c r="N97" s="3">
        <v>291.01</v>
      </c>
      <c r="O97" s="3">
        <v>181.5</v>
      </c>
      <c r="P97" s="3">
        <v>179.56</v>
      </c>
      <c r="Q97" s="3">
        <v>36.619999999999997</v>
      </c>
      <c r="R97" s="3">
        <v>27.34</v>
      </c>
      <c r="S97" s="3">
        <v>121.84</v>
      </c>
      <c r="T97" s="3">
        <v>102.64</v>
      </c>
      <c r="U97" s="6">
        <v>71.63</v>
      </c>
      <c r="V97" s="6">
        <v>53.29</v>
      </c>
      <c r="W97" s="6">
        <v>77.58</v>
      </c>
      <c r="X97" s="6">
        <v>92.72</v>
      </c>
      <c r="Y97" s="6">
        <v>44.77</v>
      </c>
      <c r="Z97" s="6">
        <v>107.72</v>
      </c>
      <c r="AA97" s="6">
        <v>92.65</v>
      </c>
      <c r="AB97" s="6">
        <v>90.47</v>
      </c>
      <c r="AC97" s="6">
        <v>17.93</v>
      </c>
      <c r="AD97" s="6">
        <v>53.71</v>
      </c>
      <c r="AE97" s="3">
        <v>27.06</v>
      </c>
      <c r="AF97" s="3">
        <v>38.1</v>
      </c>
      <c r="AG97" s="3">
        <v>33.86</v>
      </c>
      <c r="AH97" s="3">
        <v>37.61</v>
      </c>
      <c r="AI97" s="3">
        <v>1.0820000000000001</v>
      </c>
      <c r="AJ97" s="3">
        <v>50.33</v>
      </c>
      <c r="AK97" s="3" t="s">
        <v>172</v>
      </c>
      <c r="AN97" s="3">
        <v>116</v>
      </c>
      <c r="AT97" s="3" t="s">
        <v>146</v>
      </c>
      <c r="AU97" s="3" t="s">
        <v>174</v>
      </c>
    </row>
    <row r="98" spans="1:47" x14ac:dyDescent="0.2">
      <c r="A98" s="29">
        <v>98.999999999999844</v>
      </c>
      <c r="B98" s="43">
        <v>300</v>
      </c>
      <c r="C98" s="3">
        <v>22.97</v>
      </c>
      <c r="D98" s="44" t="s">
        <v>168</v>
      </c>
      <c r="E98" t="s">
        <v>169</v>
      </c>
      <c r="F98" s="3" t="s">
        <v>170</v>
      </c>
      <c r="G98"/>
      <c r="H98" s="18" t="s">
        <v>171</v>
      </c>
      <c r="I98" s="32">
        <v>44570</v>
      </c>
      <c r="J98" s="3" t="s">
        <v>142</v>
      </c>
      <c r="K98" s="3" t="s">
        <v>143</v>
      </c>
      <c r="N98" s="3">
        <v>291.70999999999998</v>
      </c>
      <c r="O98" s="3">
        <v>175.84</v>
      </c>
      <c r="P98" s="3">
        <v>188.37</v>
      </c>
      <c r="Q98" s="3">
        <v>27.28</v>
      </c>
      <c r="R98" s="3">
        <v>13.92</v>
      </c>
      <c r="S98" s="3">
        <v>132.5</v>
      </c>
      <c r="T98" s="3">
        <v>110.12</v>
      </c>
      <c r="U98" s="6">
        <v>61.25</v>
      </c>
      <c r="V98" s="6">
        <v>58.95</v>
      </c>
      <c r="W98" s="6">
        <v>68.02</v>
      </c>
      <c r="X98" s="6">
        <v>87.64</v>
      </c>
      <c r="Y98" s="6">
        <v>52.92</v>
      </c>
      <c r="Z98" s="6">
        <v>97.33</v>
      </c>
      <c r="AA98" s="6">
        <v>84.42</v>
      </c>
      <c r="AB98" s="6">
        <v>76.31</v>
      </c>
      <c r="AC98" s="6">
        <v>13.7</v>
      </c>
      <c r="AD98" s="6">
        <v>52.39</v>
      </c>
      <c r="AE98" s="3">
        <v>24.15</v>
      </c>
      <c r="AF98" s="3">
        <v>27.53</v>
      </c>
      <c r="AG98" s="3">
        <v>27.94</v>
      </c>
      <c r="AH98" s="3">
        <v>38.15</v>
      </c>
      <c r="AI98" s="3">
        <v>0.86499999999999999</v>
      </c>
      <c r="AJ98" s="3">
        <v>60.52</v>
      </c>
      <c r="AK98" s="3" t="s">
        <v>172</v>
      </c>
      <c r="AN98" s="3">
        <v>139</v>
      </c>
      <c r="AT98" s="3" t="s">
        <v>146</v>
      </c>
      <c r="AU98" s="3" t="s">
        <v>174</v>
      </c>
    </row>
    <row r="99" spans="1:47" x14ac:dyDescent="0.2">
      <c r="A99" s="29">
        <v>100.00000000000142</v>
      </c>
      <c r="B99" s="43">
        <v>357</v>
      </c>
      <c r="C99" s="3">
        <v>22.98</v>
      </c>
      <c r="D99" s="44" t="s">
        <v>168</v>
      </c>
      <c r="E99" t="s">
        <v>169</v>
      </c>
      <c r="F99" s="3" t="s">
        <v>170</v>
      </c>
      <c r="G99"/>
      <c r="H99" s="18" t="s">
        <v>177</v>
      </c>
      <c r="I99" s="32">
        <v>44577</v>
      </c>
      <c r="J99" s="3" t="s">
        <v>142</v>
      </c>
      <c r="K99" s="3" t="s">
        <v>143</v>
      </c>
      <c r="N99" s="3">
        <v>301.19</v>
      </c>
      <c r="O99" s="3">
        <v>193.65</v>
      </c>
      <c r="P99" s="3">
        <v>188</v>
      </c>
      <c r="Q99" s="3">
        <v>35.340000000000003</v>
      </c>
      <c r="R99" s="3">
        <v>34.630000000000003</v>
      </c>
      <c r="S99" s="3">
        <v>129.16999999999999</v>
      </c>
      <c r="T99" s="3">
        <v>104.1</v>
      </c>
      <c r="U99" s="6">
        <v>67.25</v>
      </c>
      <c r="V99" s="6">
        <v>56.07</v>
      </c>
      <c r="W99" s="6">
        <v>78.64</v>
      </c>
      <c r="X99" s="6">
        <v>93.93</v>
      </c>
      <c r="Y99" s="6">
        <v>45.46</v>
      </c>
      <c r="Z99" s="6">
        <v>108.18</v>
      </c>
      <c r="AA99" s="6">
        <v>92.14</v>
      </c>
      <c r="AB99" s="6">
        <v>89.02</v>
      </c>
      <c r="AC99" s="6">
        <v>23.68</v>
      </c>
      <c r="AD99" s="6">
        <v>55.43</v>
      </c>
      <c r="AE99" s="3">
        <v>46.15</v>
      </c>
      <c r="AF99" s="3">
        <v>42.21</v>
      </c>
      <c r="AG99" s="3">
        <v>53.7</v>
      </c>
      <c r="AH99" s="3">
        <v>40.51</v>
      </c>
      <c r="AI99" s="3">
        <v>1.1759999999999999</v>
      </c>
      <c r="AJ99" s="3">
        <v>58.88</v>
      </c>
      <c r="AK99" s="3" t="s">
        <v>172</v>
      </c>
      <c r="AN99" s="3">
        <v>135</v>
      </c>
      <c r="AT99" s="3" t="s">
        <v>146</v>
      </c>
      <c r="AU99" s="3" t="s">
        <v>174</v>
      </c>
    </row>
    <row r="100" spans="1:47" x14ac:dyDescent="0.2">
      <c r="A100" s="29">
        <v>100.99999999999909</v>
      </c>
      <c r="B100" s="3" t="s">
        <v>178</v>
      </c>
      <c r="C100" s="3">
        <v>22.99</v>
      </c>
      <c r="D100" s="45" t="s">
        <v>179</v>
      </c>
      <c r="E100" t="s">
        <v>180</v>
      </c>
      <c r="F100" t="s">
        <v>181</v>
      </c>
      <c r="G100"/>
      <c r="H100" t="s">
        <v>182</v>
      </c>
      <c r="I100" s="46">
        <v>44562</v>
      </c>
      <c r="J100" s="3" t="s">
        <v>142</v>
      </c>
      <c r="K100" s="3" t="s">
        <v>143</v>
      </c>
      <c r="N100" s="3">
        <v>261.01</v>
      </c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  <c r="AH100" s="47"/>
      <c r="AI100" s="3">
        <v>1.1759999999999999</v>
      </c>
      <c r="AJ100" s="3">
        <v>29.68</v>
      </c>
      <c r="AK100" s="3" t="s">
        <v>172</v>
      </c>
      <c r="AN100" s="3">
        <v>130</v>
      </c>
      <c r="AT100" s="3" t="s">
        <v>146</v>
      </c>
    </row>
    <row r="101" spans="1:47" x14ac:dyDescent="0.2">
      <c r="A101" s="29">
        <v>102.00000000000031</v>
      </c>
      <c r="B101" s="3" t="s">
        <v>183</v>
      </c>
      <c r="C101" s="12" t="s">
        <v>36</v>
      </c>
      <c r="D101" s="45" t="s">
        <v>179</v>
      </c>
      <c r="E101" t="s">
        <v>180</v>
      </c>
      <c r="F101" t="s">
        <v>181</v>
      </c>
      <c r="G101"/>
      <c r="H101" t="s">
        <v>182</v>
      </c>
      <c r="I101" s="46">
        <v>44590</v>
      </c>
      <c r="J101" s="3" t="s">
        <v>142</v>
      </c>
      <c r="K101" s="3" t="s">
        <v>143</v>
      </c>
      <c r="N101" s="3">
        <v>256.55</v>
      </c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  <c r="AH101" s="47"/>
      <c r="AI101" s="3">
        <v>1.28</v>
      </c>
      <c r="AJ101" s="3">
        <v>29.7</v>
      </c>
      <c r="AK101" s="3" t="s">
        <v>172</v>
      </c>
      <c r="AN101" s="3">
        <v>124</v>
      </c>
      <c r="AT101" s="3" t="s">
        <v>146</v>
      </c>
    </row>
    <row r="102" spans="1:47" x14ac:dyDescent="0.2">
      <c r="A102" s="29">
        <v>103.00000000000153</v>
      </c>
      <c r="B102" s="3" t="s">
        <v>184</v>
      </c>
      <c r="C102" s="3">
        <v>22.100999999999999</v>
      </c>
      <c r="D102" s="45" t="s">
        <v>179</v>
      </c>
      <c r="E102" t="s">
        <v>180</v>
      </c>
      <c r="F102" t="s">
        <v>181</v>
      </c>
      <c r="G102"/>
      <c r="H102" t="s">
        <v>182</v>
      </c>
      <c r="I102" s="46">
        <v>44590</v>
      </c>
      <c r="J102" s="3" t="s">
        <v>142</v>
      </c>
      <c r="K102" s="3" t="s">
        <v>143</v>
      </c>
      <c r="N102" s="3">
        <v>261.86</v>
      </c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3">
        <v>1.151</v>
      </c>
      <c r="AJ102" s="3">
        <v>26.18</v>
      </c>
      <c r="AK102" s="3" t="s">
        <v>172</v>
      </c>
      <c r="AN102" s="3">
        <v>114</v>
      </c>
      <c r="AT102" s="3" t="s">
        <v>146</v>
      </c>
    </row>
    <row r="103" spans="1:47" x14ac:dyDescent="0.2">
      <c r="A103" s="29">
        <v>103.9999999999992</v>
      </c>
      <c r="B103" s="3">
        <v>376</v>
      </c>
      <c r="C103" s="3">
        <v>22.102</v>
      </c>
      <c r="D103" s="44" t="s">
        <v>168</v>
      </c>
      <c r="E103" t="s">
        <v>169</v>
      </c>
      <c r="F103" s="3" t="s">
        <v>170</v>
      </c>
      <c r="G103"/>
      <c r="H103" s="18" t="s">
        <v>177</v>
      </c>
      <c r="I103" s="32">
        <v>44574</v>
      </c>
      <c r="J103" s="3" t="s">
        <v>142</v>
      </c>
      <c r="K103" s="3" t="s">
        <v>143</v>
      </c>
      <c r="N103" s="3">
        <v>303.8</v>
      </c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  <c r="AH103" s="47"/>
      <c r="AI103" s="3">
        <v>1.3080000000000001</v>
      </c>
      <c r="AJ103" s="3">
        <v>53.65</v>
      </c>
      <c r="AK103" s="3" t="s">
        <v>172</v>
      </c>
      <c r="AN103" s="3">
        <v>146</v>
      </c>
      <c r="AT103" s="3" t="s">
        <v>146</v>
      </c>
    </row>
    <row r="104" spans="1:47" x14ac:dyDescent="0.2">
      <c r="A104" s="29">
        <v>105.00000000000043</v>
      </c>
      <c r="B104" s="3">
        <v>380</v>
      </c>
      <c r="C104" s="3">
        <v>22.103000000000002</v>
      </c>
      <c r="D104" s="44" t="s">
        <v>168</v>
      </c>
      <c r="E104" t="s">
        <v>169</v>
      </c>
      <c r="F104" s="3" t="s">
        <v>170</v>
      </c>
      <c r="G104" t="s">
        <v>30</v>
      </c>
      <c r="H104"/>
      <c r="I104" s="32">
        <v>44584</v>
      </c>
      <c r="J104" s="3" t="s">
        <v>142</v>
      </c>
      <c r="K104" s="3" t="s">
        <v>143</v>
      </c>
      <c r="N104" s="3">
        <v>346</v>
      </c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H104" s="47"/>
      <c r="AI104" s="3">
        <v>1.071</v>
      </c>
      <c r="AJ104" s="3">
        <v>107.83</v>
      </c>
      <c r="AK104" s="3" t="s">
        <v>172</v>
      </c>
      <c r="AN104" s="3">
        <v>121</v>
      </c>
      <c r="AT104" s="3" t="s">
        <v>146</v>
      </c>
    </row>
    <row r="105" spans="1:47" x14ac:dyDescent="0.2">
      <c r="A105" s="29">
        <v>106.00000000000165</v>
      </c>
      <c r="B105" s="3">
        <v>348</v>
      </c>
      <c r="C105" s="3">
        <v>22.103999999999999</v>
      </c>
      <c r="D105" s="44" t="s">
        <v>168</v>
      </c>
      <c r="E105" t="s">
        <v>169</v>
      </c>
      <c r="F105" s="3" t="s">
        <v>170</v>
      </c>
      <c r="G105" t="s">
        <v>30</v>
      </c>
      <c r="H105"/>
      <c r="I105" s="32">
        <v>44570</v>
      </c>
      <c r="J105" s="3" t="s">
        <v>142</v>
      </c>
      <c r="K105" s="3" t="s">
        <v>143</v>
      </c>
      <c r="N105" s="3">
        <v>292.01</v>
      </c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H105" s="47"/>
      <c r="AI105" s="3">
        <v>1.36</v>
      </c>
      <c r="AJ105" s="3">
        <v>59</v>
      </c>
      <c r="AK105" s="3" t="s">
        <v>172</v>
      </c>
      <c r="AN105" s="3">
        <v>71</v>
      </c>
      <c r="AT105" s="3" t="s">
        <v>146</v>
      </c>
    </row>
    <row r="106" spans="1:47" ht="17" x14ac:dyDescent="0.2">
      <c r="A106" s="29">
        <v>106.99999999999932</v>
      </c>
      <c r="B106" s="3">
        <v>111</v>
      </c>
      <c r="C106" s="3">
        <v>22.105</v>
      </c>
      <c r="D106" s="34" t="s">
        <v>148</v>
      </c>
      <c r="E106" s="35" t="s">
        <v>149</v>
      </c>
      <c r="F106" s="3" t="s">
        <v>74</v>
      </c>
      <c r="G106" s="3" t="s">
        <v>74</v>
      </c>
      <c r="H106" s="35"/>
      <c r="I106" s="32">
        <v>44580</v>
      </c>
      <c r="N106" s="3">
        <v>254.02</v>
      </c>
      <c r="AI106" s="3">
        <v>1.4810000000000001</v>
      </c>
      <c r="AJ106" s="3">
        <v>32.68</v>
      </c>
      <c r="AK106" s="3" t="s">
        <v>173</v>
      </c>
      <c r="AM106" s="3">
        <v>106</v>
      </c>
      <c r="AN106" s="3">
        <v>8</v>
      </c>
      <c r="AT106" s="3" t="s">
        <v>146</v>
      </c>
    </row>
    <row r="107" spans="1:47" x14ac:dyDescent="0.2">
      <c r="A107" s="29">
        <v>108.00000000000054</v>
      </c>
      <c r="B107" s="3">
        <v>160</v>
      </c>
      <c r="C107" s="3">
        <v>22.106000000000002</v>
      </c>
      <c r="D107" s="36" t="s">
        <v>151</v>
      </c>
      <c r="E107" s="3" t="s">
        <v>152</v>
      </c>
      <c r="F107" s="37" t="s">
        <v>153</v>
      </c>
      <c r="I107" s="32">
        <v>44609</v>
      </c>
      <c r="J107" s="3" t="s">
        <v>142</v>
      </c>
      <c r="K107" s="3" t="s">
        <v>166</v>
      </c>
      <c r="L107" s="3">
        <v>217</v>
      </c>
      <c r="N107" s="3">
        <v>219.7</v>
      </c>
      <c r="O107" s="3">
        <v>180.35</v>
      </c>
      <c r="P107" s="3">
        <v>189.94</v>
      </c>
      <c r="Q107" s="3">
        <v>44.69</v>
      </c>
      <c r="R107" s="3">
        <v>25.08</v>
      </c>
      <c r="S107" s="3">
        <v>114.91</v>
      </c>
      <c r="T107" s="3">
        <v>89.28</v>
      </c>
      <c r="U107" s="3">
        <v>68.37</v>
      </c>
      <c r="V107" s="3">
        <v>54.82</v>
      </c>
      <c r="W107" s="3">
        <v>74.459999999999994</v>
      </c>
      <c r="X107" s="3">
        <v>93.49</v>
      </c>
      <c r="Y107" s="3">
        <v>42.13</v>
      </c>
      <c r="Z107" s="3">
        <v>104.28</v>
      </c>
      <c r="AA107" s="3">
        <v>80.42</v>
      </c>
      <c r="AB107" s="3">
        <v>82.11</v>
      </c>
      <c r="AC107" s="3">
        <v>21.32</v>
      </c>
      <c r="AD107" s="3">
        <v>44.93</v>
      </c>
      <c r="AE107" s="3">
        <v>29.47</v>
      </c>
      <c r="AF107" s="3">
        <v>46.78</v>
      </c>
      <c r="AG107" s="3">
        <v>37.020000000000003</v>
      </c>
      <c r="AH107" s="3">
        <v>47.94</v>
      </c>
      <c r="AI107" s="3">
        <v>1.978</v>
      </c>
      <c r="AL107" s="3">
        <v>9</v>
      </c>
      <c r="AO107" s="3">
        <v>15.1</v>
      </c>
      <c r="AP107" s="3">
        <v>92.3</v>
      </c>
      <c r="AQ107" s="3">
        <v>51.3</v>
      </c>
      <c r="AR107" s="3">
        <v>50.1</v>
      </c>
      <c r="AS107" s="3">
        <v>22.1</v>
      </c>
    </row>
    <row r="108" spans="1:47" x14ac:dyDescent="0.2">
      <c r="A108" s="29">
        <v>109.00000000000176</v>
      </c>
      <c r="B108" s="3">
        <v>155</v>
      </c>
      <c r="C108" s="3">
        <v>22.106999999999999</v>
      </c>
      <c r="D108" s="36" t="s">
        <v>151</v>
      </c>
      <c r="E108" s="3" t="s">
        <v>162</v>
      </c>
      <c r="F108" s="3" t="s">
        <v>88</v>
      </c>
      <c r="G108" s="3" t="s">
        <v>88</v>
      </c>
      <c r="I108" s="32">
        <v>44606</v>
      </c>
      <c r="J108" s="3" t="s">
        <v>142</v>
      </c>
      <c r="K108" s="3" t="s">
        <v>166</v>
      </c>
      <c r="L108" s="3">
        <v>251</v>
      </c>
      <c r="N108" s="3">
        <v>250.4</v>
      </c>
      <c r="O108" s="3">
        <v>182.8</v>
      </c>
      <c r="P108" s="3">
        <v>194.14</v>
      </c>
      <c r="Q108" s="3">
        <v>46.16</v>
      </c>
      <c r="R108" s="3">
        <v>21.73</v>
      </c>
      <c r="S108" s="3">
        <v>120.26</v>
      </c>
      <c r="T108" s="3">
        <v>96.68</v>
      </c>
      <c r="U108" s="3">
        <v>66.650000000000006</v>
      </c>
      <c r="V108" s="3">
        <v>49.82</v>
      </c>
      <c r="W108" s="3">
        <v>71.5</v>
      </c>
      <c r="X108" s="3">
        <v>95.28</v>
      </c>
      <c r="Y108" s="3">
        <v>41.2</v>
      </c>
      <c r="Z108" s="3">
        <v>103.93</v>
      </c>
      <c r="AA108" s="3">
        <v>81.430000000000007</v>
      </c>
      <c r="AB108" s="3">
        <v>83.68</v>
      </c>
      <c r="AC108" s="3">
        <v>19.010000000000002</v>
      </c>
      <c r="AD108" s="3">
        <v>46.86</v>
      </c>
      <c r="AE108" s="3">
        <v>31.73</v>
      </c>
      <c r="AF108" s="3">
        <v>41.72</v>
      </c>
      <c r="AG108" s="3">
        <v>36.61</v>
      </c>
      <c r="AH108" s="3">
        <v>46.03</v>
      </c>
      <c r="AI108" s="3">
        <v>1.8779999999999999</v>
      </c>
      <c r="AL108" s="3">
        <v>39</v>
      </c>
      <c r="AO108" s="3">
        <v>14.1</v>
      </c>
      <c r="AP108" s="3">
        <v>92.5</v>
      </c>
      <c r="AQ108" s="3">
        <v>43.6</v>
      </c>
      <c r="AR108" s="3">
        <v>58.5</v>
      </c>
      <c r="AS108" s="3">
        <v>27.3</v>
      </c>
    </row>
    <row r="109" spans="1:47" x14ac:dyDescent="0.2">
      <c r="A109" s="29">
        <v>109.99999999999943</v>
      </c>
      <c r="B109" s="3">
        <v>161</v>
      </c>
      <c r="C109" s="3">
        <v>22.108000000000001</v>
      </c>
      <c r="D109" s="36" t="s">
        <v>151</v>
      </c>
      <c r="E109" s="3" t="s">
        <v>152</v>
      </c>
      <c r="F109" s="37" t="s">
        <v>153</v>
      </c>
      <c r="I109" s="32">
        <v>44609</v>
      </c>
      <c r="J109" s="3" t="s">
        <v>142</v>
      </c>
      <c r="K109" s="3" t="s">
        <v>166</v>
      </c>
      <c r="L109" s="3">
        <v>231</v>
      </c>
      <c r="N109" s="3">
        <v>231.8</v>
      </c>
      <c r="O109" s="3">
        <v>180.05</v>
      </c>
      <c r="P109" s="3">
        <v>194.04</v>
      </c>
      <c r="Q109" s="3">
        <v>43.7</v>
      </c>
      <c r="R109" s="3">
        <v>26.51</v>
      </c>
      <c r="S109" s="3">
        <v>119.41</v>
      </c>
      <c r="T109" s="3">
        <v>92.89</v>
      </c>
      <c r="U109" s="3">
        <v>66.44</v>
      </c>
      <c r="V109" s="3">
        <v>52.55</v>
      </c>
      <c r="W109" s="3">
        <v>71.87</v>
      </c>
      <c r="X109" s="3">
        <v>90.24</v>
      </c>
      <c r="Y109" s="3">
        <v>39.92</v>
      </c>
      <c r="Z109" s="3">
        <v>101.26</v>
      </c>
      <c r="AA109" s="3">
        <v>78.14</v>
      </c>
      <c r="AB109" s="3">
        <v>82.43</v>
      </c>
      <c r="AC109" s="3">
        <v>26.22</v>
      </c>
      <c r="AD109" s="3">
        <v>45.53</v>
      </c>
      <c r="AE109" s="3">
        <v>32.979999999999997</v>
      </c>
      <c r="AF109" s="3">
        <v>43.58</v>
      </c>
      <c r="AG109" s="3">
        <v>39.549999999999997</v>
      </c>
      <c r="AH109" s="3">
        <v>44.92</v>
      </c>
      <c r="AI109" s="3">
        <v>1.986</v>
      </c>
      <c r="AL109" s="3">
        <v>2</v>
      </c>
      <c r="AO109" s="3">
        <v>13.5</v>
      </c>
      <c r="AP109" s="3">
        <v>99.1</v>
      </c>
      <c r="AQ109" s="3">
        <v>55.6</v>
      </c>
      <c r="AR109" s="3">
        <v>56.3</v>
      </c>
      <c r="AS109" s="3">
        <v>26.4</v>
      </c>
    </row>
    <row r="110" spans="1:47" x14ac:dyDescent="0.2">
      <c r="A110" s="29">
        <v>111.00000000000065</v>
      </c>
      <c r="B110" s="3">
        <v>154</v>
      </c>
      <c r="C110" s="3">
        <v>22.109000000000002</v>
      </c>
      <c r="D110" s="36" t="s">
        <v>151</v>
      </c>
      <c r="E110" s="3" t="s">
        <v>162</v>
      </c>
      <c r="F110" s="3" t="s">
        <v>88</v>
      </c>
      <c r="G110" s="3" t="s">
        <v>88</v>
      </c>
      <c r="I110" s="32">
        <v>44607</v>
      </c>
      <c r="J110" s="3" t="s">
        <v>142</v>
      </c>
      <c r="K110" s="3" t="s">
        <v>166</v>
      </c>
      <c r="L110" s="3">
        <v>245</v>
      </c>
      <c r="N110" s="3">
        <v>243.5</v>
      </c>
      <c r="O110" s="3">
        <v>177.86</v>
      </c>
      <c r="P110" s="3">
        <v>191.76</v>
      </c>
      <c r="Q110" s="3">
        <v>44.56</v>
      </c>
      <c r="R110" s="3">
        <v>19.78</v>
      </c>
      <c r="S110" s="3">
        <v>122.73</v>
      </c>
      <c r="T110" s="3">
        <v>94.58</v>
      </c>
      <c r="U110" s="3">
        <v>62.76</v>
      </c>
      <c r="V110" s="3">
        <v>48.67</v>
      </c>
      <c r="W110" s="3">
        <v>71.33</v>
      </c>
      <c r="X110" s="3">
        <v>94.24</v>
      </c>
      <c r="Y110" s="3">
        <v>42.5</v>
      </c>
      <c r="Z110" s="3">
        <v>103.26</v>
      </c>
      <c r="AA110" s="3">
        <v>79.260000000000005</v>
      </c>
      <c r="AB110" s="3">
        <v>81.06</v>
      </c>
      <c r="AC110" s="3">
        <v>12.73</v>
      </c>
      <c r="AD110" s="3">
        <v>46.91</v>
      </c>
      <c r="AE110" s="3">
        <v>31.83</v>
      </c>
      <c r="AF110" s="3">
        <v>45.35</v>
      </c>
      <c r="AG110" s="3">
        <v>37.840000000000003</v>
      </c>
      <c r="AH110" s="3">
        <v>47.94</v>
      </c>
      <c r="AI110" s="3">
        <v>2.0699999999999998</v>
      </c>
      <c r="AL110" s="3">
        <v>19</v>
      </c>
      <c r="AO110" s="3">
        <v>13.7</v>
      </c>
      <c r="AP110" s="3">
        <v>88.4</v>
      </c>
      <c r="AQ110" s="3">
        <v>58.3</v>
      </c>
      <c r="AR110" s="3">
        <v>60.8</v>
      </c>
      <c r="AS110" s="3">
        <v>27.2</v>
      </c>
    </row>
    <row r="111" spans="1:47" x14ac:dyDescent="0.2">
      <c r="A111" s="29">
        <v>111.99999999999832</v>
      </c>
      <c r="B111" s="3">
        <v>157</v>
      </c>
      <c r="C111" s="12" t="s">
        <v>185</v>
      </c>
      <c r="D111" s="36" t="s">
        <v>151</v>
      </c>
      <c r="E111" s="3" t="s">
        <v>162</v>
      </c>
      <c r="F111" s="3" t="s">
        <v>88</v>
      </c>
      <c r="G111" s="3" t="s">
        <v>88</v>
      </c>
      <c r="I111" s="32">
        <v>44606</v>
      </c>
      <c r="J111" s="3" t="s">
        <v>142</v>
      </c>
      <c r="K111" s="3" t="s">
        <v>166</v>
      </c>
      <c r="L111" s="3">
        <v>244</v>
      </c>
      <c r="N111" s="3">
        <v>244.4</v>
      </c>
      <c r="O111" s="3">
        <v>179.24</v>
      </c>
      <c r="P111" s="3">
        <v>187.77</v>
      </c>
      <c r="Q111" s="3">
        <v>43.47</v>
      </c>
      <c r="R111" s="3">
        <v>17.920000000000002</v>
      </c>
      <c r="S111" s="3">
        <v>121.37</v>
      </c>
      <c r="T111" s="3">
        <v>95.79</v>
      </c>
      <c r="U111" s="3">
        <v>64.11</v>
      </c>
      <c r="V111" s="3">
        <v>51.35</v>
      </c>
      <c r="W111" s="3">
        <v>72.069999999999993</v>
      </c>
      <c r="X111" s="3">
        <v>93.84</v>
      </c>
      <c r="Y111" s="3">
        <v>43.21</v>
      </c>
      <c r="Z111" s="3">
        <v>105.02</v>
      </c>
      <c r="AA111" s="3">
        <v>80.790000000000006</v>
      </c>
      <c r="AB111" s="3">
        <v>83.7</v>
      </c>
      <c r="AC111" s="3">
        <v>18.59</v>
      </c>
      <c r="AD111" s="3">
        <v>45.37</v>
      </c>
      <c r="AE111" s="3">
        <v>31.63</v>
      </c>
      <c r="AF111" s="3">
        <v>42.03</v>
      </c>
      <c r="AG111" s="3">
        <v>36.86</v>
      </c>
      <c r="AH111" s="3">
        <v>44.38</v>
      </c>
      <c r="AI111" s="3">
        <v>1.95</v>
      </c>
      <c r="AL111" s="3">
        <v>3</v>
      </c>
      <c r="AO111" s="3">
        <v>13.9</v>
      </c>
      <c r="AP111" s="3">
        <v>101.2</v>
      </c>
      <c r="AQ111" s="3">
        <v>62.9</v>
      </c>
      <c r="AR111" s="3">
        <v>60.4</v>
      </c>
      <c r="AS111" s="3">
        <v>27.7</v>
      </c>
    </row>
    <row r="112" spans="1:47" x14ac:dyDescent="0.2">
      <c r="A112" s="29">
        <v>112.99999999999955</v>
      </c>
      <c r="B112" s="3">
        <v>156</v>
      </c>
      <c r="C112" s="3">
        <v>22.111000000000001</v>
      </c>
      <c r="D112" s="36" t="s">
        <v>151</v>
      </c>
      <c r="E112" s="3" t="s">
        <v>162</v>
      </c>
      <c r="F112" s="3" t="s">
        <v>88</v>
      </c>
      <c r="G112" s="3" t="s">
        <v>88</v>
      </c>
      <c r="I112" s="32">
        <v>44606</v>
      </c>
      <c r="J112" s="3" t="s">
        <v>142</v>
      </c>
      <c r="K112" s="3" t="s">
        <v>166</v>
      </c>
      <c r="L112" s="3">
        <v>246</v>
      </c>
      <c r="N112" s="3">
        <v>246.3</v>
      </c>
      <c r="O112" s="3">
        <v>180.78</v>
      </c>
      <c r="P112" s="3">
        <v>192.85</v>
      </c>
      <c r="Q112" s="3">
        <v>42.72</v>
      </c>
      <c r="R112" s="3">
        <v>20.63</v>
      </c>
      <c r="S112" s="3">
        <v>119.76</v>
      </c>
      <c r="T112" s="3">
        <v>93.73</v>
      </c>
      <c r="U112" s="3">
        <v>64.19</v>
      </c>
      <c r="V112" s="3">
        <v>49.02</v>
      </c>
      <c r="W112" s="3">
        <v>71.72</v>
      </c>
      <c r="X112" s="3">
        <v>97</v>
      </c>
      <c r="Y112" s="3">
        <v>43.19</v>
      </c>
      <c r="Z112" s="3">
        <v>104.79</v>
      </c>
      <c r="AA112" s="3">
        <v>80.010000000000005</v>
      </c>
      <c r="AB112" s="3">
        <v>83.62</v>
      </c>
      <c r="AC112" s="3">
        <v>15.3</v>
      </c>
      <c r="AD112" s="3">
        <v>47.65</v>
      </c>
      <c r="AE112" s="3">
        <v>33.090000000000003</v>
      </c>
      <c r="AF112" s="3">
        <v>43.74</v>
      </c>
      <c r="AG112" s="3">
        <v>38.24</v>
      </c>
      <c r="AH112" s="3">
        <v>42.72</v>
      </c>
      <c r="AI112" s="3">
        <v>2.2549999999999999</v>
      </c>
      <c r="AL112" s="3">
        <v>14</v>
      </c>
      <c r="AO112" s="3">
        <v>14.7</v>
      </c>
      <c r="AP112" s="3">
        <v>98.5</v>
      </c>
      <c r="AQ112" s="3">
        <v>54.7</v>
      </c>
      <c r="AR112" s="3">
        <v>61.6</v>
      </c>
      <c r="AS112" s="3">
        <v>28.4</v>
      </c>
    </row>
    <row r="113" spans="1:45" ht="17" x14ac:dyDescent="0.2">
      <c r="A113" s="29">
        <v>114.00000000000077</v>
      </c>
      <c r="B113" s="3">
        <v>125</v>
      </c>
      <c r="C113" s="3">
        <v>22.111999999999998</v>
      </c>
      <c r="D113" s="34" t="s">
        <v>148</v>
      </c>
      <c r="E113" s="35" t="s">
        <v>149</v>
      </c>
      <c r="F113" s="3" t="s">
        <v>74</v>
      </c>
      <c r="G113" s="3" t="s">
        <v>74</v>
      </c>
      <c r="H113" s="35"/>
      <c r="I113" s="32">
        <v>44590</v>
      </c>
      <c r="J113" s="3" t="s">
        <v>142</v>
      </c>
      <c r="K113" s="3" t="s">
        <v>166</v>
      </c>
      <c r="L113" s="48">
        <v>203</v>
      </c>
      <c r="N113" s="3">
        <v>205.8</v>
      </c>
      <c r="O113" s="3">
        <v>160.84</v>
      </c>
      <c r="P113" s="3">
        <v>174.03</v>
      </c>
      <c r="Q113" s="3">
        <v>36.56</v>
      </c>
      <c r="R113" s="3">
        <v>17.57</v>
      </c>
      <c r="S113" s="3">
        <v>116.05</v>
      </c>
      <c r="T113" s="3">
        <v>90.81</v>
      </c>
      <c r="U113" s="3">
        <v>62.5</v>
      </c>
      <c r="V113" s="3">
        <v>47.93</v>
      </c>
      <c r="W113" s="3">
        <v>71.19</v>
      </c>
      <c r="X113" s="3">
        <v>87.38</v>
      </c>
      <c r="Y113" s="3">
        <v>40.369999999999997</v>
      </c>
      <c r="Z113" s="3">
        <v>96.35</v>
      </c>
      <c r="AA113" s="3">
        <v>74.41</v>
      </c>
      <c r="AB113" s="3">
        <v>77.06</v>
      </c>
      <c r="AC113" s="3">
        <v>16.88</v>
      </c>
      <c r="AD113" s="3">
        <v>48.22</v>
      </c>
      <c r="AE113" s="3">
        <v>32.58</v>
      </c>
      <c r="AF113" s="3">
        <v>35.700000000000003</v>
      </c>
      <c r="AG113" s="3">
        <v>34.31</v>
      </c>
      <c r="AH113" s="3">
        <v>40.82</v>
      </c>
      <c r="AI113" s="3">
        <v>1.9335</v>
      </c>
      <c r="AL113" s="3">
        <v>14.5</v>
      </c>
      <c r="AO113" s="3">
        <v>16</v>
      </c>
      <c r="AP113" s="3">
        <v>77</v>
      </c>
      <c r="AQ113" s="3">
        <v>46.2</v>
      </c>
      <c r="AR113" s="3">
        <v>50.3</v>
      </c>
      <c r="AS113" s="3">
        <v>22</v>
      </c>
    </row>
    <row r="114" spans="1:45" ht="17" x14ac:dyDescent="0.2">
      <c r="A114" s="29">
        <v>114.99999999999844</v>
      </c>
      <c r="B114" s="3">
        <v>114</v>
      </c>
      <c r="C114" s="3">
        <v>22.113</v>
      </c>
      <c r="D114" s="34" t="s">
        <v>148</v>
      </c>
      <c r="E114" s="35" t="s">
        <v>149</v>
      </c>
      <c r="F114" s="3" t="s">
        <v>74</v>
      </c>
      <c r="G114" s="3" t="s">
        <v>74</v>
      </c>
      <c r="H114" s="35"/>
      <c r="I114" s="32">
        <v>44591</v>
      </c>
      <c r="J114" s="3" t="s">
        <v>142</v>
      </c>
      <c r="K114" s="3" t="s">
        <v>166</v>
      </c>
      <c r="L114" s="3">
        <v>208</v>
      </c>
      <c r="N114" s="3">
        <v>212.6</v>
      </c>
      <c r="O114" s="3">
        <v>155.63</v>
      </c>
      <c r="P114" s="3">
        <v>167.07</v>
      </c>
      <c r="Q114" s="3">
        <v>38.840000000000003</v>
      </c>
      <c r="R114" s="3">
        <v>10.64</v>
      </c>
      <c r="S114" s="3">
        <v>111.16</v>
      </c>
      <c r="T114" s="3">
        <v>88.21</v>
      </c>
      <c r="U114" s="3">
        <v>58.78</v>
      </c>
      <c r="V114" s="3">
        <v>49.62</v>
      </c>
      <c r="W114" s="3">
        <v>64.78</v>
      </c>
      <c r="X114" s="3">
        <v>85.65</v>
      </c>
      <c r="Y114" s="3">
        <v>42.35</v>
      </c>
      <c r="Z114" s="3">
        <v>96.3</v>
      </c>
      <c r="AA114" s="3">
        <v>75.61</v>
      </c>
      <c r="AB114" s="3">
        <v>78.180000000000007</v>
      </c>
      <c r="AC114" s="3">
        <v>18.14</v>
      </c>
      <c r="AD114" s="3">
        <v>49.34</v>
      </c>
      <c r="AE114" s="3">
        <v>26.19</v>
      </c>
      <c r="AF114" s="3">
        <v>36.29</v>
      </c>
      <c r="AG114" s="3">
        <v>29.07</v>
      </c>
      <c r="AH114" s="3">
        <v>39.22</v>
      </c>
      <c r="AI114" s="3">
        <v>1.8140000000000001</v>
      </c>
      <c r="AL114" s="3">
        <v>13</v>
      </c>
      <c r="AO114" s="3">
        <v>12.8</v>
      </c>
      <c r="AP114" s="3">
        <v>84.1</v>
      </c>
      <c r="AQ114" s="3">
        <v>50.7</v>
      </c>
      <c r="AR114" s="3">
        <v>49.7</v>
      </c>
      <c r="AS114" s="3">
        <v>22</v>
      </c>
    </row>
    <row r="115" spans="1:45" x14ac:dyDescent="0.2">
      <c r="A115" s="29">
        <v>115.99999999999966</v>
      </c>
      <c r="B115" s="3" t="s">
        <v>186</v>
      </c>
      <c r="C115" s="3">
        <v>22.114000000000001</v>
      </c>
      <c r="D115" s="49" t="s">
        <v>187</v>
      </c>
      <c r="E115" s="3" t="s">
        <v>188</v>
      </c>
      <c r="F115" s="3">
        <v>262</v>
      </c>
      <c r="G115" s="3">
        <v>262</v>
      </c>
      <c r="I115" s="32">
        <v>44568</v>
      </c>
      <c r="J115" s="3" t="s">
        <v>142</v>
      </c>
      <c r="K115" s="3" t="s">
        <v>166</v>
      </c>
      <c r="L115" s="3">
        <v>200</v>
      </c>
      <c r="N115" s="3">
        <v>153.9</v>
      </c>
      <c r="O115" s="17">
        <v>168.64</v>
      </c>
      <c r="P115" s="17">
        <v>184.25</v>
      </c>
      <c r="Q115" s="17">
        <v>51.92</v>
      </c>
      <c r="R115" s="17">
        <v>14.09</v>
      </c>
      <c r="S115" s="17">
        <v>110.31</v>
      </c>
      <c r="T115" s="17">
        <v>89.35</v>
      </c>
      <c r="U115" s="50">
        <v>58.25</v>
      </c>
      <c r="V115" s="50">
        <v>44.2</v>
      </c>
      <c r="W115" s="50">
        <v>61.86</v>
      </c>
      <c r="X115" s="50">
        <v>77.23</v>
      </c>
      <c r="Y115" s="50">
        <v>34.57</v>
      </c>
      <c r="Z115" s="50">
        <v>87.11</v>
      </c>
      <c r="AA115" s="50">
        <v>71.319999999999993</v>
      </c>
      <c r="AB115" s="50">
        <v>71.41</v>
      </c>
      <c r="AC115" s="50">
        <v>12.38</v>
      </c>
      <c r="AD115" s="50">
        <v>39.33</v>
      </c>
      <c r="AE115" s="17">
        <v>32.159999999999997</v>
      </c>
      <c r="AF115" s="17">
        <v>36.53</v>
      </c>
      <c r="AG115" s="17">
        <v>32.299999999999997</v>
      </c>
      <c r="AH115" s="17">
        <v>42.81</v>
      </c>
      <c r="AI115" s="3">
        <v>1.4490000000000001</v>
      </c>
      <c r="AO115" s="3">
        <v>13.8</v>
      </c>
      <c r="AP115" s="3">
        <v>56.3</v>
      </c>
      <c r="AQ115" s="3">
        <v>46.3</v>
      </c>
      <c r="AR115" s="3">
        <v>35.1</v>
      </c>
      <c r="AS115" s="3">
        <v>15.1</v>
      </c>
    </row>
    <row r="116" spans="1:45" x14ac:dyDescent="0.2">
      <c r="A116" s="29">
        <v>117.00000000000088</v>
      </c>
      <c r="B116" s="3" t="s">
        <v>189</v>
      </c>
      <c r="C116" s="3">
        <v>22.114999999999998</v>
      </c>
      <c r="D116" s="49" t="s">
        <v>187</v>
      </c>
      <c r="E116" s="3" t="s">
        <v>188</v>
      </c>
      <c r="F116" s="3">
        <v>262</v>
      </c>
      <c r="G116" s="3">
        <v>262</v>
      </c>
      <c r="I116" s="32">
        <v>44585</v>
      </c>
      <c r="J116" s="3" t="s">
        <v>142</v>
      </c>
      <c r="K116" s="3" t="s">
        <v>166</v>
      </c>
      <c r="L116" s="3">
        <v>218</v>
      </c>
      <c r="N116" s="3">
        <v>166.9</v>
      </c>
      <c r="O116" s="17">
        <v>186.28</v>
      </c>
      <c r="P116" s="17">
        <v>196.01</v>
      </c>
      <c r="Q116" s="17">
        <v>50.64</v>
      </c>
      <c r="R116" s="17">
        <v>23.92</v>
      </c>
      <c r="S116" s="17">
        <v>116.12</v>
      </c>
      <c r="T116" s="17">
        <v>90.92</v>
      </c>
      <c r="U116" s="50">
        <v>56.64</v>
      </c>
      <c r="V116" s="50">
        <v>44.46</v>
      </c>
      <c r="W116" s="50">
        <v>62.06</v>
      </c>
      <c r="X116" s="50">
        <v>75.87</v>
      </c>
      <c r="Y116" s="50">
        <v>33.81</v>
      </c>
      <c r="Z116" s="50">
        <v>85.62</v>
      </c>
      <c r="AA116" s="50">
        <v>72.42</v>
      </c>
      <c r="AB116" s="50">
        <v>70.13</v>
      </c>
      <c r="AC116" s="50">
        <v>5.5</v>
      </c>
      <c r="AD116" s="50">
        <v>42.63</v>
      </c>
      <c r="AE116" s="17">
        <v>36.51</v>
      </c>
      <c r="AF116" s="17">
        <v>41.94</v>
      </c>
      <c r="AG116" s="17">
        <v>39.35</v>
      </c>
      <c r="AH116" s="17">
        <v>40.409999999999997</v>
      </c>
      <c r="AI116" s="3">
        <v>1.45</v>
      </c>
      <c r="AO116" s="3">
        <v>13</v>
      </c>
      <c r="AP116" s="3">
        <v>66</v>
      </c>
      <c r="AQ116" s="3">
        <v>48.1</v>
      </c>
      <c r="AR116" s="3">
        <v>37.4</v>
      </c>
      <c r="AS116" s="3">
        <v>16.3</v>
      </c>
    </row>
    <row r="117" spans="1:45" x14ac:dyDescent="0.2">
      <c r="A117" s="29">
        <v>117.99999999999855</v>
      </c>
      <c r="B117" s="3" t="s">
        <v>190</v>
      </c>
      <c r="C117" s="3">
        <v>22.116</v>
      </c>
      <c r="D117" s="49" t="s">
        <v>187</v>
      </c>
      <c r="E117" s="3" t="s">
        <v>188</v>
      </c>
      <c r="F117" s="3">
        <v>262</v>
      </c>
      <c r="G117" s="3">
        <v>262</v>
      </c>
      <c r="I117" s="32">
        <v>44568</v>
      </c>
      <c r="J117" s="3" t="s">
        <v>142</v>
      </c>
      <c r="K117" s="3" t="s">
        <v>166</v>
      </c>
      <c r="L117" s="3">
        <v>203</v>
      </c>
      <c r="N117" s="3">
        <v>161</v>
      </c>
      <c r="O117" s="17">
        <v>173.02</v>
      </c>
      <c r="P117" s="17">
        <v>183.18</v>
      </c>
      <c r="Q117" s="17">
        <v>49.24</v>
      </c>
      <c r="R117" s="17">
        <v>18.489999999999998</v>
      </c>
      <c r="S117" s="17">
        <v>108.48</v>
      </c>
      <c r="T117" s="17">
        <v>89.37</v>
      </c>
      <c r="U117" s="50">
        <v>60.75</v>
      </c>
      <c r="V117" s="50">
        <v>46.5</v>
      </c>
      <c r="W117" s="50">
        <v>62.89</v>
      </c>
      <c r="X117" s="50">
        <v>75.760000000000005</v>
      </c>
      <c r="Y117" s="50">
        <v>33.950000000000003</v>
      </c>
      <c r="Z117" s="50">
        <v>83.41</v>
      </c>
      <c r="AA117" s="50">
        <v>68.709999999999994</v>
      </c>
      <c r="AB117" s="50">
        <v>69.19</v>
      </c>
      <c r="AC117" s="50">
        <v>7.17</v>
      </c>
      <c r="AD117" s="50">
        <v>42.14</v>
      </c>
      <c r="AE117" s="17">
        <v>31.01</v>
      </c>
      <c r="AF117" s="17">
        <v>35.979999999999997</v>
      </c>
      <c r="AG117" s="17">
        <v>33.33</v>
      </c>
      <c r="AH117" s="17">
        <v>37.979999999999997</v>
      </c>
      <c r="AI117" s="3">
        <v>1.4970000000000001</v>
      </c>
      <c r="AO117" s="3">
        <f>17.6-3.2</f>
        <v>14.400000000000002</v>
      </c>
      <c r="AP117" s="3">
        <v>58.6</v>
      </c>
      <c r="AQ117" s="3">
        <v>50.1</v>
      </c>
      <c r="AR117" s="3">
        <v>35.6</v>
      </c>
      <c r="AS117" s="3">
        <v>15.4</v>
      </c>
    </row>
    <row r="118" spans="1:45" x14ac:dyDescent="0.2">
      <c r="A118" s="29">
        <v>118.99999999999977</v>
      </c>
      <c r="B118" s="3" t="s">
        <v>191</v>
      </c>
      <c r="C118" s="3">
        <v>22.117000000000001</v>
      </c>
      <c r="D118" s="49" t="s">
        <v>187</v>
      </c>
      <c r="E118" s="3" t="s">
        <v>188</v>
      </c>
      <c r="F118" s="3">
        <v>262</v>
      </c>
      <c r="G118" s="3">
        <v>262</v>
      </c>
      <c r="I118" s="32">
        <v>44568</v>
      </c>
      <c r="J118" s="3" t="s">
        <v>142</v>
      </c>
      <c r="K118" s="3" t="s">
        <v>166</v>
      </c>
      <c r="L118" s="3">
        <v>211</v>
      </c>
      <c r="N118" s="3">
        <v>172.8</v>
      </c>
      <c r="O118" s="17">
        <v>174.06</v>
      </c>
      <c r="P118" s="17">
        <v>184.23</v>
      </c>
      <c r="Q118" s="17">
        <v>52.56</v>
      </c>
      <c r="R118" s="17">
        <v>18.45</v>
      </c>
      <c r="S118" s="17">
        <v>110.48</v>
      </c>
      <c r="T118" s="17">
        <v>84.09</v>
      </c>
      <c r="U118" s="50">
        <v>55.51</v>
      </c>
      <c r="V118" s="50">
        <v>42.96</v>
      </c>
      <c r="W118" s="50">
        <v>60.06</v>
      </c>
      <c r="X118" s="50">
        <v>75.63</v>
      </c>
      <c r="Y118" s="50">
        <v>36.869999999999997</v>
      </c>
      <c r="Z118" s="50">
        <v>86.82</v>
      </c>
      <c r="AA118" s="50">
        <v>72.510000000000005</v>
      </c>
      <c r="AB118" s="50">
        <v>72.56</v>
      </c>
      <c r="AC118" s="50">
        <v>10.99</v>
      </c>
      <c r="AD118" s="50">
        <v>43.65</v>
      </c>
      <c r="AE118" s="17">
        <v>28.88</v>
      </c>
      <c r="AF118" s="17">
        <v>39.69</v>
      </c>
      <c r="AG118" s="17">
        <v>35.15</v>
      </c>
      <c r="AH118" s="17">
        <v>41.63</v>
      </c>
      <c r="AI118" s="3">
        <v>1.304</v>
      </c>
      <c r="AO118" s="3">
        <v>14.3</v>
      </c>
      <c r="AP118" s="3">
        <v>66.599999999999994</v>
      </c>
      <c r="AQ118" s="3">
        <v>52.8</v>
      </c>
      <c r="AR118" s="3">
        <v>36.5</v>
      </c>
      <c r="AS118" s="3">
        <v>15.7</v>
      </c>
    </row>
    <row r="119" spans="1:45" x14ac:dyDescent="0.2">
      <c r="A119" s="29">
        <v>120.00000000000099</v>
      </c>
      <c r="B119" s="3" t="s">
        <v>192</v>
      </c>
      <c r="C119" s="3">
        <v>22.117999999999999</v>
      </c>
      <c r="D119" s="49" t="s">
        <v>187</v>
      </c>
      <c r="E119" s="3" t="s">
        <v>188</v>
      </c>
      <c r="F119" s="3">
        <v>262</v>
      </c>
      <c r="G119" s="3">
        <v>262</v>
      </c>
      <c r="I119" s="32">
        <v>44568</v>
      </c>
      <c r="J119" s="3" t="s">
        <v>142</v>
      </c>
      <c r="K119" s="3" t="s">
        <v>166</v>
      </c>
      <c r="L119" s="14">
        <v>232</v>
      </c>
      <c r="N119" s="3">
        <v>162</v>
      </c>
      <c r="O119" s="17">
        <v>171.55</v>
      </c>
      <c r="P119" s="17">
        <v>181.43</v>
      </c>
      <c r="Q119" s="17">
        <v>5.21</v>
      </c>
      <c r="R119" s="17">
        <v>15.12</v>
      </c>
      <c r="S119" s="17">
        <v>103.83</v>
      </c>
      <c r="T119" s="17">
        <v>86.01</v>
      </c>
      <c r="U119" s="50">
        <v>56.65</v>
      </c>
      <c r="V119" s="50">
        <v>45.34</v>
      </c>
      <c r="W119" s="50">
        <v>61.38</v>
      </c>
      <c r="X119" s="50">
        <v>77.66</v>
      </c>
      <c r="Y119" s="50">
        <v>36.57</v>
      </c>
      <c r="Z119" s="50">
        <v>87.01</v>
      </c>
      <c r="AA119" s="50">
        <v>69.52</v>
      </c>
      <c r="AB119" s="50">
        <v>65.400000000000006</v>
      </c>
      <c r="AC119" s="50">
        <v>8.7799999999999994</v>
      </c>
      <c r="AD119" s="50">
        <v>41.19</v>
      </c>
      <c r="AE119" s="17">
        <v>25.97</v>
      </c>
      <c r="AF119" s="17">
        <v>39.270000000000003</v>
      </c>
      <c r="AG119" s="17">
        <v>32.090000000000003</v>
      </c>
      <c r="AH119" s="17">
        <v>41.64</v>
      </c>
      <c r="AI119" s="3">
        <v>1.4610000000000001</v>
      </c>
      <c r="AO119" s="3">
        <v>14.8</v>
      </c>
      <c r="AP119" s="3">
        <v>60.4</v>
      </c>
      <c r="AQ119" s="3">
        <v>48.8</v>
      </c>
      <c r="AR119" s="3">
        <v>35.9</v>
      </c>
      <c r="AS119" s="3">
        <v>15.6</v>
      </c>
    </row>
    <row r="120" spans="1:45" x14ac:dyDescent="0.2">
      <c r="A120" s="29">
        <v>120.99999999999866</v>
      </c>
      <c r="B120" s="3" t="s">
        <v>193</v>
      </c>
      <c r="C120" s="3">
        <v>22.119</v>
      </c>
      <c r="D120" s="49" t="s">
        <v>187</v>
      </c>
      <c r="E120" s="3" t="s">
        <v>188</v>
      </c>
      <c r="F120" s="3">
        <v>262</v>
      </c>
      <c r="G120" s="3">
        <v>262</v>
      </c>
      <c r="I120" s="32">
        <v>44568</v>
      </c>
      <c r="J120" s="3" t="s">
        <v>142</v>
      </c>
      <c r="K120" s="3" t="s">
        <v>166</v>
      </c>
      <c r="L120" s="14">
        <v>267</v>
      </c>
      <c r="N120" s="3">
        <v>164</v>
      </c>
      <c r="O120" s="17">
        <v>185.68</v>
      </c>
      <c r="P120" s="17">
        <v>196.49</v>
      </c>
      <c r="Q120" s="17">
        <v>49.15</v>
      </c>
      <c r="R120" s="17">
        <v>20.92</v>
      </c>
      <c r="S120" s="17">
        <v>119.22</v>
      </c>
      <c r="T120" s="17">
        <v>88.91</v>
      </c>
      <c r="U120" s="50">
        <v>58.53</v>
      </c>
      <c r="V120" s="50">
        <v>44.13</v>
      </c>
      <c r="W120" s="50">
        <v>62.71</v>
      </c>
      <c r="X120" s="50">
        <v>74.989999999999995</v>
      </c>
      <c r="Y120" s="50">
        <v>35.65</v>
      </c>
      <c r="Z120" s="50">
        <v>87.1</v>
      </c>
      <c r="AA120" s="50">
        <v>70.430000000000007</v>
      </c>
      <c r="AB120" s="50">
        <v>69.739999999999995</v>
      </c>
      <c r="AC120" s="50">
        <v>7.2</v>
      </c>
      <c r="AD120" s="50">
        <v>40.950000000000003</v>
      </c>
      <c r="AE120" s="17">
        <v>35.94</v>
      </c>
      <c r="AF120" s="17">
        <v>39.93</v>
      </c>
      <c r="AG120" s="17">
        <v>36.72</v>
      </c>
      <c r="AH120" s="17">
        <v>38.299999999999997</v>
      </c>
      <c r="AI120" s="3">
        <v>1.365</v>
      </c>
      <c r="AO120" s="3">
        <v>14.1</v>
      </c>
      <c r="AP120" s="3">
        <v>60.7</v>
      </c>
      <c r="AQ120" s="3">
        <v>49.5</v>
      </c>
      <c r="AR120" s="3">
        <v>37.299999999999997</v>
      </c>
      <c r="AS120" s="3">
        <v>16.2</v>
      </c>
    </row>
    <row r="121" spans="1:45" x14ac:dyDescent="0.2">
      <c r="A121" s="29">
        <v>121.99999999999989</v>
      </c>
      <c r="B121" s="3">
        <v>164</v>
      </c>
      <c r="C121" s="12" t="s">
        <v>194</v>
      </c>
      <c r="D121" s="36" t="s">
        <v>151</v>
      </c>
      <c r="E121" s="3" t="s">
        <v>152</v>
      </c>
      <c r="F121" s="37" t="s">
        <v>153</v>
      </c>
      <c r="I121" s="32">
        <v>44609</v>
      </c>
      <c r="J121" s="3" t="s">
        <v>142</v>
      </c>
      <c r="K121" s="3" t="s">
        <v>166</v>
      </c>
      <c r="L121" s="3">
        <v>225</v>
      </c>
      <c r="N121" s="3">
        <v>225.8</v>
      </c>
      <c r="O121" s="3">
        <v>181.41</v>
      </c>
      <c r="P121" s="3">
        <v>197.79</v>
      </c>
      <c r="Q121" s="3">
        <v>45.42</v>
      </c>
      <c r="R121" s="3">
        <v>26.91</v>
      </c>
      <c r="S121" s="3">
        <v>119.55</v>
      </c>
      <c r="T121" s="3">
        <v>92.13</v>
      </c>
      <c r="U121" s="3">
        <v>70.569999999999993</v>
      </c>
      <c r="V121" s="3">
        <v>53.28</v>
      </c>
      <c r="W121" s="3">
        <v>72.78</v>
      </c>
      <c r="X121" s="3">
        <v>91.4</v>
      </c>
      <c r="Y121" s="3">
        <v>41.63</v>
      </c>
      <c r="Z121" s="3">
        <v>103.38</v>
      </c>
      <c r="AA121" s="3">
        <v>81.92</v>
      </c>
      <c r="AB121" s="3">
        <v>83.78</v>
      </c>
      <c r="AC121" s="3">
        <v>25.68</v>
      </c>
      <c r="AD121" s="3">
        <v>43.04</v>
      </c>
      <c r="AE121" s="3">
        <v>29.79</v>
      </c>
      <c r="AF121" s="3">
        <v>43.57</v>
      </c>
      <c r="AG121" s="3">
        <v>37.18</v>
      </c>
      <c r="AH121" s="3">
        <v>47.1</v>
      </c>
      <c r="AI121" s="3">
        <v>1.992</v>
      </c>
      <c r="AL121" s="3">
        <v>6</v>
      </c>
      <c r="AO121" s="3">
        <v>14.5</v>
      </c>
      <c r="AP121" s="3">
        <v>99.7</v>
      </c>
      <c r="AQ121" s="3">
        <v>49.9</v>
      </c>
      <c r="AR121" s="3">
        <v>53.7</v>
      </c>
      <c r="AS121" s="3">
        <v>22.7</v>
      </c>
    </row>
    <row r="122" spans="1:45" x14ac:dyDescent="0.2">
      <c r="A122" s="29">
        <v>123.00000000000111</v>
      </c>
      <c r="B122" s="3">
        <v>163</v>
      </c>
      <c r="C122" s="3">
        <v>22.120999999999999</v>
      </c>
      <c r="D122" s="36" t="s">
        <v>151</v>
      </c>
      <c r="E122" s="3" t="s">
        <v>152</v>
      </c>
      <c r="F122" s="37" t="s">
        <v>153</v>
      </c>
      <c r="I122" s="32">
        <v>44609</v>
      </c>
      <c r="J122" s="3" t="s">
        <v>142</v>
      </c>
      <c r="K122" s="3" t="s">
        <v>166</v>
      </c>
      <c r="L122" s="3">
        <v>227</v>
      </c>
      <c r="N122" s="3">
        <v>226.1</v>
      </c>
      <c r="O122" s="3">
        <v>178.29</v>
      </c>
      <c r="P122" s="3">
        <v>191.75</v>
      </c>
      <c r="Q122" s="3">
        <v>47.29</v>
      </c>
      <c r="R122" s="3">
        <v>21.67</v>
      </c>
      <c r="S122" s="3">
        <v>118.24</v>
      </c>
      <c r="T122" s="3">
        <v>91.29</v>
      </c>
      <c r="U122" s="3">
        <v>71.22</v>
      </c>
      <c r="V122" s="3">
        <v>54.82</v>
      </c>
      <c r="W122" s="3">
        <v>73.069999999999993</v>
      </c>
      <c r="X122" s="3">
        <v>92.75</v>
      </c>
      <c r="Y122" s="3">
        <v>41.42</v>
      </c>
      <c r="Z122" s="3">
        <v>101.83</v>
      </c>
      <c r="AA122" s="3">
        <v>80.349999999999994</v>
      </c>
      <c r="AB122" s="3">
        <v>82.68</v>
      </c>
      <c r="AC122" s="3">
        <v>19.28</v>
      </c>
      <c r="AD122" s="3">
        <v>45.16</v>
      </c>
      <c r="AE122" s="3">
        <v>29.62</v>
      </c>
      <c r="AF122" s="3">
        <v>48.69</v>
      </c>
      <c r="AG122" s="3">
        <v>35.909999999999997</v>
      </c>
      <c r="AH122" s="3">
        <v>50.94</v>
      </c>
      <c r="AI122" s="3">
        <v>2.1459999999999999</v>
      </c>
      <c r="AL122" s="3">
        <v>4.5</v>
      </c>
      <c r="AO122" s="3">
        <v>13.3</v>
      </c>
      <c r="AP122" s="3">
        <v>102.8</v>
      </c>
      <c r="AQ122" s="3">
        <v>47.5</v>
      </c>
      <c r="AR122" s="3">
        <v>56</v>
      </c>
      <c r="AS122" s="3">
        <v>23.9</v>
      </c>
    </row>
    <row r="123" spans="1:45" x14ac:dyDescent="0.2">
      <c r="A123" s="29">
        <v>123.99999999999878</v>
      </c>
      <c r="B123" s="3">
        <v>159</v>
      </c>
      <c r="C123" s="3">
        <v>22.122</v>
      </c>
      <c r="D123" s="36" t="s">
        <v>151</v>
      </c>
      <c r="E123" s="3" t="s">
        <v>152</v>
      </c>
      <c r="F123" s="37" t="s">
        <v>153</v>
      </c>
      <c r="I123" s="32">
        <v>44609</v>
      </c>
      <c r="J123" s="3" t="s">
        <v>142</v>
      </c>
      <c r="K123" s="3" t="s">
        <v>166</v>
      </c>
      <c r="L123" s="3">
        <v>223</v>
      </c>
      <c r="N123" s="3">
        <v>225.1</v>
      </c>
      <c r="O123" s="3">
        <v>182.46</v>
      </c>
      <c r="P123" s="3">
        <v>194.9</v>
      </c>
      <c r="Q123" s="3">
        <v>44.67</v>
      </c>
      <c r="R123" s="3">
        <v>26.17</v>
      </c>
      <c r="S123" s="3">
        <v>120.23</v>
      </c>
      <c r="T123" s="3">
        <v>92.83</v>
      </c>
      <c r="U123" s="3">
        <v>67.989999999999995</v>
      </c>
      <c r="V123" s="3">
        <v>54.72</v>
      </c>
      <c r="W123" s="3">
        <v>74.17</v>
      </c>
      <c r="X123" s="3">
        <v>95.91</v>
      </c>
      <c r="Y123" s="3">
        <v>40.81</v>
      </c>
      <c r="Z123" s="3">
        <v>104.13</v>
      </c>
      <c r="AA123" s="3">
        <v>81.69</v>
      </c>
      <c r="AB123" s="3">
        <v>82.88</v>
      </c>
      <c r="AC123" s="3">
        <v>24</v>
      </c>
      <c r="AD123" s="3">
        <v>44.78</v>
      </c>
      <c r="AE123" s="3">
        <v>31.69</v>
      </c>
      <c r="AF123" s="3">
        <v>41.66</v>
      </c>
      <c r="AG123" s="3">
        <v>37.32</v>
      </c>
      <c r="AH123" s="3">
        <v>46.82</v>
      </c>
      <c r="AI123" s="3">
        <v>1.97</v>
      </c>
      <c r="AL123" s="3">
        <v>12</v>
      </c>
      <c r="AO123" s="3">
        <v>14.4</v>
      </c>
      <c r="AP123" s="3">
        <v>88.3</v>
      </c>
      <c r="AQ123" s="3">
        <v>55.4</v>
      </c>
      <c r="AR123" s="3">
        <v>52.8</v>
      </c>
      <c r="AS123" s="3">
        <v>22.5</v>
      </c>
    </row>
    <row r="124" spans="1:45" x14ac:dyDescent="0.2">
      <c r="A124" s="29">
        <v>125</v>
      </c>
      <c r="B124" s="3">
        <v>162</v>
      </c>
      <c r="C124" s="3">
        <v>22.123000000000001</v>
      </c>
      <c r="D124" s="36" t="s">
        <v>151</v>
      </c>
      <c r="E124" s="3" t="s">
        <v>152</v>
      </c>
      <c r="F124" s="37" t="s">
        <v>153</v>
      </c>
      <c r="I124" s="32">
        <v>44609</v>
      </c>
      <c r="J124" s="3" t="s">
        <v>142</v>
      </c>
      <c r="K124" s="3" t="s">
        <v>166</v>
      </c>
      <c r="L124" s="3">
        <v>221</v>
      </c>
      <c r="N124" s="3">
        <v>221.2</v>
      </c>
      <c r="O124" s="3">
        <v>178.82</v>
      </c>
      <c r="P124" s="3">
        <v>191.04</v>
      </c>
      <c r="Q124" s="3">
        <v>47.36</v>
      </c>
      <c r="R124" s="3">
        <v>24.89</v>
      </c>
      <c r="S124" s="3">
        <v>116.37</v>
      </c>
      <c r="T124" s="3">
        <v>89.41</v>
      </c>
      <c r="U124" s="3">
        <v>71.22</v>
      </c>
      <c r="V124" s="3">
        <v>53.91</v>
      </c>
      <c r="W124" s="3">
        <v>72.69</v>
      </c>
      <c r="X124" s="3">
        <v>92.72</v>
      </c>
      <c r="Y124" s="3">
        <v>42.83</v>
      </c>
      <c r="Z124" s="3">
        <v>103.07</v>
      </c>
      <c r="AA124" s="3">
        <v>80</v>
      </c>
      <c r="AB124" s="3">
        <v>83.58</v>
      </c>
      <c r="AC124" s="3">
        <v>25.4</v>
      </c>
      <c r="AD124" s="3">
        <v>44.57</v>
      </c>
      <c r="AE124" s="3">
        <v>27.92</v>
      </c>
      <c r="AF124" s="3">
        <v>47.16</v>
      </c>
      <c r="AG124" s="3">
        <v>34.5</v>
      </c>
      <c r="AH124" s="3">
        <v>50.19</v>
      </c>
      <c r="AI124" s="3">
        <v>1.984</v>
      </c>
      <c r="AL124" s="3">
        <v>5</v>
      </c>
      <c r="AO124" s="3">
        <v>15.1</v>
      </c>
      <c r="AP124" s="3">
        <v>96.5</v>
      </c>
      <c r="AQ124" s="3">
        <v>52.1</v>
      </c>
      <c r="AR124" s="3">
        <v>50.6</v>
      </c>
      <c r="AS124" s="3">
        <v>21.9</v>
      </c>
    </row>
    <row r="125" spans="1:45" x14ac:dyDescent="0.2">
      <c r="A125" s="29">
        <v>126.00000000000122</v>
      </c>
      <c r="B125" s="3">
        <v>174</v>
      </c>
      <c r="C125" s="3">
        <v>22.123999999999999</v>
      </c>
      <c r="D125" s="36" t="s">
        <v>151</v>
      </c>
      <c r="E125" s="3" t="s">
        <v>152</v>
      </c>
      <c r="F125" s="3" t="s">
        <v>90</v>
      </c>
      <c r="H125" s="3" t="s">
        <v>90</v>
      </c>
      <c r="I125" s="32">
        <v>44623</v>
      </c>
      <c r="J125" s="3" t="s">
        <v>142</v>
      </c>
      <c r="K125" s="3" t="s">
        <v>166</v>
      </c>
      <c r="L125" s="3">
        <v>220</v>
      </c>
      <c r="N125" s="3">
        <v>220.9</v>
      </c>
      <c r="O125" s="3">
        <v>184.62</v>
      </c>
      <c r="P125" s="3">
        <v>192.68</v>
      </c>
      <c r="Q125" s="3">
        <v>47.04</v>
      </c>
      <c r="R125" s="3">
        <v>27.24</v>
      </c>
      <c r="S125" s="3">
        <v>115.88</v>
      </c>
      <c r="T125" s="3">
        <v>94.14</v>
      </c>
      <c r="U125" s="3">
        <v>64.03</v>
      </c>
      <c r="V125" s="3">
        <v>53.47</v>
      </c>
      <c r="W125" s="3">
        <v>74.28</v>
      </c>
      <c r="X125" s="3">
        <v>92.98</v>
      </c>
      <c r="Y125" s="3">
        <v>37.9</v>
      </c>
      <c r="Z125" s="3">
        <v>100.82</v>
      </c>
      <c r="AA125" s="3">
        <v>79.38</v>
      </c>
      <c r="AB125" s="3">
        <v>79.599999999999994</v>
      </c>
      <c r="AC125" s="3">
        <v>21.67</v>
      </c>
      <c r="AD125" s="3">
        <v>43.86</v>
      </c>
      <c r="AE125" s="3">
        <v>31.8</v>
      </c>
      <c r="AF125" s="3">
        <v>49.5</v>
      </c>
      <c r="AG125" s="3">
        <v>38.67</v>
      </c>
      <c r="AH125" s="3">
        <v>50.48</v>
      </c>
      <c r="AI125" s="3">
        <v>2.1560000000000001</v>
      </c>
      <c r="AL125" s="3">
        <v>4</v>
      </c>
      <c r="AO125" s="3">
        <v>18.3</v>
      </c>
      <c r="AP125" s="3">
        <v>86</v>
      </c>
      <c r="AQ125" s="3">
        <v>55</v>
      </c>
      <c r="AR125" s="3">
        <v>55.1</v>
      </c>
      <c r="AS125" s="3">
        <v>23.5</v>
      </c>
    </row>
    <row r="126" spans="1:45" x14ac:dyDescent="0.2">
      <c r="A126" s="29">
        <v>126.99999999999889</v>
      </c>
      <c r="B126" s="3">
        <v>167</v>
      </c>
      <c r="C126" s="3">
        <v>22.125</v>
      </c>
      <c r="D126" s="36" t="s">
        <v>151</v>
      </c>
      <c r="E126" s="3" t="s">
        <v>162</v>
      </c>
      <c r="F126" s="3" t="s">
        <v>88</v>
      </c>
      <c r="G126" s="3" t="s">
        <v>88</v>
      </c>
      <c r="I126" s="32">
        <v>44620</v>
      </c>
      <c r="J126" s="3" t="s">
        <v>142</v>
      </c>
      <c r="K126" s="3" t="s">
        <v>166</v>
      </c>
      <c r="L126" s="3">
        <v>228</v>
      </c>
      <c r="N126" s="3">
        <v>227.3</v>
      </c>
      <c r="O126" s="3">
        <v>176.23</v>
      </c>
      <c r="P126" s="3">
        <v>186.99</v>
      </c>
      <c r="Q126" s="3">
        <v>43.85</v>
      </c>
      <c r="R126" s="3">
        <v>20.2</v>
      </c>
      <c r="S126" s="3">
        <v>117.33</v>
      </c>
      <c r="T126" s="3">
        <v>92.38</v>
      </c>
      <c r="U126" s="3">
        <v>66.73</v>
      </c>
      <c r="V126" s="3">
        <v>50.82</v>
      </c>
      <c r="W126" s="3">
        <v>71.7</v>
      </c>
      <c r="X126" s="3">
        <v>91.93</v>
      </c>
      <c r="Y126" s="3">
        <v>41.42</v>
      </c>
      <c r="Z126" s="3">
        <v>104.3</v>
      </c>
      <c r="AA126" s="3">
        <v>79.97</v>
      </c>
      <c r="AB126" s="3">
        <v>78.28</v>
      </c>
      <c r="AC126" s="3">
        <v>12.6</v>
      </c>
      <c r="AD126" s="3">
        <v>45.79</v>
      </c>
      <c r="AE126" s="3">
        <v>30.54</v>
      </c>
      <c r="AF126" s="3">
        <v>44.54</v>
      </c>
      <c r="AG126" s="3">
        <v>37.090000000000003</v>
      </c>
      <c r="AH126" s="3">
        <v>44.31</v>
      </c>
      <c r="AI126" s="3">
        <v>1.859</v>
      </c>
      <c r="AL126" s="3">
        <v>19</v>
      </c>
      <c r="AO126" s="3">
        <v>13.6</v>
      </c>
      <c r="AP126" s="3">
        <v>77.400000000000006</v>
      </c>
      <c r="AQ126" s="3">
        <v>62.8</v>
      </c>
      <c r="AR126" s="3">
        <v>51.8</v>
      </c>
      <c r="AS126" s="3">
        <v>22.5</v>
      </c>
    </row>
    <row r="127" spans="1:45" x14ac:dyDescent="0.2">
      <c r="A127" s="29">
        <v>128.00000000000011</v>
      </c>
      <c r="B127" s="3">
        <v>168</v>
      </c>
      <c r="C127" s="3">
        <v>22.125999999999902</v>
      </c>
      <c r="D127" s="36" t="s">
        <v>151</v>
      </c>
      <c r="E127" s="3" t="s">
        <v>162</v>
      </c>
      <c r="F127" s="3" t="s">
        <v>88</v>
      </c>
      <c r="G127" s="3" t="s">
        <v>88</v>
      </c>
      <c r="I127" s="32">
        <v>44620</v>
      </c>
      <c r="J127" s="3" t="s">
        <v>142</v>
      </c>
      <c r="K127" s="3" t="s">
        <v>166</v>
      </c>
      <c r="L127" s="3">
        <v>233</v>
      </c>
      <c r="N127" s="3">
        <v>234.9</v>
      </c>
      <c r="O127" s="3">
        <v>177.8</v>
      </c>
      <c r="P127" s="3">
        <v>189.36</v>
      </c>
      <c r="Q127" s="3">
        <v>44.99</v>
      </c>
      <c r="R127" s="3">
        <v>17.86</v>
      </c>
      <c r="S127" s="3">
        <v>119.51</v>
      </c>
      <c r="T127" s="3">
        <v>93.58</v>
      </c>
      <c r="U127" s="3">
        <v>65.69</v>
      </c>
      <c r="V127" s="3">
        <v>49.95</v>
      </c>
      <c r="W127" s="3">
        <v>71.05</v>
      </c>
      <c r="X127" s="3">
        <v>93.51</v>
      </c>
      <c r="Y127" s="3">
        <v>41.56</v>
      </c>
      <c r="Z127" s="3">
        <v>102.42</v>
      </c>
      <c r="AA127" s="3">
        <v>78.33</v>
      </c>
      <c r="AB127" s="3">
        <v>80.010000000000005</v>
      </c>
      <c r="AC127" s="3">
        <v>9.2100000000000009</v>
      </c>
      <c r="AD127" s="3">
        <v>47.09</v>
      </c>
      <c r="AE127" s="3">
        <v>25.91</v>
      </c>
      <c r="AF127" s="3">
        <v>46.42</v>
      </c>
      <c r="AG127" s="3">
        <v>34.340000000000003</v>
      </c>
      <c r="AH127" s="3">
        <v>46.13</v>
      </c>
      <c r="AI127" s="3">
        <v>2.004</v>
      </c>
      <c r="AL127" s="3">
        <v>24</v>
      </c>
      <c r="AO127" s="3">
        <v>14</v>
      </c>
      <c r="AP127" s="3">
        <v>82.4</v>
      </c>
      <c r="AQ127" s="3">
        <v>54.3</v>
      </c>
      <c r="AR127" s="3">
        <v>56.7</v>
      </c>
      <c r="AS127" s="3">
        <v>24.8</v>
      </c>
    </row>
    <row r="128" spans="1:45" x14ac:dyDescent="0.2">
      <c r="A128" s="29">
        <v>129.00000000000134</v>
      </c>
      <c r="B128" s="3">
        <v>172</v>
      </c>
      <c r="C128" s="3">
        <v>22.126999999999899</v>
      </c>
      <c r="D128" s="36" t="s">
        <v>151</v>
      </c>
      <c r="E128" s="3" t="s">
        <v>152</v>
      </c>
      <c r="F128" s="3" t="s">
        <v>90</v>
      </c>
      <c r="H128" s="3" t="s">
        <v>90</v>
      </c>
      <c r="I128" s="32">
        <v>44623</v>
      </c>
      <c r="J128" s="3" t="s">
        <v>142</v>
      </c>
      <c r="K128" s="3" t="s">
        <v>166</v>
      </c>
      <c r="L128" s="3">
        <v>222</v>
      </c>
      <c r="N128" s="3">
        <v>223.4</v>
      </c>
      <c r="O128" s="3">
        <v>179.81</v>
      </c>
      <c r="P128" s="3">
        <v>192.42</v>
      </c>
      <c r="Q128" s="3">
        <v>45.94</v>
      </c>
      <c r="R128" s="3">
        <v>25.32</v>
      </c>
      <c r="S128" s="3">
        <v>115.47</v>
      </c>
      <c r="T128" s="3">
        <v>90.95</v>
      </c>
      <c r="U128" s="3">
        <v>69.42</v>
      </c>
      <c r="V128" s="3">
        <v>54.52</v>
      </c>
      <c r="W128" s="3">
        <v>73.930000000000007</v>
      </c>
      <c r="X128" s="3">
        <v>94.38</v>
      </c>
      <c r="Y128" s="3">
        <v>39.299999999999997</v>
      </c>
      <c r="Z128" s="3">
        <v>101.98</v>
      </c>
      <c r="AA128" s="3">
        <v>76.48</v>
      </c>
      <c r="AB128" s="3">
        <v>82.05</v>
      </c>
      <c r="AC128" s="3">
        <v>23.11</v>
      </c>
      <c r="AD128" s="3">
        <v>45.72</v>
      </c>
      <c r="AE128" s="3">
        <v>29.83</v>
      </c>
      <c r="AF128" s="3">
        <v>45.89</v>
      </c>
      <c r="AG128" s="3">
        <v>37.75</v>
      </c>
      <c r="AH128" s="3">
        <v>44.68</v>
      </c>
      <c r="AI128" s="3">
        <v>1.9</v>
      </c>
      <c r="AL128" s="3">
        <v>11</v>
      </c>
      <c r="AO128" s="3">
        <v>15.5</v>
      </c>
      <c r="AP128" s="3">
        <v>87.4</v>
      </c>
      <c r="AQ128" s="3">
        <v>54.7</v>
      </c>
      <c r="AR128" s="3">
        <v>52.5</v>
      </c>
      <c r="AS128" s="3">
        <v>20.7</v>
      </c>
    </row>
    <row r="129" spans="1:47" x14ac:dyDescent="0.2">
      <c r="A129" s="29">
        <v>129.99999999999901</v>
      </c>
      <c r="B129" s="3">
        <v>171</v>
      </c>
      <c r="C129" s="3">
        <v>22.127999999999901</v>
      </c>
      <c r="D129" s="36" t="s">
        <v>151</v>
      </c>
      <c r="E129" s="3" t="s">
        <v>152</v>
      </c>
      <c r="F129" s="3" t="s">
        <v>90</v>
      </c>
      <c r="H129" s="3" t="s">
        <v>90</v>
      </c>
      <c r="I129" s="32">
        <v>44622</v>
      </c>
      <c r="J129" s="3" t="s">
        <v>142</v>
      </c>
      <c r="K129" s="3" t="s">
        <v>166</v>
      </c>
      <c r="L129" s="3">
        <v>222</v>
      </c>
      <c r="N129" s="3">
        <v>223</v>
      </c>
      <c r="O129" s="3">
        <v>175.42</v>
      </c>
      <c r="P129" s="3">
        <v>194.86</v>
      </c>
      <c r="Q129" s="3">
        <v>45.97</v>
      </c>
      <c r="R129" s="3">
        <v>25.22</v>
      </c>
      <c r="S129" s="3">
        <v>118.61</v>
      </c>
      <c r="T129" s="3">
        <v>88.93</v>
      </c>
      <c r="U129" s="3">
        <v>69.040000000000006</v>
      </c>
      <c r="V129" s="3">
        <v>52.63</v>
      </c>
      <c r="W129" s="3">
        <v>70.72</v>
      </c>
      <c r="X129" s="3">
        <v>90.12</v>
      </c>
      <c r="Y129" s="3">
        <v>38.53</v>
      </c>
      <c r="Z129" s="3">
        <v>100.98</v>
      </c>
      <c r="AA129" s="3">
        <v>78.180000000000007</v>
      </c>
      <c r="AB129" s="3">
        <v>81.709999999999994</v>
      </c>
      <c r="AC129" s="3">
        <v>24.18</v>
      </c>
      <c r="AD129" s="3">
        <v>44.61</v>
      </c>
      <c r="AE129" s="3">
        <v>29.08</v>
      </c>
      <c r="AF129" s="3">
        <v>42.36</v>
      </c>
      <c r="AG129" s="3">
        <v>37.130000000000003</v>
      </c>
      <c r="AH129" s="3">
        <v>45.94</v>
      </c>
      <c r="AI129" s="3">
        <v>2.024</v>
      </c>
      <c r="AL129" s="3">
        <v>5</v>
      </c>
      <c r="AO129" s="3">
        <v>14</v>
      </c>
      <c r="AP129" s="3">
        <v>90.8</v>
      </c>
      <c r="AQ129" s="3">
        <v>59.3</v>
      </c>
      <c r="AR129" s="3">
        <v>52.5</v>
      </c>
      <c r="AS129" s="3">
        <v>22.7</v>
      </c>
    </row>
    <row r="130" spans="1:47" x14ac:dyDescent="0.2">
      <c r="A130" s="29">
        <v>131.00000000000023</v>
      </c>
      <c r="B130" s="3">
        <v>166</v>
      </c>
      <c r="C130" s="3">
        <v>22.128999999999898</v>
      </c>
      <c r="D130" s="36" t="s">
        <v>151</v>
      </c>
      <c r="E130" s="3" t="s">
        <v>162</v>
      </c>
      <c r="F130" s="3" t="s">
        <v>88</v>
      </c>
      <c r="G130" s="3" t="s">
        <v>88</v>
      </c>
      <c r="I130" s="32">
        <v>44620</v>
      </c>
      <c r="J130" s="3" t="s">
        <v>142</v>
      </c>
      <c r="K130" s="3" t="s">
        <v>166</v>
      </c>
      <c r="L130" s="3">
        <v>230</v>
      </c>
      <c r="N130" s="3">
        <v>231</v>
      </c>
      <c r="O130" s="3">
        <v>179.43</v>
      </c>
      <c r="P130" s="3">
        <v>191.63</v>
      </c>
      <c r="Q130" s="3">
        <v>45.04</v>
      </c>
      <c r="R130" s="3">
        <v>24.62</v>
      </c>
      <c r="S130" s="3">
        <v>118.58</v>
      </c>
      <c r="T130" s="3">
        <v>92.73</v>
      </c>
      <c r="U130" s="3">
        <v>64.89</v>
      </c>
      <c r="V130" s="3">
        <v>47.68</v>
      </c>
      <c r="W130" s="3">
        <v>71.11</v>
      </c>
      <c r="X130" s="3">
        <v>89.58</v>
      </c>
      <c r="Y130" s="3">
        <v>40.96</v>
      </c>
      <c r="Z130" s="3">
        <v>102.08</v>
      </c>
      <c r="AA130" s="3">
        <v>79.25</v>
      </c>
      <c r="AB130" s="3">
        <v>82.49</v>
      </c>
      <c r="AC130" s="3">
        <v>13.92</v>
      </c>
      <c r="AD130" s="3">
        <v>46.59</v>
      </c>
      <c r="AE130" s="3">
        <v>34.42</v>
      </c>
      <c r="AF130" s="3">
        <v>41.37</v>
      </c>
      <c r="AG130" s="3">
        <v>40.74</v>
      </c>
      <c r="AH130" s="3">
        <v>42.97</v>
      </c>
      <c r="AI130" s="3">
        <v>1.8120000000000001</v>
      </c>
      <c r="AL130" s="3">
        <v>23</v>
      </c>
      <c r="AO130" s="3">
        <v>13.1</v>
      </c>
      <c r="AP130" s="3">
        <v>91</v>
      </c>
      <c r="AQ130" s="3">
        <v>48.8</v>
      </c>
      <c r="AR130" s="3">
        <v>52.3</v>
      </c>
      <c r="AS130" s="3">
        <v>22.7</v>
      </c>
    </row>
    <row r="131" spans="1:47" x14ac:dyDescent="0.2">
      <c r="A131" s="29">
        <v>132.00000000000145</v>
      </c>
      <c r="B131" s="3">
        <v>181</v>
      </c>
      <c r="C131" s="12" t="s">
        <v>195</v>
      </c>
      <c r="D131" s="36" t="s">
        <v>151</v>
      </c>
      <c r="E131" s="3" t="s">
        <v>162</v>
      </c>
      <c r="F131" s="3" t="s">
        <v>88</v>
      </c>
      <c r="G131" s="3" t="s">
        <v>88</v>
      </c>
      <c r="I131" s="32">
        <v>44634</v>
      </c>
      <c r="J131" s="3" t="s">
        <v>142</v>
      </c>
      <c r="K131" s="3" t="s">
        <v>166</v>
      </c>
      <c r="L131" s="3">
        <v>235</v>
      </c>
      <c r="N131" s="3">
        <v>234.4</v>
      </c>
      <c r="O131" s="3">
        <v>180.36</v>
      </c>
      <c r="P131" s="3">
        <v>191.31</v>
      </c>
      <c r="Q131" s="3">
        <v>43.73</v>
      </c>
      <c r="R131" s="3">
        <v>19.09</v>
      </c>
      <c r="S131" s="3">
        <v>123.3</v>
      </c>
      <c r="T131" s="3">
        <v>95.18</v>
      </c>
      <c r="U131" s="3">
        <v>69.58</v>
      </c>
      <c r="V131" s="3">
        <v>51.55</v>
      </c>
      <c r="W131" s="3">
        <v>73.650000000000006</v>
      </c>
      <c r="X131" s="3">
        <v>95.3</v>
      </c>
      <c r="Y131" s="3">
        <v>43.9</v>
      </c>
      <c r="Z131" s="3">
        <v>104.67</v>
      </c>
      <c r="AA131" s="3">
        <v>81.92</v>
      </c>
      <c r="AB131" s="3">
        <v>83.47</v>
      </c>
      <c r="AC131" s="3">
        <v>19.64</v>
      </c>
      <c r="AD131" s="3">
        <v>43.39</v>
      </c>
      <c r="AE131" s="3">
        <v>30.91</v>
      </c>
      <c r="AF131" s="3">
        <v>42.34</v>
      </c>
      <c r="AG131" s="3">
        <v>37.75</v>
      </c>
      <c r="AH131" s="3">
        <v>43.56</v>
      </c>
      <c r="AI131" s="3">
        <v>2.0110000000000001</v>
      </c>
      <c r="AL131" s="3">
        <v>5</v>
      </c>
      <c r="AO131" s="3">
        <v>14.4</v>
      </c>
      <c r="AP131" s="3">
        <v>91.1</v>
      </c>
      <c r="AQ131" s="3">
        <v>63.9</v>
      </c>
      <c r="AR131" s="3">
        <v>57.2</v>
      </c>
      <c r="AS131" s="3">
        <v>24.4</v>
      </c>
    </row>
    <row r="132" spans="1:47" x14ac:dyDescent="0.2">
      <c r="A132" s="29">
        <v>132.99999999999912</v>
      </c>
      <c r="B132" s="3">
        <v>179</v>
      </c>
      <c r="C132" s="3">
        <v>22.130999999999901</v>
      </c>
      <c r="D132" s="36" t="s">
        <v>151</v>
      </c>
      <c r="E132" s="3" t="s">
        <v>162</v>
      </c>
      <c r="F132" s="3" t="s">
        <v>88</v>
      </c>
      <c r="G132" s="3" t="s">
        <v>88</v>
      </c>
      <c r="I132" s="32">
        <v>44634</v>
      </c>
      <c r="J132" s="3" t="s">
        <v>142</v>
      </c>
      <c r="K132" s="3" t="s">
        <v>166</v>
      </c>
      <c r="L132" s="3">
        <v>233</v>
      </c>
      <c r="N132" s="3">
        <v>232.4</v>
      </c>
      <c r="O132" s="3">
        <v>183.74</v>
      </c>
      <c r="P132" s="3">
        <v>200.65</v>
      </c>
      <c r="Q132" s="3">
        <v>46.17</v>
      </c>
      <c r="R132" s="3">
        <v>24.99</v>
      </c>
      <c r="S132" s="3">
        <v>123.17</v>
      </c>
      <c r="T132" s="3">
        <v>93.92</v>
      </c>
      <c r="U132" s="3">
        <v>67.88</v>
      </c>
      <c r="V132" s="3">
        <v>50.82</v>
      </c>
      <c r="W132" s="3">
        <v>72.28</v>
      </c>
      <c r="X132" s="3">
        <v>92.84</v>
      </c>
      <c r="Y132" s="3">
        <v>41.17</v>
      </c>
      <c r="Z132" s="3">
        <v>104.05</v>
      </c>
      <c r="AA132" s="3">
        <v>78.03</v>
      </c>
      <c r="AB132" s="3">
        <v>82.94</v>
      </c>
      <c r="AC132" s="3">
        <v>19.22</v>
      </c>
      <c r="AD132" s="3">
        <v>45.64</v>
      </c>
      <c r="AE132" s="3">
        <v>36.86</v>
      </c>
      <c r="AF132" s="3">
        <v>43.03</v>
      </c>
      <c r="AG132" s="3">
        <v>40.729999999999997</v>
      </c>
      <c r="AH132" s="3">
        <v>44.7</v>
      </c>
      <c r="AI132" s="3">
        <v>1.782</v>
      </c>
      <c r="AL132" s="3">
        <v>3</v>
      </c>
      <c r="AO132" s="3">
        <v>14.2</v>
      </c>
      <c r="AP132" s="3">
        <v>89.8</v>
      </c>
      <c r="AQ132" s="3">
        <v>68.2</v>
      </c>
      <c r="AR132" s="3">
        <v>54.6</v>
      </c>
      <c r="AS132" s="3">
        <v>23.5</v>
      </c>
    </row>
    <row r="133" spans="1:47" x14ac:dyDescent="0.2">
      <c r="A133" s="29">
        <v>134.00000000000034</v>
      </c>
      <c r="B133" s="3">
        <v>173</v>
      </c>
      <c r="C133" s="3">
        <v>22.131999999999898</v>
      </c>
      <c r="D133" s="36" t="s">
        <v>151</v>
      </c>
      <c r="E133" s="3" t="s">
        <v>152</v>
      </c>
      <c r="F133" s="3" t="s">
        <v>90</v>
      </c>
      <c r="H133" s="3" t="s">
        <v>90</v>
      </c>
      <c r="I133" s="32">
        <v>44623</v>
      </c>
      <c r="J133" s="3" t="s">
        <v>142</v>
      </c>
      <c r="K133" s="3" t="s">
        <v>166</v>
      </c>
      <c r="L133" s="3">
        <v>211</v>
      </c>
      <c r="N133" s="3">
        <v>224</v>
      </c>
      <c r="O133" s="3">
        <v>174.91</v>
      </c>
      <c r="P133" s="3">
        <v>193.62</v>
      </c>
      <c r="Q133" s="3">
        <v>47.86</v>
      </c>
      <c r="R133" s="3">
        <v>27.51</v>
      </c>
      <c r="S133" s="3">
        <v>114.45</v>
      </c>
      <c r="T133" s="3">
        <v>90.62</v>
      </c>
      <c r="U133" s="3">
        <v>69.209999999999994</v>
      </c>
      <c r="V133" s="3">
        <v>52.78</v>
      </c>
      <c r="W133" s="3">
        <v>73.34</v>
      </c>
      <c r="X133" s="3">
        <v>89.14</v>
      </c>
      <c r="Y133" s="3">
        <v>40.98</v>
      </c>
      <c r="Z133" s="3">
        <v>100.35</v>
      </c>
      <c r="AA133" s="3">
        <v>92.42</v>
      </c>
      <c r="AB133" s="3">
        <v>79.33</v>
      </c>
      <c r="AC133" s="3">
        <v>21.22</v>
      </c>
      <c r="AD133" s="3">
        <v>44.36</v>
      </c>
      <c r="AE133" s="3">
        <v>30.14</v>
      </c>
      <c r="AF133" s="3">
        <v>45.62</v>
      </c>
      <c r="AG133" s="3">
        <v>34.32</v>
      </c>
      <c r="AH133" s="3">
        <v>49.09</v>
      </c>
      <c r="AI133" s="3">
        <v>1.9490000000000001</v>
      </c>
      <c r="AL133" s="3">
        <v>3</v>
      </c>
      <c r="AO133" s="3">
        <v>17</v>
      </c>
      <c r="AP133" s="3">
        <v>88.8</v>
      </c>
      <c r="AQ133" s="3">
        <v>55.7</v>
      </c>
      <c r="AR133" s="3">
        <v>53.6</v>
      </c>
      <c r="AS133" s="3">
        <v>24.3</v>
      </c>
    </row>
    <row r="134" spans="1:47" x14ac:dyDescent="0.2">
      <c r="A134" s="29">
        <v>135.00000000000156</v>
      </c>
      <c r="B134" s="3">
        <v>180</v>
      </c>
      <c r="C134" s="3">
        <v>22.1329999999999</v>
      </c>
      <c r="D134" s="36" t="s">
        <v>151</v>
      </c>
      <c r="E134" s="3" t="s">
        <v>162</v>
      </c>
      <c r="F134" s="3" t="s">
        <v>88</v>
      </c>
      <c r="G134" s="3" t="s">
        <v>88</v>
      </c>
      <c r="I134" s="32">
        <v>44634</v>
      </c>
      <c r="J134" s="3" t="s">
        <v>142</v>
      </c>
      <c r="K134" s="3" t="s">
        <v>166</v>
      </c>
      <c r="L134" s="3">
        <v>233</v>
      </c>
      <c r="N134" s="3">
        <v>232.4</v>
      </c>
      <c r="O134" s="3">
        <v>173.15</v>
      </c>
      <c r="P134" s="3">
        <v>191.64</v>
      </c>
      <c r="Q134" s="3">
        <v>42.1</v>
      </c>
      <c r="R134" s="3">
        <v>21.68</v>
      </c>
      <c r="S134" s="3">
        <v>120.74</v>
      </c>
      <c r="T134" s="3">
        <v>95.72</v>
      </c>
      <c r="U134" s="3">
        <v>68.61</v>
      </c>
      <c r="V134" s="3">
        <v>48.41</v>
      </c>
      <c r="W134" s="3">
        <v>72.39</v>
      </c>
      <c r="X134" s="3">
        <v>90.91</v>
      </c>
      <c r="Y134" s="3">
        <v>42.53</v>
      </c>
      <c r="Z134" s="3">
        <v>103.5</v>
      </c>
      <c r="AA134" s="3">
        <v>76.44</v>
      </c>
      <c r="AB134" s="3">
        <v>83.29</v>
      </c>
      <c r="AC134" s="3">
        <v>12.66</v>
      </c>
      <c r="AD134" s="3">
        <v>46.93</v>
      </c>
      <c r="AE134" s="3">
        <v>30.65</v>
      </c>
      <c r="AF134" s="3">
        <v>44.51</v>
      </c>
      <c r="AG134" s="3">
        <v>41.26</v>
      </c>
      <c r="AH134" s="3">
        <v>44.56</v>
      </c>
      <c r="AI134" s="3">
        <v>1.827</v>
      </c>
      <c r="AL134" s="3">
        <v>4</v>
      </c>
      <c r="AO134" s="3">
        <v>14.9</v>
      </c>
      <c r="AP134" s="3">
        <v>90.6</v>
      </c>
      <c r="AQ134" s="3">
        <v>64.5</v>
      </c>
      <c r="AR134" s="3">
        <v>55.1</v>
      </c>
      <c r="AS134" s="3">
        <v>23.8</v>
      </c>
    </row>
    <row r="135" spans="1:47" x14ac:dyDescent="0.2">
      <c r="A135" s="29">
        <v>135.99999999999923</v>
      </c>
      <c r="B135" s="3">
        <v>169</v>
      </c>
      <c r="C135" s="3">
        <v>22.133999999999901</v>
      </c>
      <c r="D135" s="36" t="s">
        <v>151</v>
      </c>
      <c r="E135" s="3" t="s">
        <v>162</v>
      </c>
      <c r="F135" s="3" t="s">
        <v>88</v>
      </c>
      <c r="G135" s="3" t="s">
        <v>88</v>
      </c>
      <c r="I135" s="32">
        <v>44620</v>
      </c>
      <c r="J135" s="3" t="s">
        <v>142</v>
      </c>
      <c r="K135" s="3" t="s">
        <v>166</v>
      </c>
      <c r="L135" s="3">
        <v>232</v>
      </c>
      <c r="N135" s="3">
        <v>235.6</v>
      </c>
      <c r="O135" s="3">
        <v>178.11</v>
      </c>
      <c r="P135" s="3">
        <v>189.37</v>
      </c>
      <c r="Q135" s="3">
        <v>42.4</v>
      </c>
      <c r="R135" s="3">
        <v>19.48</v>
      </c>
      <c r="S135" s="3">
        <v>120.32</v>
      </c>
      <c r="T135" s="3">
        <v>97.35</v>
      </c>
      <c r="U135" s="3">
        <v>68.81</v>
      </c>
      <c r="V135" s="3">
        <v>52.14</v>
      </c>
      <c r="W135" s="3">
        <v>74.63</v>
      </c>
      <c r="X135" s="3">
        <v>94.39</v>
      </c>
      <c r="Y135" s="3">
        <v>40.76</v>
      </c>
      <c r="Z135" s="3">
        <v>103.53</v>
      </c>
      <c r="AA135" s="3">
        <v>82.32</v>
      </c>
      <c r="AB135" s="3">
        <v>81.38</v>
      </c>
      <c r="AC135" s="3">
        <v>16.48</v>
      </c>
      <c r="AD135" s="3">
        <v>45.62</v>
      </c>
      <c r="AE135" s="3">
        <v>30.52</v>
      </c>
      <c r="AF135" s="3">
        <v>42.49</v>
      </c>
      <c r="AG135" s="3">
        <v>37.479999999999997</v>
      </c>
      <c r="AH135" s="3">
        <v>45.84</v>
      </c>
      <c r="AI135" s="3">
        <v>1.966</v>
      </c>
      <c r="AL135" s="3">
        <v>6</v>
      </c>
      <c r="AO135" s="3">
        <v>14.7</v>
      </c>
      <c r="AP135" s="3">
        <v>88.7</v>
      </c>
      <c r="AQ135" s="3">
        <v>66.400000000000006</v>
      </c>
      <c r="AR135" s="3">
        <v>56.5</v>
      </c>
      <c r="AS135" s="3">
        <v>24.9</v>
      </c>
    </row>
    <row r="136" spans="1:47" x14ac:dyDescent="0.2">
      <c r="A136" s="29">
        <v>137.00000000000045</v>
      </c>
      <c r="B136" s="3">
        <v>182</v>
      </c>
      <c r="C136" s="3">
        <v>22.134999999999899</v>
      </c>
      <c r="D136" s="36" t="s">
        <v>151</v>
      </c>
      <c r="E136" s="3" t="s">
        <v>162</v>
      </c>
      <c r="F136" s="3" t="s">
        <v>88</v>
      </c>
      <c r="G136" s="3" t="s">
        <v>88</v>
      </c>
      <c r="I136" s="32">
        <v>44634</v>
      </c>
      <c r="J136" s="3" t="s">
        <v>142</v>
      </c>
      <c r="K136" s="3" t="s">
        <v>166</v>
      </c>
      <c r="L136" s="3">
        <v>249</v>
      </c>
      <c r="N136" s="3">
        <v>248.9</v>
      </c>
      <c r="O136" s="3">
        <v>182.43</v>
      </c>
      <c r="P136" s="3">
        <v>189.24</v>
      </c>
      <c r="Q136" s="3">
        <v>44.15</v>
      </c>
      <c r="R136" s="3">
        <v>15.25</v>
      </c>
      <c r="S136" s="3">
        <v>124.54</v>
      </c>
      <c r="T136" s="3">
        <v>100.16</v>
      </c>
      <c r="U136" s="3">
        <v>68.900000000000006</v>
      </c>
      <c r="V136" s="3">
        <v>52.79</v>
      </c>
      <c r="W136" s="3">
        <v>72.98</v>
      </c>
      <c r="X136" s="3">
        <v>91.89</v>
      </c>
      <c r="Y136" s="3">
        <v>39.89</v>
      </c>
      <c r="Z136" s="3">
        <v>103.55</v>
      </c>
      <c r="AA136" s="3">
        <v>77.06</v>
      </c>
      <c r="AB136" s="3">
        <v>84.52</v>
      </c>
      <c r="AC136" s="3">
        <v>18.489999999999998</v>
      </c>
      <c r="AD136" s="3">
        <v>44.28</v>
      </c>
      <c r="AE136" s="3">
        <v>30.26</v>
      </c>
      <c r="AF136" s="3">
        <v>42.7</v>
      </c>
      <c r="AG136" s="3">
        <v>35.380000000000003</v>
      </c>
      <c r="AH136" s="3">
        <v>45.03</v>
      </c>
      <c r="AI136" s="3">
        <v>1.954</v>
      </c>
      <c r="AL136" s="3">
        <v>4</v>
      </c>
      <c r="AO136" s="3">
        <v>16.3</v>
      </c>
      <c r="AP136" s="3">
        <v>96.5</v>
      </c>
      <c r="AQ136" s="3">
        <v>64.900000000000006</v>
      </c>
      <c r="AR136" s="3">
        <v>63.1</v>
      </c>
      <c r="AS136" s="3">
        <v>27.9</v>
      </c>
    </row>
    <row r="137" spans="1:47" x14ac:dyDescent="0.2">
      <c r="A137" s="29">
        <v>138.00000000000168</v>
      </c>
      <c r="B137" s="3">
        <v>60</v>
      </c>
      <c r="C137" s="3">
        <v>22.1359999999999</v>
      </c>
      <c r="D137" s="31" t="s">
        <v>140</v>
      </c>
      <c r="E137" s="3" t="s">
        <v>141</v>
      </c>
      <c r="F137" s="17" t="s">
        <v>164</v>
      </c>
      <c r="H137" s="3" t="s">
        <v>165</v>
      </c>
      <c r="I137" s="32">
        <v>44629</v>
      </c>
      <c r="J137" s="3" t="s">
        <v>142</v>
      </c>
      <c r="K137" s="3" t="s">
        <v>145</v>
      </c>
      <c r="L137" s="3">
        <v>197</v>
      </c>
      <c r="N137" s="3">
        <v>196.7</v>
      </c>
      <c r="O137" s="3">
        <v>174.3</v>
      </c>
      <c r="P137" s="3">
        <v>198.19</v>
      </c>
      <c r="Q137" s="3">
        <v>47.35</v>
      </c>
      <c r="R137" s="3">
        <v>24.29</v>
      </c>
      <c r="S137" s="3">
        <v>117.8</v>
      </c>
      <c r="T137" s="3">
        <v>91.56</v>
      </c>
      <c r="U137" s="3">
        <v>69.62</v>
      </c>
      <c r="V137" s="3">
        <v>56.24</v>
      </c>
      <c r="W137" s="3">
        <v>74.099999999999994</v>
      </c>
      <c r="X137" s="3">
        <v>86.93</v>
      </c>
      <c r="Y137" s="3">
        <v>37.28</v>
      </c>
      <c r="Z137" s="3">
        <v>102.08</v>
      </c>
      <c r="AA137" s="3">
        <v>76.75</v>
      </c>
      <c r="AB137" s="3">
        <v>80.180000000000007</v>
      </c>
      <c r="AC137" s="3">
        <v>24.28</v>
      </c>
      <c r="AD137" s="3">
        <v>42.19</v>
      </c>
      <c r="AE137" s="3">
        <v>29.73</v>
      </c>
      <c r="AF137" s="3">
        <v>36.909999999999997</v>
      </c>
      <c r="AG137" s="3">
        <v>36.15</v>
      </c>
      <c r="AH137" s="3">
        <v>37.93</v>
      </c>
      <c r="AI137" s="3">
        <v>1.577</v>
      </c>
      <c r="AL137" s="3">
        <v>7</v>
      </c>
      <c r="AO137" s="3">
        <v>11.6</v>
      </c>
      <c r="AP137" s="3">
        <v>75.7</v>
      </c>
      <c r="AQ137" s="3">
        <v>54.5</v>
      </c>
      <c r="AR137" s="3">
        <v>43.6</v>
      </c>
      <c r="AS137" s="3">
        <v>18.2</v>
      </c>
      <c r="AU137" s="3" t="s">
        <v>144</v>
      </c>
    </row>
    <row r="138" spans="1:47" x14ac:dyDescent="0.2">
      <c r="A138" s="29">
        <v>138.99999999999935</v>
      </c>
      <c r="B138" s="3">
        <v>59</v>
      </c>
      <c r="C138" s="3">
        <v>22.136999999999901</v>
      </c>
      <c r="D138" s="31" t="s">
        <v>140</v>
      </c>
      <c r="E138" s="3" t="s">
        <v>141</v>
      </c>
      <c r="F138" s="17" t="s">
        <v>164</v>
      </c>
      <c r="H138" s="3" t="s">
        <v>165</v>
      </c>
      <c r="I138" s="32">
        <v>44629</v>
      </c>
      <c r="J138" s="3" t="s">
        <v>142</v>
      </c>
      <c r="K138" s="3" t="s">
        <v>145</v>
      </c>
      <c r="L138" s="3">
        <v>196.8</v>
      </c>
      <c r="N138" s="3">
        <v>194.7</v>
      </c>
      <c r="O138" s="3">
        <v>172.89</v>
      </c>
      <c r="P138" s="3">
        <v>193.44</v>
      </c>
      <c r="Q138" s="3">
        <v>43.58</v>
      </c>
      <c r="R138" s="3">
        <v>25.53</v>
      </c>
      <c r="S138" s="3">
        <v>113.79</v>
      </c>
      <c r="T138" s="3">
        <v>90.14</v>
      </c>
      <c r="U138" s="3">
        <v>69.599999999999994</v>
      </c>
      <c r="V138" s="3">
        <v>53.22</v>
      </c>
      <c r="W138" s="3">
        <v>74.73</v>
      </c>
      <c r="X138" s="3">
        <v>89.65</v>
      </c>
      <c r="Y138" s="3">
        <v>40.28</v>
      </c>
      <c r="Z138" s="3">
        <v>100.82</v>
      </c>
      <c r="AA138" s="3">
        <v>74.349999999999994</v>
      </c>
      <c r="AB138" s="3">
        <v>80.069999999999993</v>
      </c>
      <c r="AC138" s="3">
        <v>26.45</v>
      </c>
      <c r="AD138" s="3">
        <v>41.92</v>
      </c>
      <c r="AE138" s="3">
        <v>31.91</v>
      </c>
      <c r="AF138" s="3">
        <v>37.229999999999997</v>
      </c>
      <c r="AG138" s="3">
        <v>36.72</v>
      </c>
      <c r="AH138" s="3">
        <v>38.5</v>
      </c>
      <c r="AI138" s="3">
        <v>1.4359999999999999</v>
      </c>
      <c r="AL138" s="3">
        <v>7</v>
      </c>
      <c r="AO138" s="3">
        <v>12.6</v>
      </c>
      <c r="AP138" s="3">
        <v>76.3</v>
      </c>
      <c r="AQ138" s="3">
        <v>54.3</v>
      </c>
      <c r="AR138" s="3">
        <v>42.2</v>
      </c>
      <c r="AS138" s="3">
        <v>17.600000000000001</v>
      </c>
      <c r="AU138" s="3" t="s">
        <v>144</v>
      </c>
    </row>
    <row r="139" spans="1:47" x14ac:dyDescent="0.2">
      <c r="A139" s="29">
        <v>140.00000000000057</v>
      </c>
      <c r="B139" s="3">
        <v>54</v>
      </c>
      <c r="C139" s="3">
        <v>22.137999999999899</v>
      </c>
      <c r="D139" s="31" t="s">
        <v>140</v>
      </c>
      <c r="E139" s="3" t="s">
        <v>141</v>
      </c>
      <c r="F139" s="17" t="s">
        <v>164</v>
      </c>
      <c r="H139" s="3" t="s">
        <v>165</v>
      </c>
      <c r="I139" s="32">
        <v>44624</v>
      </c>
      <c r="J139" s="3" t="s">
        <v>142</v>
      </c>
      <c r="K139" s="3" t="s">
        <v>145</v>
      </c>
      <c r="L139" s="3">
        <v>235.6</v>
      </c>
      <c r="N139" s="3">
        <v>231.6</v>
      </c>
      <c r="O139" s="3">
        <v>190.97</v>
      </c>
      <c r="P139" s="3">
        <v>198.17</v>
      </c>
      <c r="Q139" s="3">
        <v>42.9</v>
      </c>
      <c r="R139" s="3">
        <v>28.26</v>
      </c>
      <c r="S139" s="3">
        <v>121.2</v>
      </c>
      <c r="T139" s="3">
        <v>92.76</v>
      </c>
      <c r="U139" s="3">
        <v>72.45</v>
      </c>
      <c r="V139" s="3">
        <v>54.32</v>
      </c>
      <c r="W139" s="3">
        <v>77.489999999999995</v>
      </c>
      <c r="X139" s="3">
        <v>91.12</v>
      </c>
      <c r="Y139" s="3">
        <v>40.26</v>
      </c>
      <c r="Z139" s="3">
        <v>102.87</v>
      </c>
      <c r="AA139" s="3">
        <v>77.650000000000006</v>
      </c>
      <c r="AB139" s="3">
        <v>81.08</v>
      </c>
      <c r="AC139" s="3">
        <v>24.93</v>
      </c>
      <c r="AD139" s="3">
        <v>47.2</v>
      </c>
      <c r="AE139" s="3">
        <v>33.81</v>
      </c>
      <c r="AF139" s="3">
        <v>38.5</v>
      </c>
      <c r="AG139" s="3">
        <v>41.19</v>
      </c>
      <c r="AH139" s="3">
        <v>40.79</v>
      </c>
      <c r="AI139" s="3">
        <v>1.5920000000000001</v>
      </c>
      <c r="AL139" s="3">
        <v>12.5</v>
      </c>
      <c r="AO139" s="3">
        <v>14.1</v>
      </c>
      <c r="AP139" s="3">
        <v>92.1</v>
      </c>
      <c r="AQ139" s="3">
        <v>56.2</v>
      </c>
      <c r="AR139" s="3">
        <v>54.1</v>
      </c>
      <c r="AS139" s="3">
        <v>22.8</v>
      </c>
      <c r="AU139" s="3" t="s">
        <v>144</v>
      </c>
    </row>
    <row r="140" spans="1:47" x14ac:dyDescent="0.2">
      <c r="A140" s="29">
        <v>140.99999999999824</v>
      </c>
      <c r="B140" s="3">
        <v>58</v>
      </c>
      <c r="C140" s="3">
        <v>22.1389999999999</v>
      </c>
      <c r="D140" s="31" t="s">
        <v>140</v>
      </c>
      <c r="E140" s="3" t="s">
        <v>141</v>
      </c>
      <c r="F140" s="17" t="s">
        <v>164</v>
      </c>
      <c r="H140" s="3" t="s">
        <v>165</v>
      </c>
      <c r="I140" s="32">
        <v>44629</v>
      </c>
      <c r="J140" s="3" t="s">
        <v>142</v>
      </c>
      <c r="K140" s="3" t="s">
        <v>145</v>
      </c>
      <c r="L140" s="3">
        <v>201</v>
      </c>
      <c r="N140" s="3">
        <v>202.7</v>
      </c>
      <c r="O140" s="3">
        <v>181.22</v>
      </c>
      <c r="P140" s="3">
        <v>205.71</v>
      </c>
      <c r="Q140" s="3">
        <v>44.13</v>
      </c>
      <c r="R140" s="3">
        <v>32.76</v>
      </c>
      <c r="S140" s="3">
        <v>120.57</v>
      </c>
      <c r="T140" s="3">
        <v>91.86</v>
      </c>
      <c r="U140" s="3">
        <v>66.84</v>
      </c>
      <c r="V140" s="3">
        <v>52.69</v>
      </c>
      <c r="W140" s="3">
        <v>75.56</v>
      </c>
      <c r="X140" s="3">
        <v>90.62</v>
      </c>
      <c r="Y140" s="3">
        <v>40.14</v>
      </c>
      <c r="Z140" s="3">
        <v>102.86</v>
      </c>
      <c r="AA140" s="3">
        <v>75.41</v>
      </c>
      <c r="AB140" s="3">
        <v>78.66</v>
      </c>
      <c r="AC140" s="3">
        <v>23.07</v>
      </c>
      <c r="AD140" s="3">
        <v>42.19</v>
      </c>
      <c r="AE140" s="3">
        <v>28.99</v>
      </c>
      <c r="AF140" s="3">
        <v>39.96</v>
      </c>
      <c r="AG140" s="3">
        <v>41.15</v>
      </c>
      <c r="AH140" s="3">
        <v>42.7</v>
      </c>
      <c r="AI140" s="3">
        <v>1.2769999999999999</v>
      </c>
      <c r="AL140" s="3">
        <v>7</v>
      </c>
      <c r="AO140" s="3">
        <v>12.4</v>
      </c>
      <c r="AP140" s="3">
        <v>68.5</v>
      </c>
      <c r="AQ140" s="3">
        <v>20.7</v>
      </c>
      <c r="AR140" s="3">
        <v>40.4</v>
      </c>
      <c r="AS140" s="3">
        <v>16.5</v>
      </c>
      <c r="AU140" s="3" t="s">
        <v>144</v>
      </c>
    </row>
    <row r="141" spans="1:47" x14ac:dyDescent="0.2">
      <c r="A141" s="29">
        <v>141.99999999999946</v>
      </c>
      <c r="B141" s="14">
        <v>176</v>
      </c>
      <c r="C141" s="12" t="s">
        <v>196</v>
      </c>
      <c r="D141" s="51" t="s">
        <v>151</v>
      </c>
      <c r="E141" s="14" t="s">
        <v>162</v>
      </c>
      <c r="F141" s="3" t="s">
        <v>88</v>
      </c>
      <c r="G141" s="3" t="s">
        <v>88</v>
      </c>
      <c r="H141" s="14"/>
      <c r="I141" s="32">
        <v>44630</v>
      </c>
      <c r="J141" s="14" t="s">
        <v>142</v>
      </c>
      <c r="K141" s="14" t="s">
        <v>166</v>
      </c>
      <c r="L141" s="14">
        <v>232</v>
      </c>
      <c r="M141" s="14"/>
      <c r="N141" s="14"/>
      <c r="O141" s="14">
        <v>177.09</v>
      </c>
      <c r="P141" s="14">
        <v>190.22</v>
      </c>
      <c r="Q141" s="14">
        <v>41.94</v>
      </c>
      <c r="R141" s="14">
        <v>21.35</v>
      </c>
      <c r="S141" s="14">
        <v>118.59</v>
      </c>
      <c r="T141" s="14">
        <v>93.92</v>
      </c>
      <c r="U141" s="14">
        <v>67.16</v>
      </c>
      <c r="V141" s="14">
        <v>48.94</v>
      </c>
      <c r="W141" s="14">
        <v>71.040000000000006</v>
      </c>
      <c r="X141" s="14">
        <v>91.78</v>
      </c>
      <c r="Y141" s="14">
        <v>46.41</v>
      </c>
      <c r="Z141" s="14">
        <v>103.92</v>
      </c>
      <c r="AA141" s="14">
        <v>89.41</v>
      </c>
      <c r="AB141" s="14">
        <v>83.74</v>
      </c>
      <c r="AC141" s="14">
        <v>21.53</v>
      </c>
      <c r="AD141" s="14">
        <v>45.38</v>
      </c>
      <c r="AE141" s="14">
        <v>34.19</v>
      </c>
      <c r="AF141" s="14">
        <v>39.799999999999997</v>
      </c>
      <c r="AG141" s="14">
        <v>35.409999999999997</v>
      </c>
      <c r="AH141" s="14">
        <v>42.2</v>
      </c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 t="s">
        <v>144</v>
      </c>
    </row>
    <row r="142" spans="1:47" x14ac:dyDescent="0.2">
      <c r="A142" s="29">
        <v>143.00000000000068</v>
      </c>
      <c r="B142" s="3" t="s">
        <v>197</v>
      </c>
      <c r="C142" s="3">
        <v>22.140999999999998</v>
      </c>
      <c r="D142" s="45" t="s">
        <v>179</v>
      </c>
      <c r="E142" t="s">
        <v>180</v>
      </c>
      <c r="F142" t="s">
        <v>181</v>
      </c>
      <c r="G142"/>
      <c r="H142" t="s">
        <v>182</v>
      </c>
      <c r="I142" s="32">
        <v>44597</v>
      </c>
      <c r="J142" s="3" t="s">
        <v>142</v>
      </c>
      <c r="K142" s="3" t="s">
        <v>143</v>
      </c>
      <c r="L142" s="3">
        <v>260</v>
      </c>
      <c r="N142" s="14">
        <v>264</v>
      </c>
      <c r="O142" s="3">
        <v>205.52</v>
      </c>
      <c r="P142" s="3">
        <v>217.12</v>
      </c>
      <c r="Q142" s="3">
        <v>55.78</v>
      </c>
      <c r="R142" s="3">
        <v>21.5</v>
      </c>
      <c r="S142" s="3">
        <v>135.44</v>
      </c>
      <c r="T142" s="3">
        <v>110.17</v>
      </c>
      <c r="U142" s="3">
        <v>57.84</v>
      </c>
      <c r="V142" s="3">
        <v>47.15</v>
      </c>
      <c r="W142" s="3">
        <v>66.930000000000007</v>
      </c>
      <c r="X142" s="3">
        <v>83.54</v>
      </c>
      <c r="Y142" s="3">
        <v>37.56</v>
      </c>
      <c r="Z142" s="3">
        <v>90.29</v>
      </c>
      <c r="AA142" s="3">
        <v>74.86</v>
      </c>
      <c r="AB142" s="3">
        <v>63.34</v>
      </c>
      <c r="AC142" s="3">
        <v>14.18</v>
      </c>
      <c r="AD142" s="3">
        <v>55.06</v>
      </c>
      <c r="AE142" s="3">
        <v>27.01</v>
      </c>
      <c r="AF142" s="3">
        <v>49.92</v>
      </c>
      <c r="AG142" s="3">
        <v>32.64</v>
      </c>
      <c r="AH142" s="3">
        <v>47.78</v>
      </c>
      <c r="AI142" s="3">
        <v>0.97399999999999998</v>
      </c>
      <c r="AJ142" s="3">
        <v>32.299999999999997</v>
      </c>
      <c r="AK142" s="3" t="s">
        <v>172</v>
      </c>
      <c r="AN142" s="3">
        <f>20+23+16+12+26</f>
        <v>97</v>
      </c>
      <c r="AR142" s="3">
        <v>44.7</v>
      </c>
      <c r="AS142" s="3">
        <v>18.5</v>
      </c>
    </row>
    <row r="143" spans="1:47" x14ac:dyDescent="0.2">
      <c r="A143" s="29">
        <v>143.99999999999835</v>
      </c>
      <c r="B143" s="3" t="s">
        <v>198</v>
      </c>
      <c r="C143" s="3">
        <v>22.141999999999999</v>
      </c>
      <c r="D143" s="45" t="s">
        <v>179</v>
      </c>
      <c r="E143" t="s">
        <v>180</v>
      </c>
      <c r="F143" t="s">
        <v>181</v>
      </c>
      <c r="G143"/>
      <c r="H143" t="s">
        <v>199</v>
      </c>
      <c r="I143" s="32">
        <v>44624</v>
      </c>
      <c r="J143" s="3" t="s">
        <v>142</v>
      </c>
      <c r="K143" s="3" t="s">
        <v>166</v>
      </c>
      <c r="L143" s="3">
        <v>230</v>
      </c>
      <c r="N143" s="3">
        <v>228</v>
      </c>
      <c r="O143" s="3">
        <v>196.5</v>
      </c>
      <c r="P143" s="3">
        <v>206.67</v>
      </c>
      <c r="Q143" s="3">
        <v>60.84</v>
      </c>
      <c r="R143" s="3">
        <v>16.84</v>
      </c>
      <c r="S143" s="3">
        <v>122.94</v>
      </c>
      <c r="T143" s="3">
        <v>101.97</v>
      </c>
      <c r="U143" s="3">
        <v>57.91</v>
      </c>
      <c r="V143" s="3">
        <v>46.19</v>
      </c>
      <c r="W143" s="3">
        <v>64.709999999999994</v>
      </c>
      <c r="X143" s="3">
        <v>80.88</v>
      </c>
      <c r="Y143" s="3">
        <v>35.159999999999997</v>
      </c>
      <c r="Z143" s="3">
        <v>91.47</v>
      </c>
      <c r="AA143" s="3">
        <v>69.709999999999994</v>
      </c>
      <c r="AB143" s="3">
        <v>63.78</v>
      </c>
      <c r="AC143" s="3">
        <v>13.68</v>
      </c>
      <c r="AD143" s="3">
        <v>49.48</v>
      </c>
      <c r="AE143" s="3">
        <v>31.48</v>
      </c>
      <c r="AF143" s="3">
        <v>45.04</v>
      </c>
      <c r="AG143" s="3">
        <v>29.59</v>
      </c>
      <c r="AH143" s="3">
        <v>46.72</v>
      </c>
      <c r="AI143" s="3">
        <v>1.43</v>
      </c>
      <c r="AL143" s="3">
        <v>30</v>
      </c>
      <c r="AN143" s="3">
        <v>13.8</v>
      </c>
      <c r="AO143" s="3">
        <v>87.2</v>
      </c>
      <c r="AP143" s="3">
        <v>45.2</v>
      </c>
      <c r="AQ143" s="3">
        <v>48.4</v>
      </c>
      <c r="AS143" s="3">
        <v>20.7</v>
      </c>
    </row>
    <row r="144" spans="1:47" x14ac:dyDescent="0.2">
      <c r="A144" s="29">
        <v>144.99999999999957</v>
      </c>
      <c r="B144" s="3">
        <v>10</v>
      </c>
      <c r="C144" s="3">
        <v>22.143000000000001</v>
      </c>
      <c r="D144" s="52" t="s">
        <v>200</v>
      </c>
      <c r="E144" s="3" t="s">
        <v>201</v>
      </c>
      <c r="F144" s="14" t="s">
        <v>202</v>
      </c>
      <c r="I144" s="32">
        <v>44580</v>
      </c>
      <c r="J144" s="3" t="s">
        <v>142</v>
      </c>
      <c r="K144" s="3" t="s">
        <v>166</v>
      </c>
      <c r="L144" s="3">
        <v>200</v>
      </c>
      <c r="N144" s="3">
        <v>232.7</v>
      </c>
      <c r="O144" s="3">
        <v>194.35</v>
      </c>
      <c r="P144" s="3">
        <v>216.73</v>
      </c>
      <c r="Q144" s="3">
        <v>39.1</v>
      </c>
      <c r="R144" s="3">
        <v>31.6</v>
      </c>
      <c r="S144" s="3">
        <v>133.76</v>
      </c>
      <c r="T144" s="3">
        <v>105.85</v>
      </c>
      <c r="U144" s="3">
        <v>60.59</v>
      </c>
      <c r="V144" s="3">
        <v>51.69</v>
      </c>
      <c r="W144" s="3">
        <v>72.28</v>
      </c>
      <c r="X144" s="3">
        <v>87.14</v>
      </c>
      <c r="Y144" s="3">
        <v>44.96</v>
      </c>
      <c r="Z144" s="3">
        <v>97.87</v>
      </c>
      <c r="AA144" s="3">
        <v>72.41</v>
      </c>
      <c r="AB144" s="3">
        <v>78.69</v>
      </c>
      <c r="AC144" s="3">
        <v>29.66</v>
      </c>
      <c r="AD144" s="3">
        <v>45.58</v>
      </c>
      <c r="AE144" s="3">
        <v>28.4</v>
      </c>
      <c r="AF144" s="3">
        <v>35.39</v>
      </c>
      <c r="AG144" s="3">
        <v>36.93</v>
      </c>
      <c r="AH144" s="3">
        <v>39.049999999999997</v>
      </c>
      <c r="AI144" s="3">
        <v>1.655</v>
      </c>
      <c r="AL144" s="3">
        <v>18</v>
      </c>
      <c r="AN144" s="3">
        <v>12.8</v>
      </c>
      <c r="AO144" s="3">
        <v>75.400000000000006</v>
      </c>
      <c r="AP144" s="3">
        <v>70.8</v>
      </c>
      <c r="AQ144" s="3">
        <v>53.7</v>
      </c>
      <c r="AS144" s="3">
        <v>23.2</v>
      </c>
    </row>
    <row r="145" spans="1:47" x14ac:dyDescent="0.2">
      <c r="A145" s="29">
        <v>146.0000000000008</v>
      </c>
      <c r="B145" s="3">
        <v>14</v>
      </c>
      <c r="C145" s="3">
        <v>22.143999999999998</v>
      </c>
      <c r="D145" s="52" t="s">
        <v>200</v>
      </c>
      <c r="E145" s="3" t="s">
        <v>201</v>
      </c>
      <c r="F145" s="14" t="s">
        <v>202</v>
      </c>
      <c r="I145" s="32">
        <v>44593</v>
      </c>
      <c r="J145" s="3" t="s">
        <v>142</v>
      </c>
      <c r="K145" s="3" t="s">
        <v>166</v>
      </c>
      <c r="L145" s="3">
        <v>200</v>
      </c>
      <c r="N145" s="3">
        <v>239.3</v>
      </c>
      <c r="O145" s="3">
        <v>184.94</v>
      </c>
      <c r="P145" s="3">
        <v>205.64</v>
      </c>
      <c r="Q145" s="3">
        <v>35</v>
      </c>
      <c r="R145" s="3">
        <v>28.08</v>
      </c>
      <c r="S145" s="3">
        <v>132.63999999999999</v>
      </c>
      <c r="T145" s="3">
        <v>102.93</v>
      </c>
      <c r="U145" s="3">
        <v>64.319999999999993</v>
      </c>
      <c r="V145" s="3">
        <v>49.4</v>
      </c>
      <c r="W145" s="3">
        <v>72.58</v>
      </c>
      <c r="X145" s="3">
        <v>85.02</v>
      </c>
      <c r="Y145" s="3">
        <v>37.32</v>
      </c>
      <c r="Z145" s="3">
        <v>95.34</v>
      </c>
      <c r="AA145" s="3">
        <v>69.41</v>
      </c>
      <c r="AB145" s="3">
        <v>81.900000000000006</v>
      </c>
      <c r="AC145" s="3">
        <v>30.19</v>
      </c>
      <c r="AD145" s="3">
        <v>46.89</v>
      </c>
      <c r="AE145" s="3">
        <v>38.229999999999997</v>
      </c>
      <c r="AF145" s="3">
        <v>34.299999999999997</v>
      </c>
      <c r="AG145" s="3">
        <v>31.88</v>
      </c>
      <c r="AH145" s="3">
        <v>37.81</v>
      </c>
      <c r="AI145" s="3">
        <v>1.6739999999999999</v>
      </c>
      <c r="AL145" s="3">
        <v>19</v>
      </c>
      <c r="AN145" s="3">
        <v>10</v>
      </c>
      <c r="AO145" s="3">
        <v>79.900000000000006</v>
      </c>
      <c r="AP145" s="3">
        <v>71.2</v>
      </c>
      <c r="AQ145" s="3">
        <v>57.3</v>
      </c>
      <c r="AS145" s="3">
        <v>24.8</v>
      </c>
    </row>
    <row r="146" spans="1:47" x14ac:dyDescent="0.2">
      <c r="A146" s="29">
        <v>146.99999999999847</v>
      </c>
      <c r="B146" s="3">
        <v>4</v>
      </c>
      <c r="C146" s="3">
        <v>22.145</v>
      </c>
      <c r="D146" s="52" t="s">
        <v>200</v>
      </c>
      <c r="E146" s="3" t="s">
        <v>201</v>
      </c>
      <c r="F146" s="14" t="s">
        <v>202</v>
      </c>
      <c r="I146" s="32">
        <v>44565</v>
      </c>
      <c r="J146" s="3" t="s">
        <v>142</v>
      </c>
      <c r="K146" s="3" t="s">
        <v>166</v>
      </c>
      <c r="L146" s="3">
        <v>200</v>
      </c>
      <c r="N146" s="3">
        <v>236.1</v>
      </c>
      <c r="O146" s="3">
        <v>187.9</v>
      </c>
      <c r="P146" s="3">
        <v>205.25</v>
      </c>
      <c r="Q146" s="3">
        <v>38.93</v>
      </c>
      <c r="R146" s="3">
        <v>30.93</v>
      </c>
      <c r="S146" s="3">
        <v>128.94999999999999</v>
      </c>
      <c r="T146" s="3">
        <v>99.38</v>
      </c>
      <c r="U146" s="3">
        <v>66.8</v>
      </c>
      <c r="V146" s="3">
        <v>54.33</v>
      </c>
      <c r="W146" s="3">
        <v>72.900000000000006</v>
      </c>
      <c r="X146" s="3">
        <v>88.38</v>
      </c>
      <c r="Y146" s="3">
        <v>39.090000000000003</v>
      </c>
      <c r="Z146" s="3">
        <v>100.36</v>
      </c>
      <c r="AA146" s="3">
        <v>74.48</v>
      </c>
      <c r="AB146" s="3">
        <v>85.05</v>
      </c>
      <c r="AC146" s="3">
        <v>34.5</v>
      </c>
      <c r="AD146" s="3">
        <v>45.36</v>
      </c>
      <c r="AE146" s="3">
        <v>29.28</v>
      </c>
      <c r="AF146" s="3">
        <v>37.78</v>
      </c>
      <c r="AG146" s="3">
        <v>37.770000000000003</v>
      </c>
      <c r="AH146" s="3">
        <v>41.27</v>
      </c>
      <c r="AI146" s="3">
        <v>1.36</v>
      </c>
      <c r="AL146" s="3">
        <v>24</v>
      </c>
      <c r="AN146" s="3">
        <v>5</v>
      </c>
      <c r="AO146" s="3">
        <v>82</v>
      </c>
      <c r="AP146" s="3">
        <v>60.2</v>
      </c>
      <c r="AQ146" s="3">
        <v>54.3</v>
      </c>
      <c r="AS146" s="3">
        <v>23.4</v>
      </c>
    </row>
    <row r="147" spans="1:47" x14ac:dyDescent="0.2">
      <c r="A147" s="29">
        <v>147.99999999999969</v>
      </c>
      <c r="B147" s="3">
        <v>12</v>
      </c>
      <c r="C147" s="3">
        <v>22.146000000000001</v>
      </c>
      <c r="D147" s="52" t="s">
        <v>200</v>
      </c>
      <c r="E147" s="3" t="s">
        <v>201</v>
      </c>
      <c r="F147" s="14" t="s">
        <v>202</v>
      </c>
      <c r="I147" s="32">
        <v>44584</v>
      </c>
      <c r="J147" s="3" t="s">
        <v>142</v>
      </c>
      <c r="K147" s="3" t="s">
        <v>166</v>
      </c>
      <c r="L147" s="3">
        <v>200</v>
      </c>
      <c r="N147" s="3">
        <v>231</v>
      </c>
      <c r="O147" s="3">
        <v>188.92</v>
      </c>
      <c r="P147" s="3">
        <v>206.67</v>
      </c>
      <c r="Q147" s="3">
        <v>38.9</v>
      </c>
      <c r="R147" s="3">
        <v>30.78</v>
      </c>
      <c r="S147" s="3">
        <v>132.35</v>
      </c>
      <c r="T147" s="3">
        <v>105.96</v>
      </c>
      <c r="U147" s="3">
        <v>66.52</v>
      </c>
      <c r="V147" s="3">
        <v>53.82</v>
      </c>
      <c r="W147" s="3">
        <v>75.75</v>
      </c>
      <c r="X147" s="3">
        <v>91.45</v>
      </c>
      <c r="Y147" s="3">
        <v>38.07</v>
      </c>
      <c r="Z147" s="3">
        <v>98.67</v>
      </c>
      <c r="AA147" s="3">
        <v>72.58</v>
      </c>
      <c r="AB147" s="3">
        <v>82.16</v>
      </c>
      <c r="AC147" s="3">
        <v>35.89</v>
      </c>
      <c r="AD147" s="3">
        <v>43.59</v>
      </c>
      <c r="AE147" s="3">
        <v>27.32</v>
      </c>
      <c r="AF147" s="3">
        <v>35.42</v>
      </c>
      <c r="AG147" s="3">
        <v>32.9</v>
      </c>
      <c r="AH147" s="3">
        <v>38.89</v>
      </c>
      <c r="AI147" s="3">
        <v>1.47</v>
      </c>
      <c r="AL147" s="3">
        <v>23</v>
      </c>
      <c r="AN147" s="3">
        <v>12.9</v>
      </c>
      <c r="AO147" s="3">
        <v>77.2</v>
      </c>
      <c r="AP147" s="3">
        <v>62.6</v>
      </c>
      <c r="AQ147" s="3">
        <v>52.5</v>
      </c>
      <c r="AS147" s="3">
        <v>22.4</v>
      </c>
    </row>
    <row r="148" spans="1:47" ht="17" x14ac:dyDescent="0.2">
      <c r="A148" s="29">
        <v>149.00000000000091</v>
      </c>
      <c r="B148" s="3">
        <v>116</v>
      </c>
      <c r="C148" s="3">
        <v>22.146999999999998</v>
      </c>
      <c r="D148" s="34" t="s">
        <v>148</v>
      </c>
      <c r="E148" s="35" t="s">
        <v>149</v>
      </c>
      <c r="F148" s="3" t="s">
        <v>74</v>
      </c>
      <c r="G148" s="3" t="s">
        <v>74</v>
      </c>
      <c r="H148" s="35"/>
      <c r="I148" s="32">
        <v>44580</v>
      </c>
      <c r="J148" s="3" t="s">
        <v>142</v>
      </c>
      <c r="K148" s="3" t="s">
        <v>143</v>
      </c>
      <c r="N148" s="3">
        <v>249.7</v>
      </c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3">
        <v>1.5309999999999999</v>
      </c>
      <c r="AJ148" s="3">
        <v>35.86</v>
      </c>
      <c r="AK148" s="3" t="s">
        <v>173</v>
      </c>
      <c r="AM148" s="3">
        <v>96</v>
      </c>
      <c r="AN148" s="3">
        <v>13</v>
      </c>
      <c r="AT148" s="3" t="s">
        <v>146</v>
      </c>
    </row>
    <row r="149" spans="1:47" ht="17" x14ac:dyDescent="0.2">
      <c r="A149" s="29">
        <v>149.99999999999858</v>
      </c>
      <c r="B149" s="3">
        <v>131</v>
      </c>
      <c r="C149" s="3">
        <v>22.148</v>
      </c>
      <c r="D149" s="34" t="s">
        <v>148</v>
      </c>
      <c r="E149" s="35" t="s">
        <v>149</v>
      </c>
      <c r="F149" s="3" t="s">
        <v>74</v>
      </c>
      <c r="G149" s="3" t="s">
        <v>74</v>
      </c>
      <c r="H149" s="35"/>
      <c r="I149" s="32">
        <v>44580</v>
      </c>
      <c r="J149" s="3" t="s">
        <v>142</v>
      </c>
      <c r="K149" s="3" t="s">
        <v>143</v>
      </c>
      <c r="N149" s="3">
        <v>249.53</v>
      </c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3">
        <v>1.5229999999999999</v>
      </c>
      <c r="AJ149" s="3">
        <v>34.51</v>
      </c>
      <c r="AK149" s="3" t="s">
        <v>173</v>
      </c>
      <c r="AM149" s="3">
        <v>99</v>
      </c>
      <c r="AN149" s="3">
        <v>12</v>
      </c>
      <c r="AT149" s="3" t="s">
        <v>146</v>
      </c>
    </row>
    <row r="150" spans="1:47" ht="17" x14ac:dyDescent="0.2">
      <c r="A150" s="29">
        <v>150.9999999999998</v>
      </c>
      <c r="B150" s="3">
        <v>168</v>
      </c>
      <c r="C150" s="3">
        <v>22.149000000000001</v>
      </c>
      <c r="D150" s="34" t="s">
        <v>148</v>
      </c>
      <c r="E150" s="35" t="s">
        <v>149</v>
      </c>
      <c r="F150" s="3" t="s">
        <v>74</v>
      </c>
      <c r="G150" s="3" t="s">
        <v>74</v>
      </c>
      <c r="H150" s="35"/>
      <c r="I150" s="32">
        <v>44580</v>
      </c>
      <c r="J150" s="3" t="s">
        <v>142</v>
      </c>
      <c r="K150" s="3" t="s">
        <v>143</v>
      </c>
      <c r="N150" s="3">
        <v>238.38</v>
      </c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3">
        <v>1.5049999999999999</v>
      </c>
      <c r="AJ150" s="3">
        <v>35.08</v>
      </c>
      <c r="AK150" s="3" t="s">
        <v>172</v>
      </c>
      <c r="AN150" s="3">
        <v>104</v>
      </c>
      <c r="AT150" s="3" t="s">
        <v>146</v>
      </c>
    </row>
    <row r="151" spans="1:47" ht="17" x14ac:dyDescent="0.2">
      <c r="A151" s="29">
        <v>152.00000000000102</v>
      </c>
      <c r="B151" s="3">
        <v>133</v>
      </c>
      <c r="C151" s="2" t="s">
        <v>3</v>
      </c>
      <c r="D151" s="34" t="s">
        <v>148</v>
      </c>
      <c r="E151" s="35" t="s">
        <v>149</v>
      </c>
      <c r="F151" s="3" t="s">
        <v>74</v>
      </c>
      <c r="G151" s="3" t="s">
        <v>74</v>
      </c>
      <c r="H151" s="35"/>
      <c r="I151" s="32">
        <v>44607</v>
      </c>
      <c r="J151" s="3" t="s">
        <v>142</v>
      </c>
      <c r="K151" s="3" t="s">
        <v>143</v>
      </c>
      <c r="N151" s="3">
        <v>248.51</v>
      </c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3">
        <v>1.52</v>
      </c>
      <c r="AJ151" s="47"/>
      <c r="AK151" s="3" t="s">
        <v>172</v>
      </c>
    </row>
    <row r="152" spans="1:47" x14ac:dyDescent="0.2">
      <c r="A152" s="29">
        <v>152.99999999999869</v>
      </c>
      <c r="B152" s="3">
        <v>7</v>
      </c>
      <c r="C152" s="3">
        <v>22.151</v>
      </c>
      <c r="D152" s="52" t="s">
        <v>200</v>
      </c>
      <c r="E152" s="3" t="s">
        <v>201</v>
      </c>
      <c r="F152" s="14" t="s">
        <v>202</v>
      </c>
      <c r="I152" s="32">
        <v>44580</v>
      </c>
      <c r="J152" s="3" t="s">
        <v>142</v>
      </c>
      <c r="K152" s="3" t="s">
        <v>166</v>
      </c>
      <c r="L152" s="3">
        <v>200</v>
      </c>
      <c r="O152" s="3">
        <v>163.06</v>
      </c>
      <c r="P152" s="3">
        <v>188.58</v>
      </c>
      <c r="Q152" s="3">
        <v>34.880000000000003</v>
      </c>
      <c r="R152" s="3">
        <v>20.47</v>
      </c>
      <c r="S152" s="3">
        <v>117.98</v>
      </c>
      <c r="T152" s="3">
        <v>96.18</v>
      </c>
      <c r="U152" s="3">
        <v>67.760000000000005</v>
      </c>
      <c r="V152" s="3">
        <v>54.68</v>
      </c>
      <c r="W152" s="3">
        <v>72.930000000000007</v>
      </c>
      <c r="X152" s="3">
        <v>88.84</v>
      </c>
      <c r="Y152" s="3">
        <v>39.4</v>
      </c>
      <c r="Z152" s="3">
        <v>98.16</v>
      </c>
      <c r="AA152" s="3">
        <v>73.510000000000005</v>
      </c>
      <c r="AB152" s="3">
        <v>82.64</v>
      </c>
      <c r="AC152" s="3">
        <v>32.229999999999997</v>
      </c>
      <c r="AD152" s="3">
        <v>47.28</v>
      </c>
      <c r="AE152" s="3">
        <v>21.08</v>
      </c>
      <c r="AF152" s="3">
        <v>33.590000000000003</v>
      </c>
      <c r="AG152" s="3">
        <v>28.72</v>
      </c>
      <c r="AH152" s="3">
        <v>40.14</v>
      </c>
    </row>
    <row r="153" spans="1:47" x14ac:dyDescent="0.2">
      <c r="A153" s="29">
        <v>153.99999999999991</v>
      </c>
      <c r="B153" s="3">
        <v>5</v>
      </c>
      <c r="C153" s="3">
        <v>22.152000000000001</v>
      </c>
      <c r="D153" s="52" t="s">
        <v>200</v>
      </c>
      <c r="E153" s="3" t="s">
        <v>201</v>
      </c>
      <c r="F153" s="14" t="s">
        <v>202</v>
      </c>
      <c r="I153" s="32">
        <v>44569</v>
      </c>
      <c r="J153" s="3" t="s">
        <v>142</v>
      </c>
      <c r="K153" s="3" t="s">
        <v>166</v>
      </c>
      <c r="L153" s="3">
        <v>200</v>
      </c>
      <c r="O153" s="3">
        <v>191.97</v>
      </c>
      <c r="P153" s="3">
        <v>218.71</v>
      </c>
      <c r="Q153" s="3">
        <v>42.69</v>
      </c>
      <c r="R153" s="3">
        <v>28.96</v>
      </c>
      <c r="S153" s="3">
        <v>135.72999999999999</v>
      </c>
      <c r="T153" s="3">
        <v>107.46</v>
      </c>
      <c r="U153" s="3">
        <v>61.63</v>
      </c>
      <c r="V153" s="3">
        <v>51.97</v>
      </c>
      <c r="W153" s="3">
        <v>72.349999999999994</v>
      </c>
      <c r="X153" s="3">
        <v>88.87</v>
      </c>
      <c r="Y153" s="3">
        <v>39</v>
      </c>
      <c r="Z153" s="3">
        <v>99.88</v>
      </c>
      <c r="AA153" s="3">
        <v>72.209999999999994</v>
      </c>
      <c r="AB153" s="3">
        <v>80.819999999999993</v>
      </c>
      <c r="AC153" s="3">
        <v>30.1</v>
      </c>
      <c r="AD153" s="3">
        <v>45.87</v>
      </c>
      <c r="AE153" s="3">
        <v>31.83</v>
      </c>
      <c r="AF153" s="3">
        <v>35.39</v>
      </c>
      <c r="AG153" s="3">
        <v>28.91</v>
      </c>
      <c r="AH153" s="3">
        <v>40.47</v>
      </c>
    </row>
    <row r="154" spans="1:47" x14ac:dyDescent="0.2">
      <c r="A154" s="29">
        <v>155.00000000000114</v>
      </c>
      <c r="B154" s="3">
        <v>16</v>
      </c>
      <c r="C154" s="3">
        <v>22.152999999999999</v>
      </c>
      <c r="D154" s="52" t="s">
        <v>200</v>
      </c>
      <c r="E154" s="3" t="s">
        <v>201</v>
      </c>
      <c r="F154" s="14" t="s">
        <v>202</v>
      </c>
      <c r="I154" s="32">
        <v>44593</v>
      </c>
      <c r="J154" s="3" t="s">
        <v>142</v>
      </c>
      <c r="K154" s="3" t="s">
        <v>166</v>
      </c>
      <c r="L154" s="3">
        <v>200</v>
      </c>
      <c r="N154" s="3">
        <v>240.9</v>
      </c>
      <c r="O154" s="3">
        <v>192.51</v>
      </c>
      <c r="P154" s="3">
        <v>218.91</v>
      </c>
      <c r="Q154" s="3">
        <v>39.380000000000003</v>
      </c>
      <c r="R154" s="3">
        <v>26.47</v>
      </c>
      <c r="S154" s="3">
        <v>134.36000000000001</v>
      </c>
      <c r="T154" s="3">
        <v>104.7</v>
      </c>
      <c r="U154" s="3">
        <v>63.73</v>
      </c>
      <c r="V154" s="3">
        <v>52.95</v>
      </c>
      <c r="W154" s="3">
        <v>69.3</v>
      </c>
      <c r="X154" s="3">
        <v>85.3</v>
      </c>
      <c r="Y154" s="3">
        <v>37.36</v>
      </c>
      <c r="Z154" s="3">
        <v>95.66</v>
      </c>
      <c r="AA154" s="3">
        <v>71.150000000000006</v>
      </c>
      <c r="AB154" s="3">
        <v>79.22</v>
      </c>
      <c r="AC154" s="3">
        <v>30.63</v>
      </c>
      <c r="AD154" s="3">
        <v>47.4</v>
      </c>
      <c r="AE154" s="3">
        <v>27.56</v>
      </c>
      <c r="AF154" s="3">
        <v>38.81</v>
      </c>
      <c r="AG154" s="3">
        <v>32.909999999999997</v>
      </c>
      <c r="AH154" s="3">
        <v>42.79</v>
      </c>
      <c r="AI154" s="3">
        <v>1.4850000000000001</v>
      </c>
      <c r="AL154" s="3">
        <v>30</v>
      </c>
      <c r="AO154" s="3">
        <v>12.5</v>
      </c>
      <c r="AP154" s="3">
        <v>80.099999999999994</v>
      </c>
      <c r="AQ154" s="3">
        <v>60.8</v>
      </c>
      <c r="AR154" s="3">
        <v>55.4</v>
      </c>
      <c r="AS154" s="3">
        <v>23.4</v>
      </c>
    </row>
    <row r="155" spans="1:47" x14ac:dyDescent="0.2">
      <c r="A155" s="29">
        <v>155.99999999999881</v>
      </c>
      <c r="B155" s="3">
        <v>18</v>
      </c>
      <c r="C155" s="3">
        <v>22.154</v>
      </c>
      <c r="D155" s="52" t="s">
        <v>200</v>
      </c>
      <c r="E155" s="3" t="s">
        <v>201</v>
      </c>
      <c r="F155" s="14" t="s">
        <v>202</v>
      </c>
      <c r="I155" s="32">
        <v>44606</v>
      </c>
      <c r="J155" s="3" t="s">
        <v>142</v>
      </c>
      <c r="K155" s="3" t="s">
        <v>166</v>
      </c>
      <c r="L155" s="3">
        <v>250</v>
      </c>
      <c r="N155" s="3">
        <v>246.7</v>
      </c>
      <c r="O155" s="3">
        <v>191.19</v>
      </c>
      <c r="P155" s="3">
        <v>215.49</v>
      </c>
      <c r="Q155" s="3">
        <v>44.19</v>
      </c>
      <c r="R155" s="3">
        <v>25.04</v>
      </c>
      <c r="S155" s="3">
        <v>129.88999999999999</v>
      </c>
      <c r="T155" s="3">
        <v>99.24</v>
      </c>
      <c r="U155" s="3">
        <v>63.84</v>
      </c>
      <c r="V155" s="3">
        <v>51.97</v>
      </c>
      <c r="W155" s="3">
        <v>74.05</v>
      </c>
      <c r="X155" s="3">
        <v>91.11</v>
      </c>
      <c r="Y155" s="3">
        <v>40</v>
      </c>
      <c r="Z155" s="3">
        <v>100.74</v>
      </c>
      <c r="AA155" s="3">
        <v>72.790000000000006</v>
      </c>
      <c r="AB155" s="3">
        <v>78.77</v>
      </c>
      <c r="AC155" s="3">
        <v>29.19</v>
      </c>
      <c r="AD155" s="3">
        <v>45.61</v>
      </c>
      <c r="AE155" s="3">
        <v>25.52</v>
      </c>
      <c r="AF155" s="3">
        <v>38.82</v>
      </c>
      <c r="AG155" s="3">
        <v>31.39</v>
      </c>
      <c r="AH155" s="3">
        <v>45.63</v>
      </c>
      <c r="AI155" s="3">
        <v>1.591</v>
      </c>
      <c r="AL155" s="3">
        <v>22</v>
      </c>
      <c r="AO155" s="3">
        <v>15.7</v>
      </c>
      <c r="AP155" s="3">
        <v>90.6</v>
      </c>
      <c r="AQ155" s="3">
        <v>52.2</v>
      </c>
      <c r="AR155" s="3">
        <v>63.3</v>
      </c>
      <c r="AS155" s="3">
        <v>21.1</v>
      </c>
    </row>
    <row r="156" spans="1:47" x14ac:dyDescent="0.2">
      <c r="A156" s="29">
        <v>157.00000000000003</v>
      </c>
      <c r="B156" s="3">
        <v>21</v>
      </c>
      <c r="C156" s="3">
        <v>22.155000000000001</v>
      </c>
      <c r="D156" s="52" t="s">
        <v>200</v>
      </c>
      <c r="E156" s="3" t="s">
        <v>201</v>
      </c>
      <c r="F156" s="14" t="s">
        <v>202</v>
      </c>
      <c r="I156" s="32">
        <v>44607</v>
      </c>
      <c r="J156" s="3" t="s">
        <v>142</v>
      </c>
      <c r="K156" s="3" t="s">
        <v>166</v>
      </c>
      <c r="L156" s="3">
        <v>200</v>
      </c>
      <c r="N156" s="3">
        <v>233.2</v>
      </c>
      <c r="O156" s="3">
        <v>191.26</v>
      </c>
      <c r="P156" s="3">
        <v>204.09</v>
      </c>
      <c r="Q156" s="3">
        <v>46.34</v>
      </c>
      <c r="R156" s="3">
        <v>25.42</v>
      </c>
      <c r="S156" s="3">
        <v>125.08</v>
      </c>
      <c r="T156" s="3">
        <v>101.15</v>
      </c>
      <c r="U156" s="3">
        <v>67.069999999999993</v>
      </c>
      <c r="V156" s="3">
        <v>54.55</v>
      </c>
      <c r="W156" s="3">
        <v>73.25</v>
      </c>
      <c r="X156" s="3">
        <v>91.15</v>
      </c>
      <c r="Y156" s="3">
        <v>39.75</v>
      </c>
      <c r="Z156" s="3">
        <v>97.79</v>
      </c>
      <c r="AA156" s="3">
        <v>70.62</v>
      </c>
      <c r="AB156" s="3">
        <v>84.19</v>
      </c>
      <c r="AC156" s="3">
        <v>28.5</v>
      </c>
      <c r="AD156" s="3">
        <v>43.26</v>
      </c>
      <c r="AE156" s="3">
        <v>25.83</v>
      </c>
      <c r="AF156" s="3">
        <v>40.64</v>
      </c>
      <c r="AG156" s="3">
        <v>28.36</v>
      </c>
      <c r="AH156" s="3">
        <v>45.64</v>
      </c>
      <c r="AI156" s="3">
        <v>1.4930000000000001</v>
      </c>
      <c r="AL156" s="3">
        <v>18</v>
      </c>
      <c r="AO156" s="3">
        <v>12.5</v>
      </c>
      <c r="AP156" s="3">
        <v>84.8</v>
      </c>
      <c r="AQ156" s="3">
        <v>55.5</v>
      </c>
      <c r="AR156" s="3">
        <v>59.1</v>
      </c>
      <c r="AS156" s="3">
        <v>25.1</v>
      </c>
    </row>
    <row r="157" spans="1:47" x14ac:dyDescent="0.2">
      <c r="A157" s="29">
        <v>158.00000000000125</v>
      </c>
      <c r="B157" s="3">
        <v>27</v>
      </c>
      <c r="C157" s="3">
        <v>22.155999999999999</v>
      </c>
      <c r="D157" s="52" t="s">
        <v>200</v>
      </c>
      <c r="E157" s="3" t="s">
        <v>201</v>
      </c>
      <c r="F157" s="14" t="s">
        <v>202</v>
      </c>
      <c r="I157" s="32">
        <v>44629</v>
      </c>
      <c r="J157" t="s">
        <v>142</v>
      </c>
      <c r="K157" t="s">
        <v>203</v>
      </c>
      <c r="L157" s="3">
        <v>200</v>
      </c>
      <c r="M157"/>
      <c r="N157">
        <v>225.5</v>
      </c>
      <c r="O157">
        <v>202.12</v>
      </c>
      <c r="P157">
        <v>217</v>
      </c>
      <c r="Q157">
        <v>50.82</v>
      </c>
      <c r="R157">
        <v>31.88</v>
      </c>
      <c r="S157">
        <v>128.03</v>
      </c>
      <c r="T157">
        <v>98.51</v>
      </c>
      <c r="U157">
        <v>59.07</v>
      </c>
      <c r="V157">
        <v>47.88</v>
      </c>
      <c r="W157">
        <v>71.319999999999993</v>
      </c>
      <c r="X157">
        <v>85.64</v>
      </c>
      <c r="Y157">
        <v>37.54</v>
      </c>
      <c r="Z157">
        <v>96.52</v>
      </c>
      <c r="AA157">
        <v>69.75</v>
      </c>
      <c r="AB157">
        <v>78.11</v>
      </c>
      <c r="AC157">
        <v>27.97</v>
      </c>
      <c r="AD157">
        <v>44.35</v>
      </c>
      <c r="AE157">
        <v>32.5</v>
      </c>
      <c r="AF157">
        <v>40.380000000000003</v>
      </c>
      <c r="AG157">
        <v>29.64</v>
      </c>
      <c r="AH157">
        <v>47.17</v>
      </c>
      <c r="AI157" s="3">
        <v>1.6839999999999999</v>
      </c>
      <c r="AL157" s="3">
        <v>9</v>
      </c>
      <c r="AO157" s="3">
        <v>13.3</v>
      </c>
      <c r="AP157" s="3">
        <v>88.3</v>
      </c>
      <c r="AQ157" s="3">
        <v>53.6</v>
      </c>
      <c r="AR157" s="3">
        <v>58.3</v>
      </c>
      <c r="AS157" s="3">
        <v>25.2</v>
      </c>
      <c r="AT157" s="3" t="s">
        <v>147</v>
      </c>
      <c r="AU157" s="3" t="s">
        <v>147</v>
      </c>
    </row>
    <row r="158" spans="1:47" x14ac:dyDescent="0.2">
      <c r="A158" s="29">
        <v>158.99999999999892</v>
      </c>
      <c r="B158" s="3">
        <v>13</v>
      </c>
      <c r="C158" s="3">
        <v>22.157</v>
      </c>
      <c r="D158" s="52" t="s">
        <v>200</v>
      </c>
      <c r="E158" s="3" t="s">
        <v>201</v>
      </c>
      <c r="F158" s="14" t="s">
        <v>202</v>
      </c>
      <c r="I158" s="32">
        <v>44593</v>
      </c>
      <c r="J158" t="s">
        <v>142</v>
      </c>
      <c r="K158" t="s">
        <v>203</v>
      </c>
      <c r="L158" s="3">
        <v>200</v>
      </c>
      <c r="M158"/>
      <c r="N158">
        <v>222.5</v>
      </c>
      <c r="O158">
        <v>162.5</v>
      </c>
      <c r="P158">
        <v>186.86</v>
      </c>
      <c r="Q158">
        <v>40.229999999999997</v>
      </c>
      <c r="R158">
        <v>18.32</v>
      </c>
      <c r="S158">
        <v>118.53</v>
      </c>
      <c r="T158">
        <v>93.99</v>
      </c>
      <c r="U158">
        <v>66.83</v>
      </c>
      <c r="V158">
        <v>53.95</v>
      </c>
      <c r="W158">
        <v>72.56</v>
      </c>
      <c r="X158">
        <v>85.41</v>
      </c>
      <c r="Y158">
        <v>37.18</v>
      </c>
      <c r="Z158">
        <v>91.75</v>
      </c>
      <c r="AA158">
        <v>68.13</v>
      </c>
      <c r="AB158">
        <v>75.52</v>
      </c>
      <c r="AC158">
        <v>31.5</v>
      </c>
      <c r="AD158">
        <v>46.68</v>
      </c>
      <c r="AE158">
        <v>18.29</v>
      </c>
      <c r="AF158">
        <v>26.36</v>
      </c>
      <c r="AG158">
        <v>24.94</v>
      </c>
      <c r="AH158">
        <v>38.49</v>
      </c>
      <c r="AI158" s="3">
        <v>1.353</v>
      </c>
      <c r="AO158" s="3">
        <v>10.3</v>
      </c>
      <c r="AP158" s="3">
        <v>79.599999999999994</v>
      </c>
      <c r="AQ158" s="3">
        <v>79.7</v>
      </c>
      <c r="AR158" s="3">
        <v>50.3</v>
      </c>
      <c r="AS158" s="3">
        <v>21.8</v>
      </c>
      <c r="AT158" s="3" t="s">
        <v>147</v>
      </c>
      <c r="AU158" s="3" t="s">
        <v>147</v>
      </c>
    </row>
    <row r="159" spans="1:47" x14ac:dyDescent="0.2">
      <c r="A159" s="29">
        <v>160.00000000000014</v>
      </c>
      <c r="B159" s="3">
        <v>2</v>
      </c>
      <c r="C159" s="3">
        <v>22.158000000000001</v>
      </c>
      <c r="D159" s="52" t="s">
        <v>200</v>
      </c>
      <c r="E159" s="3" t="s">
        <v>201</v>
      </c>
      <c r="F159" s="14" t="s">
        <v>202</v>
      </c>
      <c r="I159" s="32">
        <v>44564</v>
      </c>
      <c r="J159" t="s">
        <v>142</v>
      </c>
      <c r="K159" t="s">
        <v>203</v>
      </c>
      <c r="L159" s="3">
        <v>200</v>
      </c>
      <c r="M159"/>
      <c r="N159">
        <v>238.8</v>
      </c>
      <c r="O159">
        <v>194.99</v>
      </c>
      <c r="P159">
        <v>217</v>
      </c>
      <c r="Q159">
        <v>37.630000000000003</v>
      </c>
      <c r="R159">
        <v>30.36</v>
      </c>
      <c r="S159">
        <v>134.47999999999999</v>
      </c>
      <c r="T159">
        <v>102.95</v>
      </c>
      <c r="U159">
        <v>63.11</v>
      </c>
      <c r="V159">
        <v>50.55</v>
      </c>
      <c r="W159">
        <v>73.52</v>
      </c>
      <c r="X159">
        <v>87.27</v>
      </c>
      <c r="Y159">
        <v>38.19</v>
      </c>
      <c r="Z159">
        <v>98.2</v>
      </c>
      <c r="AA159">
        <v>71.650000000000006</v>
      </c>
      <c r="AB159">
        <v>79.36</v>
      </c>
      <c r="AC159">
        <v>32.450000000000003</v>
      </c>
      <c r="AD159">
        <v>46.43</v>
      </c>
      <c r="AE159">
        <v>36.97</v>
      </c>
      <c r="AF159">
        <v>34.770000000000003</v>
      </c>
      <c r="AG159">
        <v>36.64</v>
      </c>
      <c r="AH159">
        <v>41.19</v>
      </c>
      <c r="AI159" s="3">
        <v>1.506</v>
      </c>
      <c r="AL159" s="3">
        <v>22</v>
      </c>
      <c r="AO159" s="3">
        <v>10.1</v>
      </c>
      <c r="AP159" s="3">
        <v>87</v>
      </c>
      <c r="AQ159" s="3">
        <v>58.9</v>
      </c>
      <c r="AR159" s="3">
        <v>56.7</v>
      </c>
      <c r="AS159" s="3">
        <v>24.8</v>
      </c>
      <c r="AT159" s="3" t="s">
        <v>147</v>
      </c>
      <c r="AU159" s="3" t="s">
        <v>147</v>
      </c>
    </row>
    <row r="160" spans="1:47" x14ac:dyDescent="0.2">
      <c r="A160" s="29">
        <v>161.00000000000136</v>
      </c>
      <c r="B160" s="3">
        <v>3</v>
      </c>
      <c r="C160" s="3">
        <v>22.158999999999999</v>
      </c>
      <c r="D160" s="52" t="s">
        <v>200</v>
      </c>
      <c r="E160" s="3" t="s">
        <v>201</v>
      </c>
      <c r="F160" s="14" t="s">
        <v>202</v>
      </c>
      <c r="I160" s="32">
        <v>44565</v>
      </c>
      <c r="J160" t="s">
        <v>142</v>
      </c>
      <c r="K160" t="s">
        <v>203</v>
      </c>
      <c r="L160" s="3">
        <v>200</v>
      </c>
      <c r="M160"/>
      <c r="N160">
        <v>225.9</v>
      </c>
      <c r="O160">
        <v>158.07</v>
      </c>
      <c r="P160">
        <v>186.72</v>
      </c>
      <c r="Q160">
        <v>36.65</v>
      </c>
      <c r="R160">
        <v>17.02</v>
      </c>
      <c r="S160">
        <v>115.75</v>
      </c>
      <c r="T160">
        <v>95.06</v>
      </c>
      <c r="U160">
        <v>63.01</v>
      </c>
      <c r="V160">
        <v>54.67</v>
      </c>
      <c r="W160">
        <v>70.34</v>
      </c>
      <c r="X160">
        <v>86.29</v>
      </c>
      <c r="Y160">
        <v>38.96</v>
      </c>
      <c r="Z160">
        <v>95.77</v>
      </c>
      <c r="AA160">
        <v>71.13</v>
      </c>
      <c r="AB160">
        <v>79.98</v>
      </c>
      <c r="AC160">
        <v>33.11</v>
      </c>
      <c r="AD160">
        <v>46.33</v>
      </c>
      <c r="AE160">
        <v>18.7</v>
      </c>
      <c r="AF160">
        <v>29.61</v>
      </c>
      <c r="AG160">
        <v>23.91</v>
      </c>
      <c r="AH160">
        <v>39</v>
      </c>
      <c r="AI160" s="3">
        <v>1.625</v>
      </c>
      <c r="AL160" s="3">
        <v>19</v>
      </c>
      <c r="AO160" s="3">
        <v>8.5</v>
      </c>
      <c r="AP160" s="3">
        <v>79.2</v>
      </c>
      <c r="AQ160" s="3">
        <v>63</v>
      </c>
      <c r="AR160" s="3">
        <v>51.1</v>
      </c>
      <c r="AS160" s="3">
        <v>22.2</v>
      </c>
      <c r="AT160" s="3" t="s">
        <v>147</v>
      </c>
      <c r="AU160" s="3" t="s">
        <v>147</v>
      </c>
    </row>
    <row r="161" spans="1:47" ht="17" x14ac:dyDescent="0.2">
      <c r="A161" s="29">
        <v>161.99999999999903</v>
      </c>
      <c r="B161" s="3">
        <v>127</v>
      </c>
      <c r="C161" s="2" t="s">
        <v>2</v>
      </c>
      <c r="D161" s="34" t="s">
        <v>148</v>
      </c>
      <c r="E161" s="35" t="s">
        <v>149</v>
      </c>
      <c r="F161" s="3" t="s">
        <v>74</v>
      </c>
      <c r="G161" s="3" t="s">
        <v>74</v>
      </c>
      <c r="H161" s="35"/>
      <c r="I161" s="32">
        <v>44607</v>
      </c>
      <c r="J161" s="17" t="s">
        <v>142</v>
      </c>
      <c r="K161" s="17" t="s">
        <v>204</v>
      </c>
      <c r="L161"/>
      <c r="M161" s="53">
        <v>236</v>
      </c>
      <c r="N161" s="17">
        <v>244.12</v>
      </c>
      <c r="O161">
        <v>166.77</v>
      </c>
      <c r="P161">
        <v>181.8</v>
      </c>
      <c r="Q161">
        <v>42.2</v>
      </c>
      <c r="R161">
        <v>18.899999999999999</v>
      </c>
      <c r="S161">
        <v>117.34</v>
      </c>
      <c r="T161">
        <v>91.56</v>
      </c>
      <c r="U161">
        <v>58.46</v>
      </c>
      <c r="V161">
        <v>45.34</v>
      </c>
      <c r="W161">
        <v>63.45</v>
      </c>
      <c r="X161">
        <v>86.86</v>
      </c>
      <c r="Y161">
        <v>41.16</v>
      </c>
      <c r="Z161">
        <v>95.56</v>
      </c>
      <c r="AA161">
        <v>82.62</v>
      </c>
      <c r="AB161">
        <v>75.06</v>
      </c>
      <c r="AC161">
        <v>5.82</v>
      </c>
      <c r="AD161">
        <v>53</v>
      </c>
      <c r="AE161">
        <v>25.93</v>
      </c>
      <c r="AF161">
        <v>36.76</v>
      </c>
      <c r="AG161">
        <v>32.54</v>
      </c>
      <c r="AH161">
        <v>38.659999999999997</v>
      </c>
      <c r="AI161" s="17">
        <v>1.5109999999999999</v>
      </c>
      <c r="AJ161">
        <v>33.82</v>
      </c>
      <c r="AK161" s="17" t="s">
        <v>172</v>
      </c>
      <c r="AL161"/>
      <c r="AM161"/>
      <c r="AN161">
        <v>125</v>
      </c>
      <c r="AO161"/>
      <c r="AP161"/>
      <c r="AQ161"/>
      <c r="AR161"/>
      <c r="AS161"/>
      <c r="AT161" t="s">
        <v>146</v>
      </c>
      <c r="AU161" t="s">
        <v>146</v>
      </c>
    </row>
    <row r="162" spans="1:47" ht="17" x14ac:dyDescent="0.2">
      <c r="A162" s="29">
        <v>163.00000000000026</v>
      </c>
      <c r="B162" s="3">
        <v>112</v>
      </c>
      <c r="C162" s="4">
        <v>22.161000000000001</v>
      </c>
      <c r="D162" s="34" t="s">
        <v>148</v>
      </c>
      <c r="E162" s="35" t="s">
        <v>149</v>
      </c>
      <c r="F162" s="3" t="s">
        <v>74</v>
      </c>
      <c r="G162" s="3" t="s">
        <v>74</v>
      </c>
      <c r="H162" s="35"/>
      <c r="I162" s="32">
        <v>44605</v>
      </c>
      <c r="J162" s="17" t="s">
        <v>142</v>
      </c>
      <c r="K162" s="17" t="s">
        <v>204</v>
      </c>
      <c r="L162"/>
      <c r="M162" s="53">
        <v>238</v>
      </c>
      <c r="N162" s="17">
        <v>245.31</v>
      </c>
      <c r="O162">
        <v>167.42</v>
      </c>
      <c r="P162">
        <v>177.14</v>
      </c>
      <c r="Q162">
        <v>42.31</v>
      </c>
      <c r="R162">
        <v>20.78</v>
      </c>
      <c r="S162">
        <v>111.88</v>
      </c>
      <c r="T162">
        <v>85.85</v>
      </c>
      <c r="U162">
        <v>62.22</v>
      </c>
      <c r="V162">
        <v>49.32</v>
      </c>
      <c r="W162">
        <v>70.48</v>
      </c>
      <c r="X162">
        <v>89.04</v>
      </c>
      <c r="Y162">
        <v>40.67</v>
      </c>
      <c r="Z162">
        <v>95.53</v>
      </c>
      <c r="AA162">
        <v>79.47</v>
      </c>
      <c r="AB162">
        <v>77.260000000000005</v>
      </c>
      <c r="AC162">
        <v>0</v>
      </c>
      <c r="AD162">
        <v>54.98</v>
      </c>
      <c r="AE162">
        <v>26.89</v>
      </c>
      <c r="AF162">
        <v>30.23</v>
      </c>
      <c r="AG162">
        <v>34.01</v>
      </c>
      <c r="AH162">
        <v>34.01</v>
      </c>
      <c r="AI162" s="17">
        <v>1.49</v>
      </c>
      <c r="AJ162">
        <v>32.83</v>
      </c>
      <c r="AK162" s="17" t="s">
        <v>172</v>
      </c>
      <c r="AL162"/>
      <c r="AM162"/>
      <c r="AN162">
        <v>96</v>
      </c>
      <c r="AO162"/>
      <c r="AP162"/>
      <c r="AQ162"/>
      <c r="AR162"/>
      <c r="AS162"/>
      <c r="AT162" t="s">
        <v>146</v>
      </c>
      <c r="AU162" t="s">
        <v>146</v>
      </c>
    </row>
    <row r="163" spans="1:47" ht="17" x14ac:dyDescent="0.2">
      <c r="A163" s="29">
        <v>164.00000000000148</v>
      </c>
      <c r="B163" s="3">
        <v>117</v>
      </c>
      <c r="C163" s="4">
        <v>22.161999999999999</v>
      </c>
      <c r="D163" s="34" t="s">
        <v>148</v>
      </c>
      <c r="E163" s="35" t="s">
        <v>149</v>
      </c>
      <c r="F163" s="3" t="s">
        <v>74</v>
      </c>
      <c r="G163" s="3" t="s">
        <v>74</v>
      </c>
      <c r="H163" s="35"/>
      <c r="I163" s="32">
        <v>44605</v>
      </c>
      <c r="J163" s="17" t="s">
        <v>142</v>
      </c>
      <c r="K163" s="17" t="s">
        <v>204</v>
      </c>
      <c r="L163"/>
      <c r="M163" s="53">
        <v>244</v>
      </c>
      <c r="N163" s="17">
        <v>251.81</v>
      </c>
      <c r="O163">
        <v>167.32</v>
      </c>
      <c r="P163">
        <v>183.2</v>
      </c>
      <c r="Q163">
        <v>43.12</v>
      </c>
      <c r="R163">
        <v>14.69</v>
      </c>
      <c r="S163">
        <v>117.14</v>
      </c>
      <c r="T163">
        <v>89.8</v>
      </c>
      <c r="U163">
        <v>58.89</v>
      </c>
      <c r="V163">
        <v>44.46</v>
      </c>
      <c r="W163">
        <v>62.69</v>
      </c>
      <c r="X163">
        <v>86.7</v>
      </c>
      <c r="Y163">
        <v>40.06</v>
      </c>
      <c r="Z163">
        <v>94.66</v>
      </c>
      <c r="AA163">
        <v>80.459999999999994</v>
      </c>
      <c r="AB163">
        <v>76.56</v>
      </c>
      <c r="AC163">
        <v>6.35</v>
      </c>
      <c r="AD163">
        <v>54.38</v>
      </c>
      <c r="AE163">
        <v>29.06</v>
      </c>
      <c r="AF163">
        <v>35.86</v>
      </c>
      <c r="AG163">
        <v>32.07</v>
      </c>
      <c r="AH163">
        <v>38.32</v>
      </c>
      <c r="AI163" s="17">
        <v>1.508</v>
      </c>
      <c r="AJ163">
        <v>36.049999999999997</v>
      </c>
      <c r="AK163" s="17" t="s">
        <v>172</v>
      </c>
      <c r="AL163"/>
      <c r="AM163"/>
      <c r="AN163">
        <v>105</v>
      </c>
      <c r="AO163"/>
      <c r="AP163"/>
      <c r="AQ163"/>
      <c r="AR163"/>
      <c r="AS163"/>
      <c r="AT163" t="s">
        <v>146</v>
      </c>
      <c r="AU163" t="s">
        <v>146</v>
      </c>
    </row>
    <row r="164" spans="1:47" ht="17" x14ac:dyDescent="0.2">
      <c r="A164" s="29">
        <v>164.99999999999915</v>
      </c>
      <c r="B164" s="3">
        <v>142</v>
      </c>
      <c r="C164" s="4">
        <v>22.163</v>
      </c>
      <c r="D164" s="34" t="s">
        <v>148</v>
      </c>
      <c r="E164" s="35" t="s">
        <v>149</v>
      </c>
      <c r="F164" s="3" t="s">
        <v>74</v>
      </c>
      <c r="G164" s="3" t="s">
        <v>74</v>
      </c>
      <c r="H164" s="35"/>
      <c r="I164" s="32">
        <v>44593</v>
      </c>
      <c r="J164" s="17" t="s">
        <v>142</v>
      </c>
      <c r="K164" s="17" t="s">
        <v>204</v>
      </c>
      <c r="L164"/>
      <c r="M164" s="53">
        <v>245</v>
      </c>
      <c r="N164" s="17">
        <v>238.21</v>
      </c>
      <c r="O164">
        <v>166.62</v>
      </c>
      <c r="P164">
        <v>178.57</v>
      </c>
      <c r="Q164">
        <v>41.82</v>
      </c>
      <c r="R164">
        <v>17.329999999999998</v>
      </c>
      <c r="S164">
        <v>114.6</v>
      </c>
      <c r="T164">
        <v>84.98</v>
      </c>
      <c r="U164">
        <v>65.98</v>
      </c>
      <c r="V164">
        <v>52.6</v>
      </c>
      <c r="W164">
        <v>69.510000000000005</v>
      </c>
      <c r="X164">
        <v>89.1</v>
      </c>
      <c r="Y164">
        <v>41.52</v>
      </c>
      <c r="Z164">
        <v>97.84</v>
      </c>
      <c r="AA164">
        <v>83.13</v>
      </c>
      <c r="AB164">
        <v>79.52</v>
      </c>
      <c r="AC164">
        <v>9.01</v>
      </c>
      <c r="AD164">
        <v>54.41</v>
      </c>
      <c r="AE164">
        <v>32.47</v>
      </c>
      <c r="AF164">
        <v>35.29</v>
      </c>
      <c r="AG164">
        <v>34.43</v>
      </c>
      <c r="AH164">
        <v>34.43</v>
      </c>
      <c r="AI164" s="17">
        <v>1.51</v>
      </c>
      <c r="AJ164">
        <v>38.53</v>
      </c>
      <c r="AK164" s="17" t="s">
        <v>172</v>
      </c>
      <c r="AL164"/>
      <c r="AM164"/>
      <c r="AN164"/>
      <c r="AO164"/>
      <c r="AP164"/>
      <c r="AQ164"/>
      <c r="AR164"/>
      <c r="AS164"/>
      <c r="AT164" t="s">
        <v>146</v>
      </c>
      <c r="AU164" t="s">
        <v>146</v>
      </c>
    </row>
    <row r="165" spans="1:47" ht="17" x14ac:dyDescent="0.2">
      <c r="A165" s="29">
        <v>166.00000000000037</v>
      </c>
      <c r="B165" s="3">
        <v>170</v>
      </c>
      <c r="C165" s="4">
        <v>22.164000000000001</v>
      </c>
      <c r="D165" s="34" t="s">
        <v>148</v>
      </c>
      <c r="E165" s="35" t="s">
        <v>149</v>
      </c>
      <c r="F165" s="3" t="s">
        <v>74</v>
      </c>
      <c r="G165" s="3" t="s">
        <v>74</v>
      </c>
      <c r="H165" s="35"/>
      <c r="I165" s="32">
        <v>44607</v>
      </c>
      <c r="J165" s="17" t="s">
        <v>142</v>
      </c>
      <c r="K165" s="17" t="s">
        <v>204</v>
      </c>
      <c r="L165"/>
      <c r="M165" s="53">
        <v>248</v>
      </c>
      <c r="N165" s="17">
        <v>257.08999999999997</v>
      </c>
      <c r="O165">
        <v>168.53</v>
      </c>
      <c r="P165">
        <v>180.1</v>
      </c>
      <c r="Q165">
        <v>41.35</v>
      </c>
      <c r="R165">
        <v>15.67</v>
      </c>
      <c r="S165">
        <v>115.69</v>
      </c>
      <c r="T165">
        <v>90.49</v>
      </c>
      <c r="U165">
        <v>59.76</v>
      </c>
      <c r="V165">
        <v>47.03</v>
      </c>
      <c r="W165">
        <v>62.35</v>
      </c>
      <c r="X165">
        <v>86.96</v>
      </c>
      <c r="Y165">
        <v>42.11</v>
      </c>
      <c r="Z165">
        <v>97.76</v>
      </c>
      <c r="AA165">
        <v>82.03</v>
      </c>
      <c r="AB165">
        <v>77.7</v>
      </c>
      <c r="AC165">
        <v>3.76</v>
      </c>
      <c r="AD165">
        <v>54.49</v>
      </c>
      <c r="AE165">
        <v>24.01</v>
      </c>
      <c r="AF165">
        <v>33.799999999999997</v>
      </c>
      <c r="AG165"/>
      <c r="AH165">
        <v>35.19</v>
      </c>
      <c r="AI165" s="17">
        <v>1.474</v>
      </c>
      <c r="AJ165">
        <v>35.549999999999997</v>
      </c>
      <c r="AK165" s="17" t="s">
        <v>172</v>
      </c>
      <c r="AL165"/>
      <c r="AM165"/>
      <c r="AN165">
        <v>103</v>
      </c>
      <c r="AO165"/>
      <c r="AP165"/>
      <c r="AQ165"/>
      <c r="AR165"/>
      <c r="AS165"/>
      <c r="AT165" t="s">
        <v>146</v>
      </c>
      <c r="AU165" t="s">
        <v>146</v>
      </c>
    </row>
    <row r="166" spans="1:47" ht="17" x14ac:dyDescent="0.2">
      <c r="A166" s="29">
        <v>167.00000000000159</v>
      </c>
      <c r="B166" s="3">
        <v>123</v>
      </c>
      <c r="C166" s="4">
        <v>22.164999999999999</v>
      </c>
      <c r="D166" s="34" t="s">
        <v>148</v>
      </c>
      <c r="E166" s="35" t="s">
        <v>149</v>
      </c>
      <c r="F166" s="3" t="s">
        <v>74</v>
      </c>
      <c r="G166" s="3" t="s">
        <v>74</v>
      </c>
      <c r="H166" s="35"/>
      <c r="I166" s="32">
        <v>44590</v>
      </c>
      <c r="J166" s="17" t="s">
        <v>142</v>
      </c>
      <c r="K166" s="17" t="s">
        <v>204</v>
      </c>
      <c r="L166"/>
      <c r="M166" s="53">
        <v>244</v>
      </c>
      <c r="N166" s="54"/>
      <c r="O166">
        <v>169.25</v>
      </c>
      <c r="P166">
        <v>181.82</v>
      </c>
      <c r="Q166">
        <v>41.38</v>
      </c>
      <c r="R166">
        <v>20.55</v>
      </c>
      <c r="S166">
        <v>115.97</v>
      </c>
      <c r="T166">
        <v>90.97</v>
      </c>
      <c r="U166">
        <v>62.3</v>
      </c>
      <c r="V166">
        <v>50.05</v>
      </c>
      <c r="W166">
        <v>69.28</v>
      </c>
      <c r="X166">
        <v>88.2</v>
      </c>
      <c r="Y166">
        <v>43.16</v>
      </c>
      <c r="Z166">
        <v>96.08</v>
      </c>
      <c r="AA166">
        <v>80.33</v>
      </c>
      <c r="AB166">
        <v>79.16</v>
      </c>
      <c r="AC166">
        <v>6.43</v>
      </c>
      <c r="AD166">
        <v>55.11</v>
      </c>
      <c r="AE166">
        <v>32.130000000000003</v>
      </c>
      <c r="AF166">
        <v>33.520000000000003</v>
      </c>
      <c r="AG166">
        <v>34</v>
      </c>
      <c r="AH166">
        <v>39.08</v>
      </c>
      <c r="AI166" s="17">
        <v>1.492</v>
      </c>
      <c r="AJ166">
        <v>26.25</v>
      </c>
      <c r="AK166" s="17" t="s">
        <v>172</v>
      </c>
      <c r="AL166"/>
      <c r="AM166"/>
      <c r="AN166"/>
      <c r="AO166"/>
      <c r="AP166"/>
      <c r="AQ166"/>
      <c r="AR166"/>
      <c r="AS166"/>
      <c r="AT166" t="s">
        <v>146</v>
      </c>
      <c r="AU166" t="s">
        <v>146</v>
      </c>
    </row>
    <row r="167" spans="1:47" x14ac:dyDescent="0.2">
      <c r="A167" s="29">
        <v>167.99999999999926</v>
      </c>
      <c r="B167" s="3">
        <v>115</v>
      </c>
      <c r="C167" s="4">
        <v>22.166</v>
      </c>
      <c r="D167" s="51" t="s">
        <v>151</v>
      </c>
      <c r="E167" t="s">
        <v>152</v>
      </c>
      <c r="F167" s="3" t="s">
        <v>153</v>
      </c>
      <c r="H167" s="3" t="s">
        <v>89</v>
      </c>
      <c r="I167" s="32">
        <v>44572</v>
      </c>
      <c r="J167" s="17" t="s">
        <v>142</v>
      </c>
      <c r="K167" s="17" t="s">
        <v>204</v>
      </c>
      <c r="L167"/>
      <c r="M167" s="17">
        <v>303</v>
      </c>
      <c r="N167" s="17">
        <v>313.67</v>
      </c>
      <c r="O167">
        <v>175.54</v>
      </c>
      <c r="P167">
        <v>181.28</v>
      </c>
      <c r="Q167">
        <v>35.53</v>
      </c>
      <c r="R167">
        <v>13.05</v>
      </c>
      <c r="S167">
        <v>130.49</v>
      </c>
      <c r="T167">
        <v>103.99</v>
      </c>
      <c r="U167">
        <v>60.42</v>
      </c>
      <c r="V167">
        <v>47.06</v>
      </c>
      <c r="W167">
        <v>62.05</v>
      </c>
      <c r="X167">
        <v>94.27</v>
      </c>
      <c r="Y167">
        <v>39.49</v>
      </c>
      <c r="Z167">
        <v>102.16</v>
      </c>
      <c r="AA167">
        <v>88.39</v>
      </c>
      <c r="AB167">
        <v>78.180000000000007</v>
      </c>
      <c r="AC167">
        <v>12.4</v>
      </c>
      <c r="AD167">
        <v>62.1</v>
      </c>
      <c r="AE167">
        <v>29.01</v>
      </c>
      <c r="AF167">
        <v>39.11</v>
      </c>
      <c r="AG167">
        <v>34.549999999999997</v>
      </c>
      <c r="AH167">
        <v>37.270000000000003</v>
      </c>
      <c r="AI167" s="17">
        <v>1.252</v>
      </c>
      <c r="AJ167">
        <v>56.23</v>
      </c>
      <c r="AK167" s="17" t="s">
        <v>172</v>
      </c>
      <c r="AL167"/>
      <c r="AM167"/>
      <c r="AN167">
        <v>147</v>
      </c>
      <c r="AO167"/>
      <c r="AP167"/>
      <c r="AQ167"/>
      <c r="AR167"/>
      <c r="AS167"/>
      <c r="AT167" t="s">
        <v>146</v>
      </c>
      <c r="AU167" t="s">
        <v>146</v>
      </c>
    </row>
    <row r="168" spans="1:47" x14ac:dyDescent="0.2">
      <c r="A168" s="29">
        <v>169.00000000000048</v>
      </c>
      <c r="B168" s="3">
        <v>116</v>
      </c>
      <c r="C168" s="4">
        <v>22.167000000000002</v>
      </c>
      <c r="D168" s="51" t="s">
        <v>151</v>
      </c>
      <c r="E168" t="s">
        <v>152</v>
      </c>
      <c r="F168" s="3" t="s">
        <v>153</v>
      </c>
      <c r="G168" s="3" t="s">
        <v>89</v>
      </c>
      <c r="H168"/>
      <c r="I168" s="32">
        <v>44572</v>
      </c>
      <c r="J168" s="17" t="s">
        <v>142</v>
      </c>
      <c r="K168" s="17" t="s">
        <v>204</v>
      </c>
      <c r="L168"/>
      <c r="M168" s="17">
        <v>300</v>
      </c>
      <c r="N168" s="17">
        <v>305.02999999999997</v>
      </c>
      <c r="O168">
        <v>173.99</v>
      </c>
      <c r="P168">
        <v>184.69</v>
      </c>
      <c r="Q168">
        <v>35.450000000000003</v>
      </c>
      <c r="R168">
        <v>14.85</v>
      </c>
      <c r="S168">
        <v>122.43</v>
      </c>
      <c r="T168">
        <v>102.78</v>
      </c>
      <c r="U168">
        <v>60.45</v>
      </c>
      <c r="V168">
        <v>51.17</v>
      </c>
      <c r="W168">
        <v>62.75</v>
      </c>
      <c r="X168">
        <v>90.32</v>
      </c>
      <c r="Y168">
        <v>36.409999999999997</v>
      </c>
      <c r="Z168">
        <v>101.46</v>
      </c>
      <c r="AA168">
        <v>87.2</v>
      </c>
      <c r="AB168">
        <v>70.94</v>
      </c>
      <c r="AC168">
        <v>10.029999999999999</v>
      </c>
      <c r="AD168">
        <v>58.23</v>
      </c>
      <c r="AE168">
        <v>31.74</v>
      </c>
      <c r="AF168">
        <v>38.21</v>
      </c>
      <c r="AG168">
        <v>31.73</v>
      </c>
      <c r="AH168">
        <v>39.46</v>
      </c>
      <c r="AI168" s="17">
        <v>1.492</v>
      </c>
      <c r="AJ168">
        <v>53.51</v>
      </c>
      <c r="AK168" s="17" t="s">
        <v>172</v>
      </c>
      <c r="AL168"/>
      <c r="AM168"/>
      <c r="AN168">
        <v>110</v>
      </c>
      <c r="AO168"/>
      <c r="AP168"/>
      <c r="AQ168"/>
      <c r="AR168"/>
      <c r="AS168"/>
      <c r="AT168" t="s">
        <v>146</v>
      </c>
      <c r="AU168" t="s">
        <v>146</v>
      </c>
    </row>
    <row r="169" spans="1:47" x14ac:dyDescent="0.2">
      <c r="A169" s="29">
        <v>170.00000000000171</v>
      </c>
      <c r="B169" s="3">
        <v>120</v>
      </c>
      <c r="C169" s="4">
        <v>22.167999999999999</v>
      </c>
      <c r="D169" s="51" t="s">
        <v>151</v>
      </c>
      <c r="E169" t="s">
        <v>152</v>
      </c>
      <c r="F169" s="3" t="s">
        <v>90</v>
      </c>
      <c r="H169" s="3" t="s">
        <v>90</v>
      </c>
      <c r="I169" s="32">
        <v>44573</v>
      </c>
      <c r="J169" s="17" t="s">
        <v>142</v>
      </c>
      <c r="K169" s="17" t="s">
        <v>204</v>
      </c>
      <c r="L169"/>
      <c r="M169" s="17">
        <v>302</v>
      </c>
      <c r="N169" s="17">
        <v>305.14</v>
      </c>
      <c r="O169">
        <v>176.84</v>
      </c>
      <c r="P169">
        <v>185.54</v>
      </c>
      <c r="Q169">
        <v>37.479999999999997</v>
      </c>
      <c r="R169">
        <v>14.46</v>
      </c>
      <c r="S169">
        <v>127.47</v>
      </c>
      <c r="T169">
        <v>99.79</v>
      </c>
      <c r="U169">
        <v>60.76</v>
      </c>
      <c r="V169">
        <v>48.25</v>
      </c>
      <c r="W169">
        <v>61.13</v>
      </c>
      <c r="X169">
        <v>93.41</v>
      </c>
      <c r="Y169">
        <v>39.4</v>
      </c>
      <c r="Z169">
        <v>102</v>
      </c>
      <c r="AA169">
        <v>88.85</v>
      </c>
      <c r="AB169">
        <v>75.290000000000006</v>
      </c>
      <c r="AC169">
        <v>9.1</v>
      </c>
      <c r="AD169">
        <v>58.85</v>
      </c>
      <c r="AE169">
        <v>28.84</v>
      </c>
      <c r="AF169">
        <v>37.520000000000003</v>
      </c>
      <c r="AG169">
        <v>36</v>
      </c>
      <c r="AH169">
        <v>39.47</v>
      </c>
      <c r="AI169" s="17">
        <v>1.385</v>
      </c>
      <c r="AJ169">
        <v>52.73</v>
      </c>
      <c r="AK169" s="17" t="s">
        <v>173</v>
      </c>
      <c r="AL169"/>
      <c r="AM169" s="17">
        <v>96</v>
      </c>
      <c r="AN169">
        <v>49</v>
      </c>
      <c r="AO169"/>
      <c r="AP169"/>
      <c r="AQ169"/>
      <c r="AR169"/>
      <c r="AS169"/>
      <c r="AT169" t="s">
        <v>146</v>
      </c>
      <c r="AU169" t="s">
        <v>146</v>
      </c>
    </row>
    <row r="170" spans="1:47" x14ac:dyDescent="0.2">
      <c r="A170" s="29">
        <v>170.99999999999937</v>
      </c>
      <c r="B170" s="3">
        <v>136</v>
      </c>
      <c r="C170" s="4">
        <v>22.169</v>
      </c>
      <c r="D170" s="51" t="s">
        <v>151</v>
      </c>
      <c r="E170" t="s">
        <v>152</v>
      </c>
      <c r="F170" s="3" t="s">
        <v>153</v>
      </c>
      <c r="H170" s="3" t="s">
        <v>89</v>
      </c>
      <c r="I170" s="32">
        <v>44590</v>
      </c>
      <c r="J170" s="17" t="s">
        <v>142</v>
      </c>
      <c r="K170" s="17" t="s">
        <v>204</v>
      </c>
      <c r="L170"/>
      <c r="M170" s="17">
        <v>277</v>
      </c>
      <c r="N170" s="17">
        <v>281.52999999999997</v>
      </c>
      <c r="O170">
        <v>172.71</v>
      </c>
      <c r="P170">
        <v>177.01</v>
      </c>
      <c r="Q170">
        <v>38.64</v>
      </c>
      <c r="R170">
        <v>15.57</v>
      </c>
      <c r="S170">
        <v>120.35</v>
      </c>
      <c r="T170">
        <v>100.68</v>
      </c>
      <c r="U170">
        <v>60.29</v>
      </c>
      <c r="V170">
        <v>50.57</v>
      </c>
      <c r="W170">
        <v>63.63</v>
      </c>
      <c r="X170">
        <v>93.76</v>
      </c>
      <c r="Y170">
        <v>36.119999999999997</v>
      </c>
      <c r="Z170">
        <v>102.02</v>
      </c>
      <c r="AA170">
        <v>87.56</v>
      </c>
      <c r="AB170">
        <v>72.349999999999994</v>
      </c>
      <c r="AC170">
        <v>11.06</v>
      </c>
      <c r="AD170">
        <v>57.22</v>
      </c>
      <c r="AE170">
        <v>29.55</v>
      </c>
      <c r="AF170">
        <v>40.590000000000003</v>
      </c>
      <c r="AG170">
        <v>30.71</v>
      </c>
      <c r="AH170">
        <v>39.39</v>
      </c>
      <c r="AI170" s="17">
        <v>1.3480000000000001</v>
      </c>
      <c r="AJ170">
        <v>46.1</v>
      </c>
      <c r="AK170" s="17" t="s">
        <v>172</v>
      </c>
      <c r="AL170"/>
      <c r="AM170"/>
      <c r="AN170">
        <v>135</v>
      </c>
      <c r="AO170"/>
      <c r="AP170"/>
      <c r="AQ170"/>
      <c r="AR170"/>
      <c r="AS170"/>
      <c r="AT170" t="s">
        <v>146</v>
      </c>
      <c r="AU170" t="s">
        <v>146</v>
      </c>
    </row>
    <row r="171" spans="1:47" x14ac:dyDescent="0.2">
      <c r="A171" s="29">
        <v>172.0000000000006</v>
      </c>
      <c r="B171" s="3">
        <v>135</v>
      </c>
      <c r="C171" s="2" t="s">
        <v>83</v>
      </c>
      <c r="D171" s="51" t="s">
        <v>151</v>
      </c>
      <c r="E171" t="s">
        <v>152</v>
      </c>
      <c r="F171" s="3" t="s">
        <v>153</v>
      </c>
      <c r="G171" s="3" t="s">
        <v>89</v>
      </c>
      <c r="H171"/>
      <c r="I171" s="32">
        <v>44590</v>
      </c>
      <c r="J171" s="17" t="s">
        <v>142</v>
      </c>
      <c r="K171" s="17" t="s">
        <v>204</v>
      </c>
      <c r="L171"/>
      <c r="M171" s="17">
        <v>279</v>
      </c>
      <c r="N171">
        <v>281.31</v>
      </c>
      <c r="O171">
        <v>178.08</v>
      </c>
      <c r="P171">
        <v>182.75</v>
      </c>
      <c r="Q171">
        <v>37.86</v>
      </c>
      <c r="R171">
        <v>17.97</v>
      </c>
      <c r="S171">
        <v>121.71</v>
      </c>
      <c r="T171">
        <v>99.15</v>
      </c>
      <c r="U171">
        <v>61.25</v>
      </c>
      <c r="V171">
        <v>49.66</v>
      </c>
      <c r="W171">
        <v>63.02</v>
      </c>
      <c r="X171">
        <v>97.74</v>
      </c>
      <c r="Y171">
        <v>37.47</v>
      </c>
      <c r="Z171">
        <v>104.5</v>
      </c>
      <c r="AA171">
        <v>90.87</v>
      </c>
      <c r="AB171">
        <v>78.319999999999993</v>
      </c>
      <c r="AC171">
        <v>10.37</v>
      </c>
      <c r="AD171">
        <v>58.39</v>
      </c>
      <c r="AE171">
        <v>30.02</v>
      </c>
      <c r="AF171">
        <v>41.69</v>
      </c>
      <c r="AG171">
        <v>36.17</v>
      </c>
      <c r="AH171">
        <v>40.090000000000003</v>
      </c>
      <c r="AI171" s="17">
        <v>1.2050000000000001</v>
      </c>
      <c r="AJ171">
        <v>45.99</v>
      </c>
      <c r="AK171" s="17" t="s">
        <v>172</v>
      </c>
      <c r="AL171"/>
      <c r="AM171"/>
      <c r="AN171">
        <v>136</v>
      </c>
      <c r="AO171"/>
      <c r="AP171"/>
      <c r="AQ171"/>
      <c r="AR171"/>
      <c r="AS171"/>
      <c r="AT171" t="s">
        <v>146</v>
      </c>
      <c r="AU171" t="s">
        <v>146</v>
      </c>
    </row>
    <row r="172" spans="1:47" x14ac:dyDescent="0.2">
      <c r="A172" s="29">
        <v>172.99999999999827</v>
      </c>
      <c r="B172" s="3">
        <v>121</v>
      </c>
      <c r="C172" s="2">
        <v>22.170999999999999</v>
      </c>
      <c r="D172" s="51" t="s">
        <v>151</v>
      </c>
      <c r="E172" t="s">
        <v>152</v>
      </c>
      <c r="F172" s="3" t="s">
        <v>90</v>
      </c>
      <c r="G172" s="3" t="s">
        <v>90</v>
      </c>
      <c r="H172"/>
      <c r="I172" s="32">
        <v>44573</v>
      </c>
      <c r="J172" s="17" t="s">
        <v>142</v>
      </c>
      <c r="K172" s="17" t="s">
        <v>204</v>
      </c>
      <c r="L172"/>
      <c r="M172" s="17">
        <v>299</v>
      </c>
      <c r="N172" s="17">
        <v>310.17</v>
      </c>
      <c r="O172">
        <v>189.86</v>
      </c>
      <c r="P172">
        <v>196.42</v>
      </c>
      <c r="Q172">
        <v>37.67</v>
      </c>
      <c r="R172">
        <v>19.97</v>
      </c>
      <c r="S172">
        <v>136.49</v>
      </c>
      <c r="T172">
        <v>108.64</v>
      </c>
      <c r="U172">
        <v>60.4</v>
      </c>
      <c r="V172">
        <v>50.49</v>
      </c>
      <c r="W172">
        <v>66.930000000000007</v>
      </c>
      <c r="X172">
        <v>96.54</v>
      </c>
      <c r="Y172">
        <v>40.83</v>
      </c>
      <c r="Z172">
        <v>99.51</v>
      </c>
      <c r="AA172">
        <v>85.17</v>
      </c>
      <c r="AB172">
        <v>73.31</v>
      </c>
      <c r="AC172">
        <v>13.82</v>
      </c>
      <c r="AD172">
        <v>58.09</v>
      </c>
      <c r="AE172">
        <v>32.11</v>
      </c>
      <c r="AF172">
        <v>40.17</v>
      </c>
      <c r="AG172">
        <v>40.17</v>
      </c>
      <c r="AH172">
        <v>39.64</v>
      </c>
      <c r="AI172" s="17">
        <v>1.363</v>
      </c>
      <c r="AJ172">
        <v>59.48</v>
      </c>
      <c r="AK172" s="17" t="s">
        <v>172</v>
      </c>
      <c r="AL172"/>
      <c r="AM172"/>
      <c r="AN172">
        <v>130</v>
      </c>
      <c r="AO172"/>
      <c r="AP172"/>
      <c r="AQ172"/>
      <c r="AR172"/>
      <c r="AS172"/>
      <c r="AT172" t="s">
        <v>146</v>
      </c>
      <c r="AU172" t="s">
        <v>146</v>
      </c>
    </row>
    <row r="173" spans="1:47" x14ac:dyDescent="0.2">
      <c r="A173" s="29">
        <v>173.99999999999949</v>
      </c>
      <c r="B173" s="3">
        <v>124</v>
      </c>
      <c r="C173" s="2">
        <v>22.172000000000001</v>
      </c>
      <c r="D173" s="51" t="s">
        <v>151</v>
      </c>
      <c r="E173" t="s">
        <v>152</v>
      </c>
      <c r="F173" s="3" t="s">
        <v>90</v>
      </c>
      <c r="G173" s="3" t="s">
        <v>90</v>
      </c>
      <c r="H173"/>
      <c r="I173" s="32">
        <v>44575</v>
      </c>
      <c r="J173" s="17" t="s">
        <v>142</v>
      </c>
      <c r="K173" s="17" t="s">
        <v>204</v>
      </c>
      <c r="L173"/>
      <c r="M173" s="17">
        <v>294</v>
      </c>
      <c r="N173" s="17">
        <v>302.61</v>
      </c>
      <c r="O173">
        <v>187.62</v>
      </c>
      <c r="P173">
        <v>199.22</v>
      </c>
      <c r="Q173">
        <v>41.97</v>
      </c>
      <c r="R173">
        <v>24.31</v>
      </c>
      <c r="S173">
        <v>125.52</v>
      </c>
      <c r="T173">
        <v>100.8</v>
      </c>
      <c r="U173">
        <v>71.180000000000007</v>
      </c>
      <c r="V173">
        <v>56.77</v>
      </c>
      <c r="W173">
        <v>73.53</v>
      </c>
      <c r="X173">
        <v>98.28</v>
      </c>
      <c r="Y173">
        <v>42.7</v>
      </c>
      <c r="Z173">
        <v>104.74</v>
      </c>
      <c r="AA173">
        <v>89.36</v>
      </c>
      <c r="AB173">
        <v>80.67</v>
      </c>
      <c r="AC173">
        <v>19.12</v>
      </c>
      <c r="AD173">
        <v>53.15</v>
      </c>
      <c r="AE173">
        <v>29.4</v>
      </c>
      <c r="AF173">
        <v>43.82</v>
      </c>
      <c r="AG173">
        <v>33.46</v>
      </c>
      <c r="AH173">
        <v>43.31</v>
      </c>
      <c r="AI173" s="17">
        <v>1.4079999999999999</v>
      </c>
      <c r="AJ173">
        <v>59.42</v>
      </c>
      <c r="AK173" s="17" t="s">
        <v>172</v>
      </c>
      <c r="AL173"/>
      <c r="AM173"/>
      <c r="AN173">
        <v>145</v>
      </c>
      <c r="AO173"/>
      <c r="AP173"/>
      <c r="AQ173"/>
      <c r="AR173"/>
      <c r="AS173"/>
      <c r="AT173" t="s">
        <v>146</v>
      </c>
      <c r="AU173" t="s">
        <v>146</v>
      </c>
    </row>
    <row r="174" spans="1:47" x14ac:dyDescent="0.2">
      <c r="A174" s="29">
        <v>175.00000000000071</v>
      </c>
      <c r="B174" s="3">
        <v>117</v>
      </c>
      <c r="C174" s="2">
        <v>22.172999999999998</v>
      </c>
      <c r="D174" s="51" t="s">
        <v>151</v>
      </c>
      <c r="E174" t="s">
        <v>152</v>
      </c>
      <c r="F174" s="3" t="s">
        <v>153</v>
      </c>
      <c r="H174" s="3" t="s">
        <v>89</v>
      </c>
      <c r="I174" s="32">
        <v>44573</v>
      </c>
      <c r="J174" s="17" t="s">
        <v>142</v>
      </c>
      <c r="K174" s="17" t="s">
        <v>204</v>
      </c>
      <c r="L174"/>
      <c r="M174" s="17">
        <v>295</v>
      </c>
      <c r="N174" s="17">
        <v>304.39999999999998</v>
      </c>
      <c r="O174">
        <v>177.57</v>
      </c>
      <c r="P174">
        <v>184.26</v>
      </c>
      <c r="Q174">
        <v>36.14</v>
      </c>
      <c r="R174">
        <v>15.19</v>
      </c>
      <c r="S174">
        <v>124.47</v>
      </c>
      <c r="T174">
        <v>100.14</v>
      </c>
      <c r="U174">
        <v>55.5</v>
      </c>
      <c r="V174">
        <v>47.93</v>
      </c>
      <c r="W174">
        <v>62.01</v>
      </c>
      <c r="X174">
        <v>94.11</v>
      </c>
      <c r="Y174">
        <v>36.89</v>
      </c>
      <c r="Z174">
        <v>103.39</v>
      </c>
      <c r="AA174">
        <v>89.46</v>
      </c>
      <c r="AB174">
        <v>73.92</v>
      </c>
      <c r="AC174">
        <v>10.79</v>
      </c>
      <c r="AD174">
        <v>58.73</v>
      </c>
      <c r="AE174">
        <v>29.56</v>
      </c>
      <c r="AF174">
        <v>36.68</v>
      </c>
      <c r="AG174">
        <v>32.450000000000003</v>
      </c>
      <c r="AH174">
        <v>38.1</v>
      </c>
      <c r="AI174" s="17">
        <v>1.417</v>
      </c>
      <c r="AJ174" t="s">
        <v>205</v>
      </c>
      <c r="AK174" s="17" t="s">
        <v>172</v>
      </c>
      <c r="AL174"/>
      <c r="AM174"/>
      <c r="AN174">
        <v>135</v>
      </c>
      <c r="AO174"/>
      <c r="AP174"/>
      <c r="AQ174"/>
      <c r="AR174"/>
      <c r="AS174"/>
      <c r="AT174" t="s">
        <v>146</v>
      </c>
      <c r="AU174" t="s">
        <v>146</v>
      </c>
    </row>
    <row r="175" spans="1:47" x14ac:dyDescent="0.2">
      <c r="A175" s="29">
        <v>175.99999999999838</v>
      </c>
      <c r="B175" s="3">
        <v>69</v>
      </c>
      <c r="C175" s="4">
        <v>22.173999999999999</v>
      </c>
      <c r="D175" s="31" t="s">
        <v>140</v>
      </c>
      <c r="E175" s="3" t="s">
        <v>141</v>
      </c>
      <c r="F175" s="17" t="s">
        <v>164</v>
      </c>
      <c r="H175" s="3" t="s">
        <v>165</v>
      </c>
      <c r="I175" s="32">
        <v>44649</v>
      </c>
      <c r="J175" t="s">
        <v>142</v>
      </c>
      <c r="K175" t="s">
        <v>206</v>
      </c>
      <c r="L175"/>
      <c r="M175">
        <v>254.9</v>
      </c>
      <c r="N175">
        <v>255.3</v>
      </c>
      <c r="O175">
        <v>189.42</v>
      </c>
      <c r="P175">
        <v>210</v>
      </c>
      <c r="Q175">
        <v>48.93</v>
      </c>
      <c r="R175">
        <v>26.12</v>
      </c>
      <c r="S175">
        <v>127.7</v>
      </c>
      <c r="T175">
        <v>101.75</v>
      </c>
      <c r="U175">
        <v>68.569999999999993</v>
      </c>
      <c r="V175">
        <v>53.36</v>
      </c>
      <c r="W175">
        <v>76.14</v>
      </c>
      <c r="X175">
        <v>91.89</v>
      </c>
      <c r="Y175">
        <v>37.049999999999997</v>
      </c>
      <c r="Z175">
        <v>104.89</v>
      </c>
      <c r="AA175">
        <v>81.52</v>
      </c>
      <c r="AB175">
        <v>80.19</v>
      </c>
      <c r="AC175">
        <v>20.47</v>
      </c>
      <c r="AD175">
        <v>49.38</v>
      </c>
      <c r="AE175">
        <v>26.69</v>
      </c>
      <c r="AF175">
        <v>41.25</v>
      </c>
      <c r="AG175">
        <v>28.44</v>
      </c>
      <c r="AH175">
        <v>46.24</v>
      </c>
      <c r="AI175">
        <v>1.746</v>
      </c>
      <c r="AJ175">
        <v>2.1</v>
      </c>
      <c r="AK175"/>
      <c r="AL175"/>
      <c r="AM175"/>
      <c r="AN175">
        <v>124</v>
      </c>
      <c r="AO175">
        <v>11.1</v>
      </c>
      <c r="AP175">
        <v>58.699999999999996</v>
      </c>
      <c r="AQ175"/>
      <c r="AR175">
        <v>50.8</v>
      </c>
      <c r="AS175">
        <v>21.9</v>
      </c>
      <c r="AT175" s="3" t="s">
        <v>207</v>
      </c>
      <c r="AU175" s="3" t="s">
        <v>147</v>
      </c>
    </row>
    <row r="176" spans="1:47" x14ac:dyDescent="0.2">
      <c r="A176" s="29">
        <v>176.9999999999996</v>
      </c>
      <c r="B176" s="3">
        <v>63</v>
      </c>
      <c r="C176" s="4">
        <v>22.175000000000001</v>
      </c>
      <c r="D176" s="31" t="s">
        <v>140</v>
      </c>
      <c r="E176" t="s">
        <v>141</v>
      </c>
      <c r="F176" s="17" t="s">
        <v>164</v>
      </c>
      <c r="G176"/>
      <c r="H176" t="s">
        <v>208</v>
      </c>
      <c r="I176" s="32">
        <v>44647</v>
      </c>
      <c r="J176" t="s">
        <v>142</v>
      </c>
      <c r="K176" t="s">
        <v>203</v>
      </c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 s="3" t="s">
        <v>147</v>
      </c>
    </row>
    <row r="177" spans="1:47" x14ac:dyDescent="0.2">
      <c r="A177" s="29">
        <v>178.00000000000082</v>
      </c>
      <c r="B177" s="3">
        <v>64</v>
      </c>
      <c r="C177" s="4">
        <v>22.175999999999998</v>
      </c>
      <c r="D177" s="31" t="s">
        <v>140</v>
      </c>
      <c r="E177" t="s">
        <v>141</v>
      </c>
      <c r="F177" s="17" t="s">
        <v>164</v>
      </c>
      <c r="G177"/>
      <c r="H177" s="3" t="s">
        <v>165</v>
      </c>
      <c r="I177" s="32">
        <v>44647</v>
      </c>
      <c r="J177" t="s">
        <v>142</v>
      </c>
      <c r="K177" t="s">
        <v>203</v>
      </c>
      <c r="L177"/>
      <c r="M177">
        <v>240.2</v>
      </c>
      <c r="N177"/>
      <c r="O177">
        <v>210</v>
      </c>
      <c r="P177">
        <v>218</v>
      </c>
      <c r="Q177">
        <v>47.7</v>
      </c>
      <c r="R177">
        <v>32.43</v>
      </c>
      <c r="S177">
        <v>129.99</v>
      </c>
      <c r="T177">
        <v>102.41</v>
      </c>
      <c r="U177">
        <v>66.099999999999994</v>
      </c>
      <c r="V177">
        <v>53.65</v>
      </c>
      <c r="W177">
        <v>77.510000000000005</v>
      </c>
      <c r="X177">
        <v>95.25</v>
      </c>
      <c r="Y177">
        <v>42.97</v>
      </c>
      <c r="Z177">
        <v>105.3</v>
      </c>
      <c r="AA177">
        <v>77</v>
      </c>
      <c r="AB177">
        <v>81.05</v>
      </c>
      <c r="AC177">
        <v>21.38</v>
      </c>
      <c r="AD177">
        <v>47.27</v>
      </c>
      <c r="AE177">
        <v>38.96</v>
      </c>
      <c r="AF177">
        <v>42.78</v>
      </c>
      <c r="AG177">
        <v>36.15</v>
      </c>
      <c r="AH177">
        <v>46.93</v>
      </c>
      <c r="AI177"/>
      <c r="AJ177"/>
      <c r="AK177"/>
      <c r="AL177"/>
      <c r="AM177"/>
      <c r="AN177"/>
      <c r="AO177"/>
      <c r="AP177"/>
      <c r="AQ177"/>
      <c r="AR177"/>
      <c r="AS177"/>
    </row>
    <row r="178" spans="1:47" x14ac:dyDescent="0.2">
      <c r="A178" s="29">
        <v>178.99999999999849</v>
      </c>
      <c r="B178" s="3">
        <v>29</v>
      </c>
      <c r="C178" s="4">
        <v>22.177</v>
      </c>
      <c r="D178" s="52" t="s">
        <v>200</v>
      </c>
      <c r="E178" t="s">
        <v>201</v>
      </c>
      <c r="F178" s="14" t="s">
        <v>202</v>
      </c>
      <c r="G178"/>
      <c r="H178"/>
      <c r="I178" s="32">
        <v>44630</v>
      </c>
      <c r="J178" t="s">
        <v>142</v>
      </c>
      <c r="K178" t="s">
        <v>166</v>
      </c>
      <c r="L178">
        <v>200</v>
      </c>
      <c r="M178"/>
      <c r="N178">
        <v>231.9</v>
      </c>
      <c r="O178">
        <v>202.37</v>
      </c>
      <c r="P178">
        <v>214.9</v>
      </c>
      <c r="Q178">
        <v>41.62</v>
      </c>
      <c r="R178">
        <v>32.700000000000003</v>
      </c>
      <c r="S178">
        <v>136.61000000000001</v>
      </c>
      <c r="T178">
        <v>103.66</v>
      </c>
      <c r="U178">
        <v>59.17</v>
      </c>
      <c r="V178">
        <v>48.81</v>
      </c>
      <c r="W178">
        <v>69.2</v>
      </c>
      <c r="X178">
        <v>82.39</v>
      </c>
      <c r="Y178">
        <v>34.1</v>
      </c>
      <c r="Z178">
        <v>95.23</v>
      </c>
      <c r="AA178">
        <v>69.55</v>
      </c>
      <c r="AB178">
        <v>76.3</v>
      </c>
      <c r="AC178">
        <v>29.92</v>
      </c>
      <c r="AD178">
        <v>46.18</v>
      </c>
      <c r="AE178">
        <v>31.15</v>
      </c>
      <c r="AF178">
        <v>41.86</v>
      </c>
      <c r="AG178">
        <v>36.729999999999997</v>
      </c>
      <c r="AH178">
        <v>43.46</v>
      </c>
      <c r="AI178">
        <v>1.7330000000000001</v>
      </c>
      <c r="AJ178"/>
      <c r="AK178"/>
      <c r="AL178">
        <v>18</v>
      </c>
      <c r="AM178"/>
      <c r="AN178"/>
      <c r="AO178">
        <v>11</v>
      </c>
      <c r="AP178">
        <v>94.6</v>
      </c>
      <c r="AQ178">
        <v>45.2</v>
      </c>
      <c r="AR178">
        <v>59.7</v>
      </c>
      <c r="AS178">
        <v>25.6</v>
      </c>
      <c r="AT178" t="s">
        <v>147</v>
      </c>
      <c r="AU178" t="s">
        <v>147</v>
      </c>
    </row>
    <row r="179" spans="1:47" x14ac:dyDescent="0.2">
      <c r="A179" s="29">
        <v>179.99999999999972</v>
      </c>
      <c r="B179" s="3">
        <v>26</v>
      </c>
      <c r="C179" s="4">
        <v>22.178000000000001</v>
      </c>
      <c r="D179" s="52" t="s">
        <v>200</v>
      </c>
      <c r="E179" t="s">
        <v>201</v>
      </c>
      <c r="F179" s="14" t="s">
        <v>202</v>
      </c>
      <c r="G179"/>
      <c r="H179"/>
      <c r="I179" s="32">
        <v>44629</v>
      </c>
      <c r="J179" t="s">
        <v>142</v>
      </c>
      <c r="K179" t="s">
        <v>166</v>
      </c>
      <c r="L179">
        <v>250</v>
      </c>
      <c r="M179"/>
      <c r="N179">
        <v>212.5</v>
      </c>
      <c r="O179">
        <v>200.63</v>
      </c>
      <c r="P179">
        <v>214.75</v>
      </c>
      <c r="Q179">
        <v>53.18</v>
      </c>
      <c r="R179">
        <v>23.1</v>
      </c>
      <c r="S179">
        <v>126.88</v>
      </c>
      <c r="T179">
        <v>97.88</v>
      </c>
      <c r="U179">
        <v>65.709999999999994</v>
      </c>
      <c r="V179">
        <v>52.4</v>
      </c>
      <c r="W179">
        <v>75</v>
      </c>
      <c r="X179">
        <v>92.13</v>
      </c>
      <c r="Y179">
        <v>37.93</v>
      </c>
      <c r="Z179">
        <v>100.76</v>
      </c>
      <c r="AA179">
        <v>74.39</v>
      </c>
      <c r="AB179">
        <v>85.02</v>
      </c>
      <c r="AC179">
        <v>28.02</v>
      </c>
      <c r="AD179">
        <v>40.01</v>
      </c>
      <c r="AE179">
        <v>26.96</v>
      </c>
      <c r="AF179">
        <v>43.79</v>
      </c>
      <c r="AG179">
        <v>28.98</v>
      </c>
      <c r="AH179">
        <v>49.06</v>
      </c>
      <c r="AI179">
        <v>1.2609999999999999</v>
      </c>
      <c r="AJ179"/>
      <c r="AK179"/>
      <c r="AL179">
        <v>13</v>
      </c>
      <c r="AM179"/>
      <c r="AN179"/>
      <c r="AO179">
        <v>12.5</v>
      </c>
      <c r="AP179">
        <v>87.4</v>
      </c>
      <c r="AQ179">
        <v>44.6</v>
      </c>
      <c r="AR179">
        <v>52.3</v>
      </c>
      <c r="AS179">
        <v>22.7</v>
      </c>
      <c r="AT179" t="s">
        <v>147</v>
      </c>
      <c r="AU179" t="s">
        <v>147</v>
      </c>
    </row>
    <row r="180" spans="1:47" x14ac:dyDescent="0.2">
      <c r="A180" s="29">
        <v>181.00000000000094</v>
      </c>
      <c r="B180" s="3">
        <v>17</v>
      </c>
      <c r="C180" s="4">
        <v>22.178999999999998</v>
      </c>
      <c r="D180" s="52" t="s">
        <v>200</v>
      </c>
      <c r="E180" t="s">
        <v>201</v>
      </c>
      <c r="F180" s="14" t="s">
        <v>202</v>
      </c>
      <c r="G180"/>
      <c r="H180"/>
      <c r="I180" s="32">
        <v>44605</v>
      </c>
      <c r="J180" t="s">
        <v>142</v>
      </c>
      <c r="K180" t="s">
        <v>166</v>
      </c>
      <c r="L180">
        <v>250</v>
      </c>
      <c r="M180"/>
      <c r="N180">
        <v>231.1</v>
      </c>
      <c r="O180">
        <v>193.35</v>
      </c>
      <c r="P180">
        <v>216.34</v>
      </c>
      <c r="Q180">
        <v>42.02</v>
      </c>
      <c r="R180">
        <v>27.99</v>
      </c>
      <c r="S180">
        <v>132</v>
      </c>
      <c r="T180">
        <v>105.27</v>
      </c>
      <c r="U180">
        <v>63.91</v>
      </c>
      <c r="V180">
        <v>51.32</v>
      </c>
      <c r="W180">
        <v>73.209999999999994</v>
      </c>
      <c r="X180">
        <v>92.1</v>
      </c>
      <c r="Y180">
        <v>36.71</v>
      </c>
      <c r="Z180">
        <v>101.41</v>
      </c>
      <c r="AA180">
        <v>76.569999999999993</v>
      </c>
      <c r="AB180">
        <v>86.79</v>
      </c>
      <c r="AC180">
        <v>34.619999999999997</v>
      </c>
      <c r="AD180">
        <v>41.75</v>
      </c>
      <c r="AE180">
        <v>27.83</v>
      </c>
      <c r="AF180">
        <v>38.35</v>
      </c>
      <c r="AG180">
        <v>34.119999999999997</v>
      </c>
      <c r="AH180">
        <v>42.77</v>
      </c>
      <c r="AI180">
        <v>1.5229999999999999</v>
      </c>
      <c r="AJ180"/>
      <c r="AK180"/>
      <c r="AL180">
        <v>8</v>
      </c>
      <c r="AM180"/>
      <c r="AN180"/>
      <c r="AO180">
        <v>11.8</v>
      </c>
      <c r="AP180">
        <v>94.9</v>
      </c>
      <c r="AQ180">
        <v>55.6</v>
      </c>
      <c r="AR180">
        <v>58.7</v>
      </c>
      <c r="AS180">
        <v>25.4</v>
      </c>
      <c r="AT180" t="s">
        <v>147</v>
      </c>
      <c r="AU180" t="s">
        <v>147</v>
      </c>
    </row>
    <row r="181" spans="1:47" x14ac:dyDescent="0.2">
      <c r="A181" s="29">
        <v>181.99999999999861</v>
      </c>
      <c r="B181" s="3">
        <v>22</v>
      </c>
      <c r="C181" s="2" t="s">
        <v>209</v>
      </c>
      <c r="D181" s="52" t="s">
        <v>200</v>
      </c>
      <c r="E181" t="s">
        <v>201</v>
      </c>
      <c r="F181" s="14" t="s">
        <v>202</v>
      </c>
      <c r="G181"/>
      <c r="H181"/>
      <c r="I181" s="32">
        <v>44611</v>
      </c>
      <c r="J181" t="s">
        <v>142</v>
      </c>
      <c r="K181" t="s">
        <v>166</v>
      </c>
      <c r="L181">
        <v>200</v>
      </c>
      <c r="M181"/>
      <c r="N181">
        <v>234.9</v>
      </c>
      <c r="O181">
        <v>198.73</v>
      </c>
      <c r="P181">
        <v>218.58</v>
      </c>
      <c r="Q181">
        <v>47.35</v>
      </c>
      <c r="R181">
        <v>26.37</v>
      </c>
      <c r="S181">
        <v>133.62</v>
      </c>
      <c r="T181">
        <v>107.2</v>
      </c>
      <c r="U181">
        <v>61.09</v>
      </c>
      <c r="V181">
        <v>48.54</v>
      </c>
      <c r="W181">
        <v>71.81</v>
      </c>
      <c r="X181">
        <v>86.43</v>
      </c>
      <c r="Y181">
        <v>38.549999999999997</v>
      </c>
      <c r="Z181">
        <v>94.34</v>
      </c>
      <c r="AA181">
        <v>67.72</v>
      </c>
      <c r="AB181">
        <v>75.52</v>
      </c>
      <c r="AC181">
        <v>30.5</v>
      </c>
      <c r="AD181">
        <v>45.54</v>
      </c>
      <c r="AE181">
        <v>33.159999999999997</v>
      </c>
      <c r="AF181">
        <v>39.450000000000003</v>
      </c>
      <c r="AG181">
        <v>31.95</v>
      </c>
      <c r="AH181">
        <v>43.69</v>
      </c>
      <c r="AI181">
        <v>1.6930000000000001</v>
      </c>
      <c r="AJ181"/>
      <c r="AK181"/>
      <c r="AL181">
        <v>15</v>
      </c>
      <c r="AM181"/>
      <c r="AN181"/>
      <c r="AO181">
        <v>12.1</v>
      </c>
      <c r="AP181">
        <v>92.5</v>
      </c>
      <c r="AQ181">
        <v>51.4</v>
      </c>
      <c r="AR181">
        <v>58.8</v>
      </c>
      <c r="AS181">
        <v>26.3</v>
      </c>
      <c r="AT181" t="s">
        <v>147</v>
      </c>
      <c r="AU181" t="s">
        <v>147</v>
      </c>
    </row>
    <row r="182" spans="1:47" x14ac:dyDescent="0.2">
      <c r="A182" s="29">
        <v>182.99999999999983</v>
      </c>
      <c r="B182" s="3" t="s">
        <v>210</v>
      </c>
      <c r="C182" s="4">
        <v>22.181000000000001</v>
      </c>
      <c r="D182" s="52" t="s">
        <v>200</v>
      </c>
      <c r="E182" t="s">
        <v>201</v>
      </c>
      <c r="F182" s="14" t="s">
        <v>202</v>
      </c>
      <c r="G182"/>
      <c r="H182"/>
      <c r="I182" s="32"/>
      <c r="J182" t="s">
        <v>142</v>
      </c>
      <c r="K182" t="s">
        <v>166</v>
      </c>
      <c r="L182">
        <v>200</v>
      </c>
      <c r="M182">
        <v>244.8</v>
      </c>
      <c r="N182">
        <v>244.8</v>
      </c>
      <c r="O182">
        <v>173.23</v>
      </c>
      <c r="P182">
        <v>200.03</v>
      </c>
      <c r="Q182">
        <v>41.28</v>
      </c>
      <c r="R182">
        <v>24.4</v>
      </c>
      <c r="S182">
        <v>127.46</v>
      </c>
      <c r="T182">
        <v>102.22</v>
      </c>
      <c r="U182">
        <v>65.27</v>
      </c>
      <c r="V182">
        <v>51.3</v>
      </c>
      <c r="W182">
        <v>72.650000000000006</v>
      </c>
      <c r="X182">
        <v>93.04</v>
      </c>
      <c r="Y182">
        <v>40.729999999999997</v>
      </c>
      <c r="Z182">
        <v>101.91</v>
      </c>
      <c r="AA182">
        <v>77.59</v>
      </c>
      <c r="AB182">
        <v>84.24</v>
      </c>
      <c r="AC182">
        <v>33.869999999999997</v>
      </c>
      <c r="AD182">
        <v>47.09</v>
      </c>
      <c r="AE182">
        <v>21.51</v>
      </c>
      <c r="AF182">
        <v>36.950000000000003</v>
      </c>
      <c r="AG182">
        <v>36.11</v>
      </c>
      <c r="AH182">
        <v>41.25</v>
      </c>
      <c r="AI182">
        <v>1.444</v>
      </c>
      <c r="AJ182"/>
      <c r="AK182"/>
      <c r="AL182">
        <v>20</v>
      </c>
      <c r="AM182"/>
      <c r="AN182"/>
      <c r="AO182">
        <v>11.1</v>
      </c>
      <c r="AP182">
        <v>94.4</v>
      </c>
      <c r="AQ182">
        <v>58.2</v>
      </c>
      <c r="AR182">
        <v>59.3</v>
      </c>
      <c r="AS182">
        <v>25.7</v>
      </c>
      <c r="AT182" t="s">
        <v>147</v>
      </c>
      <c r="AU182" t="s">
        <v>147</v>
      </c>
    </row>
    <row r="183" spans="1:47" x14ac:dyDescent="0.2">
      <c r="A183" s="29">
        <v>184.00000000000105</v>
      </c>
      <c r="B183" s="3">
        <v>15</v>
      </c>
      <c r="C183" s="4">
        <v>22.181999999999999</v>
      </c>
      <c r="D183" s="52" t="s">
        <v>200</v>
      </c>
      <c r="E183" t="s">
        <v>201</v>
      </c>
      <c r="F183" s="14" t="s">
        <v>202</v>
      </c>
      <c r="G183"/>
      <c r="H183"/>
      <c r="I183" s="32">
        <v>44593</v>
      </c>
      <c r="J183" t="s">
        <v>142</v>
      </c>
      <c r="K183" t="s">
        <v>166</v>
      </c>
      <c r="L183">
        <v>200</v>
      </c>
      <c r="M183"/>
      <c r="N183">
        <v>234</v>
      </c>
      <c r="O183">
        <v>185.45</v>
      </c>
      <c r="P183">
        <v>200.88</v>
      </c>
      <c r="Q183">
        <v>39.840000000000003</v>
      </c>
      <c r="R183">
        <v>23.3</v>
      </c>
      <c r="S183">
        <v>128.31</v>
      </c>
      <c r="T183">
        <v>102.05</v>
      </c>
      <c r="U183">
        <v>64.31</v>
      </c>
      <c r="V183">
        <v>51.46</v>
      </c>
      <c r="W183">
        <v>72.86</v>
      </c>
      <c r="X183">
        <v>87.06</v>
      </c>
      <c r="Y183">
        <v>36.85</v>
      </c>
      <c r="Z183">
        <v>95.59</v>
      </c>
      <c r="AA183">
        <v>70.53</v>
      </c>
      <c r="AB183">
        <v>78.760000000000005</v>
      </c>
      <c r="AC183">
        <v>30.09</v>
      </c>
      <c r="AD183">
        <v>47.7</v>
      </c>
      <c r="AE183">
        <v>29.94</v>
      </c>
      <c r="AF183">
        <v>36.78</v>
      </c>
      <c r="AG183">
        <v>28.98</v>
      </c>
      <c r="AH183">
        <v>41.42</v>
      </c>
      <c r="AI183">
        <v>1.4430000000000001</v>
      </c>
      <c r="AJ183"/>
      <c r="AK183"/>
      <c r="AL183">
        <v>22</v>
      </c>
      <c r="AM183"/>
      <c r="AN183"/>
      <c r="AO183">
        <v>10.6</v>
      </c>
      <c r="AP183">
        <v>77.2</v>
      </c>
      <c r="AQ183">
        <v>64</v>
      </c>
      <c r="AR183">
        <v>57.2</v>
      </c>
      <c r="AS183">
        <v>24.8</v>
      </c>
      <c r="AT183" t="s">
        <v>147</v>
      </c>
      <c r="AU183" t="s">
        <v>147</v>
      </c>
    </row>
    <row r="184" spans="1:47" x14ac:dyDescent="0.2">
      <c r="A184" s="29">
        <v>184.99999999999872</v>
      </c>
      <c r="B184" s="3" t="s">
        <v>211</v>
      </c>
      <c r="C184" s="4">
        <v>22.183</v>
      </c>
      <c r="D184" s="45" t="s">
        <v>179</v>
      </c>
      <c r="E184" t="s">
        <v>180</v>
      </c>
      <c r="F184" t="s">
        <v>181</v>
      </c>
      <c r="G184"/>
      <c r="H184" t="s">
        <v>199</v>
      </c>
      <c r="I184" s="32">
        <v>44637</v>
      </c>
      <c r="J184" t="s">
        <v>142</v>
      </c>
      <c r="K184" t="s">
        <v>166</v>
      </c>
      <c r="L184"/>
      <c r="M184"/>
      <c r="N184">
        <v>223.8</v>
      </c>
      <c r="O184">
        <v>203.91</v>
      </c>
      <c r="P184">
        <v>213.66</v>
      </c>
      <c r="Q184">
        <v>49.35</v>
      </c>
      <c r="R184">
        <v>25.34</v>
      </c>
      <c r="S184">
        <v>134.15</v>
      </c>
      <c r="T184">
        <v>108.61</v>
      </c>
      <c r="U184">
        <v>61.37</v>
      </c>
      <c r="V184">
        <v>46.9</v>
      </c>
      <c r="W184">
        <v>69.849999999999994</v>
      </c>
      <c r="X184">
        <v>82.57</v>
      </c>
      <c r="Y184">
        <v>37.39</v>
      </c>
      <c r="Z184">
        <v>89.72</v>
      </c>
      <c r="AA184">
        <v>69.239999999999995</v>
      </c>
      <c r="AB184">
        <v>65.180000000000007</v>
      </c>
      <c r="AC184">
        <v>20</v>
      </c>
      <c r="AD184">
        <v>47.71</v>
      </c>
      <c r="AE184">
        <v>31.85</v>
      </c>
      <c r="AF184">
        <v>41.73</v>
      </c>
      <c r="AG184">
        <v>37.299999999999997</v>
      </c>
      <c r="AH184">
        <v>45.52</v>
      </c>
      <c r="AI184">
        <v>1.1679999999999999</v>
      </c>
      <c r="AJ184"/>
      <c r="AK184"/>
      <c r="AL184"/>
      <c r="AM184"/>
      <c r="AN184"/>
      <c r="AO184">
        <v>12.2</v>
      </c>
      <c r="AP184">
        <v>101.8</v>
      </c>
      <c r="AQ184">
        <v>57.1</v>
      </c>
      <c r="AR184">
        <v>46.1</v>
      </c>
      <c r="AS184">
        <v>19.7</v>
      </c>
      <c r="AT184" t="s">
        <v>212</v>
      </c>
      <c r="AU184" t="s">
        <v>147</v>
      </c>
    </row>
    <row r="185" spans="1:47" x14ac:dyDescent="0.2">
      <c r="A185" s="29">
        <v>185.99999999999994</v>
      </c>
      <c r="B185" s="3" t="s">
        <v>213</v>
      </c>
      <c r="C185" s="4">
        <v>22.184000000000001</v>
      </c>
      <c r="D185" s="45" t="s">
        <v>179</v>
      </c>
      <c r="E185" t="s">
        <v>180</v>
      </c>
      <c r="F185" t="s">
        <v>181</v>
      </c>
      <c r="G185"/>
      <c r="H185" t="s">
        <v>199</v>
      </c>
      <c r="I185" s="32">
        <v>44632</v>
      </c>
      <c r="J185" s="17" t="s">
        <v>142</v>
      </c>
      <c r="K185" s="17" t="s">
        <v>166</v>
      </c>
      <c r="L185"/>
      <c r="M185"/>
      <c r="N185">
        <v>224</v>
      </c>
      <c r="O185">
        <v>202.01</v>
      </c>
      <c r="P185">
        <v>215.45</v>
      </c>
      <c r="Q185">
        <v>48.33</v>
      </c>
      <c r="R185">
        <v>26.95</v>
      </c>
      <c r="S185">
        <v>128.68</v>
      </c>
      <c r="T185">
        <v>107.72</v>
      </c>
      <c r="U185">
        <v>60.87</v>
      </c>
      <c r="V185">
        <v>44.81</v>
      </c>
      <c r="W185">
        <v>69.2</v>
      </c>
      <c r="X185">
        <v>81.209999999999994</v>
      </c>
      <c r="Y185">
        <v>38.1</v>
      </c>
      <c r="Z185">
        <v>89.03</v>
      </c>
      <c r="AA185">
        <v>69</v>
      </c>
      <c r="AB185">
        <v>63.65</v>
      </c>
      <c r="AC185">
        <v>18.21</v>
      </c>
      <c r="AD185">
        <v>48.41</v>
      </c>
      <c r="AE185">
        <v>30.38</v>
      </c>
      <c r="AF185">
        <v>41.47</v>
      </c>
      <c r="AG185">
        <v>36.450000000000003</v>
      </c>
      <c r="AH185">
        <v>43.05</v>
      </c>
      <c r="AI185">
        <v>1.415</v>
      </c>
      <c r="AJ185"/>
      <c r="AK185"/>
      <c r="AL185"/>
      <c r="AM185"/>
      <c r="AN185"/>
      <c r="AO185">
        <v>13.7</v>
      </c>
      <c r="AP185">
        <v>71.5</v>
      </c>
      <c r="AQ185">
        <v>83.8</v>
      </c>
      <c r="AR185">
        <v>47.8</v>
      </c>
      <c r="AS185">
        <v>20</v>
      </c>
      <c r="AT185" t="s">
        <v>214</v>
      </c>
      <c r="AU185" t="s">
        <v>147</v>
      </c>
    </row>
    <row r="186" spans="1:47" x14ac:dyDescent="0.2">
      <c r="A186" s="29">
        <v>187.00000000000117</v>
      </c>
      <c r="B186" s="3">
        <v>68</v>
      </c>
      <c r="C186" s="4">
        <v>22.184999999999999</v>
      </c>
      <c r="D186" s="31" t="s">
        <v>140</v>
      </c>
      <c r="E186" t="s">
        <v>141</v>
      </c>
      <c r="F186" s="17" t="s">
        <v>164</v>
      </c>
      <c r="G186"/>
      <c r="H186" s="3" t="s">
        <v>165</v>
      </c>
      <c r="I186" s="32">
        <v>44649</v>
      </c>
      <c r="J186" t="s">
        <v>142</v>
      </c>
      <c r="K186" t="s">
        <v>166</v>
      </c>
      <c r="L186"/>
      <c r="M186">
        <v>240.4</v>
      </c>
      <c r="N186">
        <v>240</v>
      </c>
      <c r="O186">
        <v>200.11</v>
      </c>
      <c r="P186">
        <v>210</v>
      </c>
      <c r="Q186">
        <v>48.96</v>
      </c>
      <c r="R186">
        <v>30.36</v>
      </c>
      <c r="S186">
        <v>127.92</v>
      </c>
      <c r="T186">
        <v>98.66</v>
      </c>
      <c r="U186">
        <v>70.040000000000006</v>
      </c>
      <c r="V186">
        <v>53.59</v>
      </c>
      <c r="W186">
        <v>76.8</v>
      </c>
      <c r="X186">
        <v>92.83</v>
      </c>
      <c r="Y186">
        <v>37.770000000000003</v>
      </c>
      <c r="Z186">
        <v>104.15</v>
      </c>
      <c r="AA186">
        <v>79.91</v>
      </c>
      <c r="AB186">
        <v>80.38</v>
      </c>
      <c r="AC186">
        <v>20.34</v>
      </c>
      <c r="AD186">
        <v>48.1</v>
      </c>
      <c r="AE186">
        <v>32.28</v>
      </c>
      <c r="AF186">
        <v>44.78</v>
      </c>
      <c r="AG186">
        <v>39.9</v>
      </c>
      <c r="AH186">
        <v>48.02</v>
      </c>
      <c r="AI186">
        <v>1.59</v>
      </c>
      <c r="AJ186"/>
      <c r="AK186"/>
      <c r="AL186">
        <v>10</v>
      </c>
      <c r="AM186"/>
      <c r="AN186"/>
      <c r="AO186">
        <f>12.6-2.8</f>
        <v>9.8000000000000007</v>
      </c>
      <c r="AP186">
        <f>131.4-20.6</f>
        <v>110.80000000000001</v>
      </c>
      <c r="AQ186">
        <f>73.8-20.6</f>
        <v>53.199999999999996</v>
      </c>
      <c r="AR186">
        <v>50.8</v>
      </c>
      <c r="AS186">
        <v>22.1</v>
      </c>
      <c r="AT186" t="s">
        <v>215</v>
      </c>
      <c r="AU186" t="s">
        <v>147</v>
      </c>
    </row>
    <row r="187" spans="1:47" x14ac:dyDescent="0.2">
      <c r="A187" s="29">
        <v>187.99999999999883</v>
      </c>
      <c r="B187" s="3">
        <v>56</v>
      </c>
      <c r="C187" s="3">
        <v>22.186</v>
      </c>
      <c r="D187" s="31" t="s">
        <v>140</v>
      </c>
      <c r="E187" t="s">
        <v>141</v>
      </c>
      <c r="F187" s="17" t="s">
        <v>62</v>
      </c>
      <c r="G187" s="17" t="s">
        <v>62</v>
      </c>
      <c r="H187" s="17"/>
      <c r="I187" s="32">
        <v>44628</v>
      </c>
      <c r="J187" t="s">
        <v>142</v>
      </c>
      <c r="K187" s="17" t="s">
        <v>143</v>
      </c>
      <c r="L187">
        <v>271.60000000000002</v>
      </c>
      <c r="M187"/>
      <c r="N187">
        <v>279.06</v>
      </c>
      <c r="O187">
        <v>200.08</v>
      </c>
      <c r="P187">
        <v>206.49</v>
      </c>
      <c r="Q187">
        <v>46.26</v>
      </c>
      <c r="R187">
        <v>30.13</v>
      </c>
      <c r="S187">
        <v>127.35</v>
      </c>
      <c r="T187">
        <v>102.17</v>
      </c>
      <c r="U187">
        <v>69.989999999999995</v>
      </c>
      <c r="V187">
        <v>55.02</v>
      </c>
      <c r="W187">
        <v>77.06</v>
      </c>
      <c r="X187">
        <v>93.25</v>
      </c>
      <c r="Y187">
        <v>40.65</v>
      </c>
      <c r="Z187">
        <v>105.11</v>
      </c>
      <c r="AA187">
        <v>84.49</v>
      </c>
      <c r="AB187">
        <v>78.23</v>
      </c>
      <c r="AC187">
        <v>22.63</v>
      </c>
      <c r="AD187">
        <v>50.88</v>
      </c>
      <c r="AE187">
        <v>40.79</v>
      </c>
      <c r="AF187">
        <v>39.68</v>
      </c>
      <c r="AG187">
        <v>45.37</v>
      </c>
      <c r="AH187">
        <v>43.7</v>
      </c>
      <c r="AI187">
        <v>1.1890000000000001</v>
      </c>
      <c r="AJ187">
        <v>59.02</v>
      </c>
      <c r="AK187" t="s">
        <v>172</v>
      </c>
      <c r="AL187"/>
      <c r="AM187"/>
      <c r="AN187">
        <v>110</v>
      </c>
      <c r="AO187"/>
      <c r="AP187"/>
      <c r="AQ187"/>
      <c r="AR187"/>
      <c r="AS187"/>
      <c r="AT187" t="s">
        <v>146</v>
      </c>
      <c r="AU187" t="s">
        <v>144</v>
      </c>
    </row>
    <row r="188" spans="1:47" x14ac:dyDescent="0.2">
      <c r="A188" s="29">
        <v>189.00000000000006</v>
      </c>
      <c r="B188" s="3">
        <v>61</v>
      </c>
      <c r="C188" s="3">
        <v>22.187000000000001</v>
      </c>
      <c r="D188" s="31" t="s">
        <v>140</v>
      </c>
      <c r="E188" t="s">
        <v>141</v>
      </c>
      <c r="F188" s="17" t="s">
        <v>164</v>
      </c>
      <c r="G188"/>
      <c r="H188" s="3" t="s">
        <v>165</v>
      </c>
      <c r="I188" s="32">
        <v>44635</v>
      </c>
      <c r="J188" t="s">
        <v>142</v>
      </c>
      <c r="K188" t="s">
        <v>204</v>
      </c>
      <c r="L188"/>
      <c r="M188">
        <v>282.10000000000002</v>
      </c>
      <c r="N188">
        <v>282.26</v>
      </c>
      <c r="O188">
        <v>190.69</v>
      </c>
      <c r="P188">
        <v>199.69</v>
      </c>
      <c r="Q188">
        <v>47.39</v>
      </c>
      <c r="R188">
        <v>26.6</v>
      </c>
      <c r="S188">
        <v>127.12</v>
      </c>
      <c r="T188">
        <v>101.95</v>
      </c>
      <c r="U188">
        <v>71.61</v>
      </c>
      <c r="V188">
        <v>53.51</v>
      </c>
      <c r="W188">
        <v>75.87</v>
      </c>
      <c r="X188">
        <v>91.5</v>
      </c>
      <c r="Y188">
        <v>39.35</v>
      </c>
      <c r="Z188">
        <v>102.52</v>
      </c>
      <c r="AA188">
        <v>84.57</v>
      </c>
      <c r="AB188">
        <v>78.91</v>
      </c>
      <c r="AC188">
        <v>21.57</v>
      </c>
      <c r="AD188">
        <v>53.34</v>
      </c>
      <c r="AE188">
        <v>34.65</v>
      </c>
      <c r="AF188">
        <v>38.880000000000003</v>
      </c>
      <c r="AG188">
        <v>42.87</v>
      </c>
      <c r="AH188">
        <v>41.13</v>
      </c>
      <c r="AI188">
        <v>1.2110000000000001</v>
      </c>
      <c r="AJ188">
        <v>38.25</v>
      </c>
      <c r="AK188" t="s">
        <v>172</v>
      </c>
      <c r="AL188"/>
      <c r="AM188"/>
      <c r="AN188">
        <v>138</v>
      </c>
      <c r="AO188"/>
      <c r="AP188"/>
      <c r="AQ188"/>
      <c r="AR188"/>
      <c r="AS188"/>
      <c r="AT188" t="s">
        <v>146</v>
      </c>
      <c r="AU188" t="s">
        <v>144</v>
      </c>
    </row>
    <row r="189" spans="1:47" x14ac:dyDescent="0.2">
      <c r="A189" s="29">
        <v>190.00000000000128</v>
      </c>
      <c r="B189" s="3">
        <v>53</v>
      </c>
      <c r="C189" s="3">
        <v>22.187999999999999</v>
      </c>
      <c r="D189" s="31" t="s">
        <v>140</v>
      </c>
      <c r="E189" t="s">
        <v>141</v>
      </c>
      <c r="F189" s="17" t="s">
        <v>164</v>
      </c>
      <c r="G189"/>
      <c r="H189" s="3" t="s">
        <v>165</v>
      </c>
      <c r="I189" s="32">
        <v>44614</v>
      </c>
      <c r="J189" t="s">
        <v>142</v>
      </c>
      <c r="K189" t="s">
        <v>166</v>
      </c>
      <c r="L189">
        <v>285.8</v>
      </c>
      <c r="M189"/>
      <c r="N189">
        <v>282.37</v>
      </c>
      <c r="O189">
        <v>169.53</v>
      </c>
      <c r="P189">
        <v>179.84</v>
      </c>
      <c r="Q189">
        <v>34.229999999999997</v>
      </c>
      <c r="R189">
        <v>10.45</v>
      </c>
      <c r="S189">
        <v>130.97</v>
      </c>
      <c r="T189">
        <v>103.91</v>
      </c>
      <c r="U189">
        <v>66.62</v>
      </c>
      <c r="V189">
        <v>45.03</v>
      </c>
      <c r="W189">
        <v>72.89</v>
      </c>
      <c r="X189">
        <v>90.49</v>
      </c>
      <c r="Y189">
        <v>39.840000000000003</v>
      </c>
      <c r="Z189">
        <v>95.48</v>
      </c>
      <c r="AA189">
        <v>74.34</v>
      </c>
      <c r="AB189">
        <v>74.209999999999994</v>
      </c>
      <c r="AC189">
        <v>8.1999999999999993</v>
      </c>
      <c r="AD189">
        <v>52.25</v>
      </c>
      <c r="AE189">
        <v>22.77</v>
      </c>
      <c r="AF189">
        <v>39.82</v>
      </c>
      <c r="AG189">
        <v>34.86</v>
      </c>
      <c r="AH189">
        <v>49.05</v>
      </c>
      <c r="AI189">
        <v>2.25</v>
      </c>
      <c r="AJ189"/>
      <c r="AK189"/>
      <c r="AL189"/>
      <c r="AM189"/>
      <c r="AN189"/>
      <c r="AO189"/>
      <c r="AP189"/>
      <c r="AQ189">
        <v>111</v>
      </c>
      <c r="AR189"/>
      <c r="AS189"/>
      <c r="AT189" t="s">
        <v>146</v>
      </c>
      <c r="AU189" t="s">
        <v>144</v>
      </c>
    </row>
    <row r="190" spans="1:47" x14ac:dyDescent="0.2">
      <c r="A190" s="29">
        <v>190.99999999999895</v>
      </c>
      <c r="B190" s="3">
        <v>130</v>
      </c>
      <c r="C190" s="4">
        <v>22.189</v>
      </c>
      <c r="D190" s="51" t="s">
        <v>151</v>
      </c>
      <c r="E190" s="17" t="s">
        <v>162</v>
      </c>
      <c r="F190" s="3" t="s">
        <v>88</v>
      </c>
      <c r="G190" s="3" t="s">
        <v>88</v>
      </c>
      <c r="H190" s="17"/>
      <c r="I190" s="32">
        <v>44578</v>
      </c>
      <c r="J190" t="s">
        <v>142</v>
      </c>
      <c r="K190" t="s">
        <v>204</v>
      </c>
      <c r="L190"/>
      <c r="M190" s="17">
        <v>284</v>
      </c>
      <c r="N190" s="17">
        <v>286.73</v>
      </c>
      <c r="O190">
        <v>186.63</v>
      </c>
      <c r="P190">
        <v>190.12</v>
      </c>
      <c r="Q190">
        <v>45.72</v>
      </c>
      <c r="R190">
        <v>22.83</v>
      </c>
      <c r="S190">
        <v>123.75</v>
      </c>
      <c r="T190">
        <v>96.62</v>
      </c>
      <c r="U190">
        <v>59.72</v>
      </c>
      <c r="V190">
        <v>49.31</v>
      </c>
      <c r="W190">
        <v>68.680000000000007</v>
      </c>
      <c r="X190">
        <v>95.12</v>
      </c>
      <c r="Y190">
        <v>43.01</v>
      </c>
      <c r="Z190">
        <v>102.02</v>
      </c>
      <c r="AA190">
        <v>83.64</v>
      </c>
      <c r="AB190">
        <v>79.760000000000005</v>
      </c>
      <c r="AC190">
        <v>5.63</v>
      </c>
      <c r="AD190">
        <v>54.42</v>
      </c>
      <c r="AE190">
        <v>31.94</v>
      </c>
      <c r="AF190">
        <v>40.630000000000003</v>
      </c>
      <c r="AG190">
        <v>35.74</v>
      </c>
      <c r="AH190">
        <v>46.73</v>
      </c>
      <c r="AI190" s="17">
        <v>1.64</v>
      </c>
      <c r="AJ190">
        <v>46.95</v>
      </c>
      <c r="AK190" s="17" t="s">
        <v>173</v>
      </c>
      <c r="AL190"/>
      <c r="AM190">
        <v>47</v>
      </c>
      <c r="AN190">
        <v>83</v>
      </c>
      <c r="AO190"/>
      <c r="AP190"/>
      <c r="AQ190"/>
      <c r="AR190"/>
      <c r="AS190"/>
      <c r="AT190" t="s">
        <v>146</v>
      </c>
      <c r="AU190" t="s">
        <v>146</v>
      </c>
    </row>
    <row r="191" spans="1:47" x14ac:dyDescent="0.2">
      <c r="A191" s="29">
        <v>192.00000000000017</v>
      </c>
      <c r="B191" s="3">
        <v>129</v>
      </c>
      <c r="C191" s="2" t="s">
        <v>82</v>
      </c>
      <c r="D191" s="51" t="s">
        <v>151</v>
      </c>
      <c r="E191" s="17" t="s">
        <v>162</v>
      </c>
      <c r="F191" s="3" t="s">
        <v>88</v>
      </c>
      <c r="G191" s="3" t="s">
        <v>88</v>
      </c>
      <c r="H191" s="17"/>
      <c r="I191" s="32">
        <v>44578</v>
      </c>
      <c r="J191" t="s">
        <v>142</v>
      </c>
      <c r="K191" t="s">
        <v>204</v>
      </c>
      <c r="L191"/>
      <c r="M191" s="17">
        <v>285</v>
      </c>
      <c r="N191" s="17">
        <v>286.66000000000003</v>
      </c>
      <c r="O191">
        <v>183.16</v>
      </c>
      <c r="P191">
        <v>187.91</v>
      </c>
      <c r="Q191">
        <v>43.3</v>
      </c>
      <c r="R191">
        <v>19.03</v>
      </c>
      <c r="S191">
        <v>124.62</v>
      </c>
      <c r="T191">
        <v>98.85</v>
      </c>
      <c r="U191">
        <v>59.94</v>
      </c>
      <c r="V191">
        <v>50.96</v>
      </c>
      <c r="W191">
        <v>68.98</v>
      </c>
      <c r="X191">
        <v>94.72</v>
      </c>
      <c r="Y191">
        <v>41.98</v>
      </c>
      <c r="Z191">
        <v>103.95</v>
      </c>
      <c r="AA191">
        <v>85.71</v>
      </c>
      <c r="AB191">
        <v>81.67</v>
      </c>
      <c r="AC191">
        <v>8.06</v>
      </c>
      <c r="AD191">
        <v>52.66</v>
      </c>
      <c r="AE191">
        <v>29.03</v>
      </c>
      <c r="AF191">
        <v>41.15</v>
      </c>
      <c r="AG191">
        <v>38.01</v>
      </c>
      <c r="AH191">
        <v>45.18</v>
      </c>
      <c r="AI191">
        <v>1.627</v>
      </c>
      <c r="AJ191">
        <v>47.66</v>
      </c>
      <c r="AK191" t="s">
        <v>172</v>
      </c>
      <c r="AL191"/>
      <c r="AM191"/>
      <c r="AN191">
        <v>104</v>
      </c>
      <c r="AO191"/>
      <c r="AP191"/>
      <c r="AQ191"/>
      <c r="AR191"/>
      <c r="AS191"/>
      <c r="AT191" t="s">
        <v>146</v>
      </c>
      <c r="AU191" t="s">
        <v>146</v>
      </c>
    </row>
    <row r="192" spans="1:47" x14ac:dyDescent="0.2">
      <c r="A192" s="29">
        <v>193.00000000000139</v>
      </c>
      <c r="B192" s="3" t="s">
        <v>216</v>
      </c>
      <c r="C192" s="3">
        <v>22.193999999999999</v>
      </c>
      <c r="D192" s="45" t="s">
        <v>179</v>
      </c>
      <c r="E192" t="s">
        <v>180</v>
      </c>
      <c r="F192" t="s">
        <v>181</v>
      </c>
      <c r="G192" s="3">
        <v>8</v>
      </c>
      <c r="H192"/>
      <c r="I192" s="32">
        <v>44637</v>
      </c>
      <c r="J192" t="s">
        <v>142</v>
      </c>
      <c r="K192" t="s">
        <v>204</v>
      </c>
      <c r="L192">
        <v>265</v>
      </c>
      <c r="M192"/>
      <c r="N192">
        <v>264.66000000000003</v>
      </c>
      <c r="O192">
        <v>192.73</v>
      </c>
      <c r="P192">
        <v>213.83</v>
      </c>
      <c r="Q192">
        <v>54.78</v>
      </c>
      <c r="R192">
        <v>21.4</v>
      </c>
      <c r="S192">
        <v>127.79</v>
      </c>
      <c r="T192">
        <v>106.35</v>
      </c>
      <c r="U192">
        <v>60.52</v>
      </c>
      <c r="V192">
        <v>46.99</v>
      </c>
      <c r="W192">
        <v>68.67</v>
      </c>
      <c r="X192">
        <v>81.64</v>
      </c>
      <c r="Y192">
        <v>35.57</v>
      </c>
      <c r="Z192">
        <v>90.83</v>
      </c>
      <c r="AA192">
        <v>75.77</v>
      </c>
      <c r="AB192">
        <v>67.86</v>
      </c>
      <c r="AC192">
        <v>20.18</v>
      </c>
      <c r="AD192">
        <v>53.26</v>
      </c>
      <c r="AE192">
        <v>24.18</v>
      </c>
      <c r="AF192">
        <v>40.130000000000003</v>
      </c>
      <c r="AG192">
        <v>29.92</v>
      </c>
      <c r="AH192">
        <v>45.18</v>
      </c>
      <c r="AI192">
        <v>1.1259999999999999</v>
      </c>
      <c r="AJ192">
        <v>30.53</v>
      </c>
      <c r="AK192" t="s">
        <v>173</v>
      </c>
      <c r="AL192">
        <v>37</v>
      </c>
      <c r="AM192">
        <v>95</v>
      </c>
      <c r="AN192"/>
      <c r="AO192"/>
      <c r="AP192"/>
      <c r="AQ192"/>
      <c r="AR192"/>
      <c r="AS192"/>
      <c r="AT192" t="s">
        <v>146</v>
      </c>
      <c r="AU192" t="s">
        <v>144</v>
      </c>
    </row>
    <row r="193" spans="1:47" x14ac:dyDescent="0.2">
      <c r="A193" s="29">
        <v>193.99999999999906</v>
      </c>
      <c r="B193" s="3" t="s">
        <v>217</v>
      </c>
      <c r="C193" s="3">
        <v>22.190999999999999</v>
      </c>
      <c r="D193" s="45" t="s">
        <v>179</v>
      </c>
      <c r="E193" t="s">
        <v>180</v>
      </c>
      <c r="F193" t="s">
        <v>181</v>
      </c>
      <c r="G193"/>
      <c r="H193" t="s">
        <v>182</v>
      </c>
      <c r="I193" s="32">
        <v>44652</v>
      </c>
      <c r="J193" s="17" t="s">
        <v>142</v>
      </c>
      <c r="K193" s="17" t="s">
        <v>204</v>
      </c>
      <c r="L193">
        <v>260</v>
      </c>
      <c r="M193"/>
      <c r="N193">
        <v>262.42</v>
      </c>
      <c r="O193">
        <v>206.68</v>
      </c>
      <c r="P193">
        <v>220.86</v>
      </c>
      <c r="Q193">
        <v>48.72</v>
      </c>
      <c r="R193">
        <v>29.59</v>
      </c>
      <c r="S193">
        <v>138.37</v>
      </c>
      <c r="T193">
        <v>114.14</v>
      </c>
      <c r="U193">
        <v>59.98</v>
      </c>
      <c r="V193">
        <v>45.35</v>
      </c>
      <c r="W193">
        <v>68.66</v>
      </c>
      <c r="X193">
        <v>82.74</v>
      </c>
      <c r="Y193">
        <v>39.33</v>
      </c>
      <c r="Z193">
        <v>93.23</v>
      </c>
      <c r="AA193">
        <v>76.63</v>
      </c>
      <c r="AB193">
        <v>66.06</v>
      </c>
      <c r="AC193">
        <v>18.27</v>
      </c>
      <c r="AD193">
        <v>52.22</v>
      </c>
      <c r="AE193">
        <v>36.01</v>
      </c>
      <c r="AF193">
        <v>44.66</v>
      </c>
      <c r="AG193">
        <v>34.53</v>
      </c>
      <c r="AH193">
        <v>44.73</v>
      </c>
      <c r="AI193">
        <v>1.1240000000000001</v>
      </c>
      <c r="AJ193">
        <v>34.770000000000003</v>
      </c>
      <c r="AK193" t="s">
        <v>172</v>
      </c>
      <c r="AL193"/>
      <c r="AM193"/>
      <c r="AN193">
        <v>122</v>
      </c>
      <c r="AO193"/>
      <c r="AP193"/>
      <c r="AQ193"/>
      <c r="AR193"/>
      <c r="AS193"/>
      <c r="AT193" t="s">
        <v>146</v>
      </c>
      <c r="AU193" t="s">
        <v>144</v>
      </c>
    </row>
    <row r="194" spans="1:47" x14ac:dyDescent="0.2">
      <c r="A194" s="29">
        <v>195.00000000000028</v>
      </c>
      <c r="B194" s="3">
        <v>308</v>
      </c>
      <c r="C194" s="3">
        <v>22.192</v>
      </c>
      <c r="D194" s="44" t="s">
        <v>168</v>
      </c>
      <c r="E194" s="3" t="s">
        <v>169</v>
      </c>
      <c r="F194" s="17" t="s">
        <v>218</v>
      </c>
      <c r="H194" s="17" t="s">
        <v>219</v>
      </c>
      <c r="I194" s="32">
        <v>44567</v>
      </c>
      <c r="J194" s="3" t="s">
        <v>142</v>
      </c>
      <c r="K194" s="3" t="s">
        <v>204</v>
      </c>
      <c r="AT194" s="3" t="s">
        <v>220</v>
      </c>
    </row>
    <row r="195" spans="1:47" x14ac:dyDescent="0.2">
      <c r="A195" s="29">
        <v>196.00000000000151</v>
      </c>
      <c r="B195" s="3">
        <v>340</v>
      </c>
      <c r="C195" s="3">
        <v>22.193000000000001</v>
      </c>
      <c r="D195" s="44" t="s">
        <v>168</v>
      </c>
      <c r="E195" t="s">
        <v>169</v>
      </c>
      <c r="F195" s="3" t="s">
        <v>170</v>
      </c>
      <c r="G195"/>
      <c r="H195" s="18" t="s">
        <v>171</v>
      </c>
      <c r="I195" s="32">
        <v>44570</v>
      </c>
      <c r="J195" s="17" t="s">
        <v>142</v>
      </c>
      <c r="K195" s="17" t="s">
        <v>204</v>
      </c>
    </row>
    <row r="196" spans="1:47" ht="18" customHeight="1" x14ac:dyDescent="0.2">
      <c r="A196" s="29">
        <v>196.99999999999918</v>
      </c>
      <c r="B196" s="3">
        <v>20</v>
      </c>
      <c r="C196" s="3">
        <v>22.195</v>
      </c>
      <c r="D196" s="52" t="s">
        <v>200</v>
      </c>
      <c r="E196" t="s">
        <v>201</v>
      </c>
      <c r="F196" s="14" t="s">
        <v>202</v>
      </c>
      <c r="G196"/>
      <c r="H196"/>
      <c r="I196" s="32">
        <v>44606</v>
      </c>
      <c r="J196" t="s">
        <v>142</v>
      </c>
      <c r="K196" t="s">
        <v>166</v>
      </c>
      <c r="L196"/>
      <c r="M196">
        <v>200</v>
      </c>
      <c r="N196">
        <v>236.2</v>
      </c>
      <c r="O196">
        <v>201.43</v>
      </c>
      <c r="P196">
        <v>217.27</v>
      </c>
      <c r="Q196">
        <v>47.97</v>
      </c>
      <c r="R196">
        <v>28.07</v>
      </c>
      <c r="S196">
        <v>129.28</v>
      </c>
      <c r="T196">
        <v>103.68</v>
      </c>
      <c r="U196">
        <v>63.09</v>
      </c>
      <c r="V196">
        <v>51.01</v>
      </c>
      <c r="W196">
        <v>71.95</v>
      </c>
      <c r="X196">
        <v>88.37</v>
      </c>
      <c r="Y196">
        <v>39.33</v>
      </c>
      <c r="Z196">
        <v>98.34</v>
      </c>
      <c r="AA196">
        <v>71.849999999999994</v>
      </c>
      <c r="AB196">
        <v>79.989999999999995</v>
      </c>
      <c r="AC196">
        <v>25.31</v>
      </c>
      <c r="AD196">
        <v>45.6</v>
      </c>
      <c r="AE196">
        <v>33.4</v>
      </c>
      <c r="AF196">
        <v>44.65</v>
      </c>
      <c r="AG196">
        <v>34.15</v>
      </c>
      <c r="AH196">
        <v>48.65</v>
      </c>
      <c r="AI196">
        <v>1.641</v>
      </c>
      <c r="AJ196"/>
      <c r="AK196"/>
      <c r="AL196">
        <v>29</v>
      </c>
      <c r="AM196"/>
      <c r="AN196"/>
      <c r="AO196">
        <f>14.5-3.2</f>
        <v>11.3</v>
      </c>
      <c r="AP196">
        <v>87</v>
      </c>
      <c r="AQ196">
        <v>45.4</v>
      </c>
      <c r="AR196">
        <v>60.8</v>
      </c>
      <c r="AS196">
        <v>27.6</v>
      </c>
      <c r="AT196" t="s">
        <v>147</v>
      </c>
      <c r="AU196" t="s">
        <v>147</v>
      </c>
    </row>
    <row r="197" spans="1:47" x14ac:dyDescent="0.2">
      <c r="A197" s="29">
        <v>198.0000000000004</v>
      </c>
      <c r="B197" s="3">
        <v>19</v>
      </c>
      <c r="C197" s="3">
        <v>22.196000000000002</v>
      </c>
      <c r="D197" s="52" t="s">
        <v>200</v>
      </c>
      <c r="E197" t="s">
        <v>201</v>
      </c>
      <c r="F197" s="14" t="s">
        <v>202</v>
      </c>
      <c r="G197"/>
      <c r="H197"/>
      <c r="I197" s="32">
        <v>44606</v>
      </c>
      <c r="J197" t="s">
        <v>142</v>
      </c>
      <c r="K197" t="s">
        <v>166</v>
      </c>
      <c r="L197" s="57"/>
      <c r="M197">
        <v>250</v>
      </c>
      <c r="N197">
        <v>243.5</v>
      </c>
      <c r="O197">
        <v>181.17</v>
      </c>
      <c r="P197">
        <v>198.23</v>
      </c>
      <c r="Q197">
        <v>43.62</v>
      </c>
      <c r="R197">
        <v>22.12</v>
      </c>
      <c r="S197">
        <v>127.08</v>
      </c>
      <c r="T197">
        <v>101.18</v>
      </c>
      <c r="U197">
        <v>65</v>
      </c>
      <c r="V197">
        <v>52.03</v>
      </c>
      <c r="W197">
        <v>74.78</v>
      </c>
      <c r="X197">
        <v>91.52</v>
      </c>
      <c r="Y197">
        <v>41.16</v>
      </c>
      <c r="Z197">
        <v>100.89</v>
      </c>
      <c r="AA197">
        <v>76.66</v>
      </c>
      <c r="AB197">
        <v>84.57</v>
      </c>
      <c r="AC197">
        <v>31.44</v>
      </c>
      <c r="AD197">
        <v>45.04</v>
      </c>
      <c r="AE197">
        <v>22.92</v>
      </c>
      <c r="AF197">
        <v>36.85</v>
      </c>
      <c r="AG197">
        <v>33.22</v>
      </c>
      <c r="AH197">
        <v>42.15</v>
      </c>
      <c r="AI197">
        <v>1.419</v>
      </c>
      <c r="AJ197"/>
      <c r="AK197"/>
      <c r="AL197">
        <v>26</v>
      </c>
      <c r="AM197"/>
      <c r="AN197"/>
      <c r="AO197">
        <f>12.9+0.2</f>
        <v>13.1</v>
      </c>
      <c r="AP197">
        <v>96.4</v>
      </c>
      <c r="AQ197">
        <v>46.4</v>
      </c>
      <c r="AR197">
        <v>59.2</v>
      </c>
      <c r="AS197">
        <v>26.2</v>
      </c>
      <c r="AT197" t="s">
        <v>147</v>
      </c>
      <c r="AU197" t="s">
        <v>147</v>
      </c>
    </row>
    <row r="198" spans="1:47" x14ac:dyDescent="0.2">
      <c r="A198" s="29">
        <v>199.00000000000162</v>
      </c>
      <c r="B198" s="3">
        <v>30</v>
      </c>
      <c r="C198" s="3">
        <v>22.196999999999999</v>
      </c>
      <c r="D198" s="52" t="s">
        <v>200</v>
      </c>
      <c r="E198" t="s">
        <v>201</v>
      </c>
      <c r="F198" s="14" t="s">
        <v>202</v>
      </c>
      <c r="G198"/>
      <c r="H198"/>
      <c r="I198" s="32">
        <v>44637</v>
      </c>
      <c r="J198" t="s">
        <v>142</v>
      </c>
      <c r="K198" t="s">
        <v>166</v>
      </c>
      <c r="L198"/>
      <c r="M198">
        <v>250</v>
      </c>
      <c r="N198">
        <v>222</v>
      </c>
      <c r="O198">
        <v>200.55</v>
      </c>
      <c r="P198">
        <v>216.98999999999998</v>
      </c>
      <c r="Q198">
        <v>49.81</v>
      </c>
      <c r="R198">
        <v>31.3</v>
      </c>
      <c r="S198">
        <v>133.72</v>
      </c>
      <c r="T198">
        <v>103.29</v>
      </c>
      <c r="U198">
        <v>64.22</v>
      </c>
      <c r="V198">
        <v>51.79</v>
      </c>
      <c r="W198">
        <v>76.150000000000006</v>
      </c>
      <c r="X198">
        <v>93.63</v>
      </c>
      <c r="Y198">
        <v>38.770000000000003</v>
      </c>
      <c r="Z198">
        <v>102.95</v>
      </c>
      <c r="AA198">
        <v>74.55</v>
      </c>
      <c r="AB198">
        <v>84.58</v>
      </c>
      <c r="AC198">
        <v>30.56</v>
      </c>
      <c r="AD198">
        <v>41.37</v>
      </c>
      <c r="AE198">
        <v>35.33</v>
      </c>
      <c r="AF198">
        <v>42.78</v>
      </c>
      <c r="AG198">
        <v>26.63</v>
      </c>
      <c r="AH198">
        <v>49.18</v>
      </c>
      <c r="AI198">
        <v>1.42</v>
      </c>
      <c r="AJ198"/>
      <c r="AK198"/>
      <c r="AL198">
        <v>10</v>
      </c>
      <c r="AM198"/>
      <c r="AN198"/>
      <c r="AO198">
        <v>11.1</v>
      </c>
      <c r="AP198">
        <v>94.3</v>
      </c>
      <c r="AQ198">
        <v>47.9</v>
      </c>
      <c r="AR198">
        <v>55.7</v>
      </c>
      <c r="AS198">
        <v>25.2</v>
      </c>
      <c r="AT198" t="s">
        <v>147</v>
      </c>
      <c r="AU198" t="s">
        <v>147</v>
      </c>
    </row>
    <row r="199" spans="1:47" x14ac:dyDescent="0.2">
      <c r="A199" s="29">
        <v>199.99999999999929</v>
      </c>
      <c r="B199" s="3">
        <v>28</v>
      </c>
      <c r="C199" s="3">
        <v>22.198</v>
      </c>
      <c r="D199" s="52" t="s">
        <v>200</v>
      </c>
      <c r="E199" t="s">
        <v>201</v>
      </c>
      <c r="F199" s="14" t="s">
        <v>202</v>
      </c>
      <c r="G199"/>
      <c r="H199"/>
      <c r="I199" s="32">
        <v>44630</v>
      </c>
      <c r="J199" t="s">
        <v>142</v>
      </c>
      <c r="K199" t="s">
        <v>166</v>
      </c>
      <c r="L199"/>
      <c r="M199">
        <v>200</v>
      </c>
      <c r="N199">
        <v>219.9</v>
      </c>
      <c r="O199">
        <v>203.46</v>
      </c>
      <c r="P199">
        <v>221.25</v>
      </c>
      <c r="Q199">
        <v>53.18</v>
      </c>
      <c r="R199">
        <v>29.3</v>
      </c>
      <c r="S199">
        <v>127.21</v>
      </c>
      <c r="T199">
        <v>98.64</v>
      </c>
      <c r="U199">
        <v>58.89</v>
      </c>
      <c r="V199">
        <v>47.06</v>
      </c>
      <c r="W199">
        <v>66.86</v>
      </c>
      <c r="X199">
        <v>84.41</v>
      </c>
      <c r="Y199">
        <v>37.61</v>
      </c>
      <c r="Z199">
        <v>95.58</v>
      </c>
      <c r="AA199">
        <v>71.45</v>
      </c>
      <c r="AB199">
        <v>77.150000000000006</v>
      </c>
      <c r="AC199">
        <v>25.37</v>
      </c>
      <c r="AD199">
        <v>44.78</v>
      </c>
      <c r="AE199">
        <v>36.380000000000003</v>
      </c>
      <c r="AF199">
        <v>45.31</v>
      </c>
      <c r="AG199">
        <v>34.450000000000003</v>
      </c>
      <c r="AH199">
        <v>50.54</v>
      </c>
      <c r="AI199">
        <v>1.62</v>
      </c>
      <c r="AJ199"/>
      <c r="AK199"/>
      <c r="AL199">
        <v>22</v>
      </c>
      <c r="AM199"/>
      <c r="AN199"/>
      <c r="AO199">
        <v>11.9</v>
      </c>
      <c r="AP199">
        <v>81.599999999999994</v>
      </c>
      <c r="AQ199">
        <v>46</v>
      </c>
      <c r="AR199">
        <v>55.1</v>
      </c>
      <c r="AS199">
        <v>24.7</v>
      </c>
      <c r="AT199" t="s">
        <v>147</v>
      </c>
      <c r="AU199" t="s">
        <v>147</v>
      </c>
    </row>
    <row r="200" spans="1:47" x14ac:dyDescent="0.2">
      <c r="A200" s="29">
        <v>201.00000000000051</v>
      </c>
      <c r="B200" s="3">
        <v>67</v>
      </c>
      <c r="C200" s="3">
        <v>22.199000000000002</v>
      </c>
      <c r="D200" s="31" t="s">
        <v>140</v>
      </c>
      <c r="E200" t="s">
        <v>141</v>
      </c>
      <c r="F200" s="28" t="s">
        <v>164</v>
      </c>
      <c r="G200"/>
      <c r="H200" s="3" t="s">
        <v>165</v>
      </c>
      <c r="I200" s="32">
        <v>44649</v>
      </c>
      <c r="J200" t="s">
        <v>142</v>
      </c>
      <c r="K200" t="s">
        <v>166</v>
      </c>
      <c r="L200"/>
      <c r="M200">
        <v>249.5</v>
      </c>
      <c r="N200">
        <v>249.6</v>
      </c>
      <c r="O200">
        <v>193.25</v>
      </c>
      <c r="P200">
        <v>218</v>
      </c>
      <c r="Q200">
        <v>46.83</v>
      </c>
      <c r="R200">
        <v>30</v>
      </c>
      <c r="S200">
        <v>131.33000000000001</v>
      </c>
      <c r="T200">
        <v>101.36</v>
      </c>
      <c r="U200">
        <v>70.5</v>
      </c>
      <c r="V200">
        <v>56.05</v>
      </c>
      <c r="W200">
        <v>76.45</v>
      </c>
      <c r="X200">
        <v>95.72</v>
      </c>
      <c r="Y200">
        <v>41.08</v>
      </c>
      <c r="Z200">
        <v>105.36</v>
      </c>
      <c r="AA200">
        <v>78.44</v>
      </c>
      <c r="AB200">
        <v>81.48</v>
      </c>
      <c r="AC200">
        <v>22.95</v>
      </c>
      <c r="AD200">
        <v>45.54</v>
      </c>
      <c r="AE200">
        <v>31.35</v>
      </c>
      <c r="AF200">
        <v>42.15</v>
      </c>
      <c r="AG200">
        <v>37.909999999999997</v>
      </c>
      <c r="AH200">
        <v>43.65</v>
      </c>
      <c r="AI200">
        <v>1.62</v>
      </c>
      <c r="AJ200"/>
      <c r="AK200"/>
      <c r="AL200">
        <v>14.5</v>
      </c>
      <c r="AM200"/>
      <c r="AN200"/>
      <c r="AO200">
        <v>12.4</v>
      </c>
      <c r="AP200">
        <f>103.7+1.4</f>
        <v>105.10000000000001</v>
      </c>
      <c r="AQ200">
        <v>64.400000000000006</v>
      </c>
      <c r="AR200">
        <v>50.5</v>
      </c>
      <c r="AS200">
        <v>22.4</v>
      </c>
      <c r="AT200" t="s">
        <v>147</v>
      </c>
      <c r="AU200" t="s">
        <v>147</v>
      </c>
    </row>
    <row r="201" spans="1:47" x14ac:dyDescent="0.2">
      <c r="A201" s="29">
        <v>202.00000000000173</v>
      </c>
      <c r="B201" s="3">
        <v>62</v>
      </c>
      <c r="C201" s="12" t="s">
        <v>221</v>
      </c>
      <c r="D201" s="31" t="s">
        <v>140</v>
      </c>
      <c r="E201" t="s">
        <v>141</v>
      </c>
      <c r="F201" s="28" t="s">
        <v>164</v>
      </c>
      <c r="G201"/>
      <c r="H201" s="3" t="s">
        <v>165</v>
      </c>
      <c r="I201" s="32">
        <v>44647</v>
      </c>
      <c r="J201" t="s">
        <v>142</v>
      </c>
      <c r="K201" t="s">
        <v>166</v>
      </c>
      <c r="L201"/>
      <c r="M201">
        <v>244.3</v>
      </c>
      <c r="N201">
        <v>243.5</v>
      </c>
      <c r="O201">
        <v>206.67</v>
      </c>
      <c r="P201">
        <v>218</v>
      </c>
      <c r="Q201">
        <v>49.7</v>
      </c>
      <c r="R201">
        <v>35.68</v>
      </c>
      <c r="S201">
        <v>128.25</v>
      </c>
      <c r="T201">
        <v>100.38</v>
      </c>
      <c r="U201">
        <v>67.59</v>
      </c>
      <c r="V201">
        <v>52.33</v>
      </c>
      <c r="W201">
        <v>77.97</v>
      </c>
      <c r="X201">
        <v>92.44</v>
      </c>
      <c r="Y201">
        <v>40.49</v>
      </c>
      <c r="Z201">
        <v>103.22</v>
      </c>
      <c r="AA201">
        <v>78.849999999999994</v>
      </c>
      <c r="AB201">
        <v>80.89</v>
      </c>
      <c r="AC201">
        <v>19.739999999999998</v>
      </c>
      <c r="AD201">
        <v>47.9</v>
      </c>
      <c r="AE201">
        <v>35.049999999999997</v>
      </c>
      <c r="AF201">
        <v>41.16</v>
      </c>
      <c r="AG201">
        <v>34.81</v>
      </c>
      <c r="AH201">
        <v>43.99</v>
      </c>
      <c r="AI201">
        <v>1.669</v>
      </c>
      <c r="AJ201"/>
      <c r="AK201"/>
      <c r="AL201">
        <v>20</v>
      </c>
      <c r="AM201"/>
      <c r="AN201"/>
      <c r="AO201">
        <v>13.4</v>
      </c>
      <c r="AP201">
        <v>98.2</v>
      </c>
      <c r="AQ201">
        <v>59.1</v>
      </c>
      <c r="AR201">
        <v>51.7</v>
      </c>
      <c r="AS201">
        <v>22.8</v>
      </c>
      <c r="AT201" t="s">
        <v>147</v>
      </c>
      <c r="AU201" t="s">
        <v>147</v>
      </c>
    </row>
    <row r="202" spans="1:47" x14ac:dyDescent="0.2">
      <c r="A202" s="29">
        <v>202.9999999999994</v>
      </c>
      <c r="B202" s="3" t="s">
        <v>222</v>
      </c>
      <c r="C202" s="3">
        <v>22.201000000000001</v>
      </c>
      <c r="D202" s="52" t="s">
        <v>200</v>
      </c>
      <c r="E202" t="s">
        <v>201</v>
      </c>
      <c r="F202" s="14" t="s">
        <v>202</v>
      </c>
      <c r="G202"/>
      <c r="H202"/>
      <c r="I202" s="32"/>
      <c r="J202" t="s">
        <v>142</v>
      </c>
      <c r="K202" t="s">
        <v>166</v>
      </c>
      <c r="L202"/>
      <c r="M202">
        <v>242.3</v>
      </c>
      <c r="N202" s="58">
        <v>241.3</v>
      </c>
      <c r="O202">
        <v>191.77</v>
      </c>
      <c r="P202">
        <v>213.99</v>
      </c>
      <c r="Q202">
        <v>39.270000000000003</v>
      </c>
      <c r="R202">
        <v>32.200000000000003</v>
      </c>
      <c r="S202">
        <v>136.35</v>
      </c>
      <c r="T202">
        <v>107.21</v>
      </c>
      <c r="U202">
        <v>68.3</v>
      </c>
      <c r="V202">
        <v>54.09</v>
      </c>
      <c r="W202">
        <v>76.75</v>
      </c>
      <c r="X202">
        <v>86.08</v>
      </c>
      <c r="Y202">
        <v>39.72</v>
      </c>
      <c r="Z202">
        <v>93.75</v>
      </c>
      <c r="AA202">
        <v>71.09</v>
      </c>
      <c r="AB202">
        <v>73.69</v>
      </c>
      <c r="AC202">
        <v>29.07</v>
      </c>
      <c r="AD202">
        <v>47.1</v>
      </c>
      <c r="AE202">
        <v>33.479999999999997</v>
      </c>
      <c r="AF202">
        <v>34.97</v>
      </c>
      <c r="AG202">
        <v>36.51</v>
      </c>
      <c r="AH202">
        <v>43.57</v>
      </c>
      <c r="AI202" s="58">
        <v>1.4490000000000001</v>
      </c>
      <c r="AJ202" s="58"/>
      <c r="AK202" s="58"/>
      <c r="AL202" s="58">
        <v>20</v>
      </c>
      <c r="AM202" s="58"/>
      <c r="AN202" s="58"/>
      <c r="AO202" s="58">
        <v>10.5</v>
      </c>
      <c r="AP202" s="58">
        <v>77.2</v>
      </c>
      <c r="AQ202" s="58">
        <f>83.7-11</f>
        <v>72.7</v>
      </c>
      <c r="AR202" s="58">
        <v>58.3</v>
      </c>
      <c r="AS202" s="58">
        <v>26.2</v>
      </c>
      <c r="AT202" s="58" t="s">
        <v>147</v>
      </c>
      <c r="AU202" s="58" t="s">
        <v>147</v>
      </c>
    </row>
    <row r="203" spans="1:47" x14ac:dyDescent="0.2">
      <c r="A203" s="29">
        <v>204.00000000000063</v>
      </c>
      <c r="B203" s="3">
        <v>25</v>
      </c>
      <c r="C203" s="3">
        <v>22.202000000000002</v>
      </c>
      <c r="D203" s="52" t="s">
        <v>200</v>
      </c>
      <c r="E203" t="s">
        <v>201</v>
      </c>
      <c r="F203" s="14" t="s">
        <v>202</v>
      </c>
      <c r="G203"/>
      <c r="H203"/>
      <c r="I203" s="32">
        <v>44628</v>
      </c>
      <c r="J203" t="s">
        <v>142</v>
      </c>
      <c r="K203" t="s">
        <v>166</v>
      </c>
      <c r="L203"/>
      <c r="M203" s="59">
        <v>200</v>
      </c>
      <c r="N203">
        <v>227.2</v>
      </c>
      <c r="O203">
        <v>188.77</v>
      </c>
      <c r="P203">
        <v>204.65</v>
      </c>
      <c r="Q203">
        <v>41.48</v>
      </c>
      <c r="R203">
        <v>32.03</v>
      </c>
      <c r="S203">
        <v>125.14</v>
      </c>
      <c r="T203">
        <v>98.35</v>
      </c>
      <c r="U203">
        <v>64.900000000000006</v>
      </c>
      <c r="V203">
        <v>49.81</v>
      </c>
      <c r="W203">
        <v>72.78</v>
      </c>
      <c r="X203">
        <v>91.81</v>
      </c>
      <c r="Y203">
        <v>37.630000000000003</v>
      </c>
      <c r="Z203">
        <v>103.09</v>
      </c>
      <c r="AA203">
        <v>77.88</v>
      </c>
      <c r="AB203">
        <v>86.02</v>
      </c>
      <c r="AC203">
        <v>34.94</v>
      </c>
      <c r="AD203">
        <v>44.14</v>
      </c>
      <c r="AE203">
        <v>28</v>
      </c>
      <c r="AF203">
        <v>39.71</v>
      </c>
      <c r="AG203">
        <v>26.87</v>
      </c>
      <c r="AH203">
        <v>47.45</v>
      </c>
      <c r="AI203" s="58">
        <v>1.6319999999999999</v>
      </c>
      <c r="AJ203" s="58"/>
      <c r="AK203" s="58"/>
      <c r="AL203" s="58">
        <v>20</v>
      </c>
      <c r="AM203" s="58"/>
      <c r="AN203" s="58"/>
      <c r="AO203" s="58">
        <f>14.4-2.8</f>
        <v>11.600000000000001</v>
      </c>
      <c r="AP203" s="58">
        <f>102-10.6</f>
        <v>91.4</v>
      </c>
      <c r="AQ203" s="58">
        <f>54.5-10.7</f>
        <v>43.8</v>
      </c>
      <c r="AR203" s="58">
        <v>56.3</v>
      </c>
      <c r="AS203" s="58">
        <v>24.7</v>
      </c>
      <c r="AT203" s="58" t="s">
        <v>147</v>
      </c>
      <c r="AU203" s="58" t="s">
        <v>147</v>
      </c>
    </row>
    <row r="204" spans="1:47" x14ac:dyDescent="0.2">
      <c r="A204" s="29">
        <v>204.99999999999829</v>
      </c>
      <c r="B204" s="3">
        <v>23</v>
      </c>
      <c r="C204" s="3">
        <v>22.202999999999999</v>
      </c>
      <c r="D204" s="52" t="s">
        <v>200</v>
      </c>
      <c r="E204" t="s">
        <v>201</v>
      </c>
      <c r="F204" s="14" t="s">
        <v>202</v>
      </c>
      <c r="G204"/>
      <c r="H204"/>
      <c r="I204" s="32">
        <v>44627</v>
      </c>
      <c r="J204" t="s">
        <v>142</v>
      </c>
      <c r="K204" t="s">
        <v>166</v>
      </c>
      <c r="L204"/>
      <c r="M204" s="59">
        <v>250</v>
      </c>
      <c r="N204">
        <v>248.7</v>
      </c>
      <c r="O204">
        <v>185.46</v>
      </c>
      <c r="P204">
        <v>206.67</v>
      </c>
      <c r="Q204">
        <v>48.15</v>
      </c>
      <c r="R204">
        <v>20.79</v>
      </c>
      <c r="S204">
        <v>128.38</v>
      </c>
      <c r="T204">
        <v>103.22</v>
      </c>
      <c r="U204">
        <v>68.38</v>
      </c>
      <c r="V204">
        <v>54.08</v>
      </c>
      <c r="W204">
        <v>75.36</v>
      </c>
      <c r="X204">
        <v>90.77</v>
      </c>
      <c r="Y204">
        <v>37.67</v>
      </c>
      <c r="Z204">
        <v>96.62</v>
      </c>
      <c r="AA204">
        <v>72.78</v>
      </c>
      <c r="AB204">
        <v>78.38</v>
      </c>
      <c r="AC204">
        <v>29.67</v>
      </c>
      <c r="AD204">
        <v>48.81</v>
      </c>
      <c r="AE204">
        <v>27.01</v>
      </c>
      <c r="AF204">
        <v>40.770000000000003</v>
      </c>
      <c r="AG204">
        <v>34.299999999999997</v>
      </c>
      <c r="AH204">
        <v>46.27</v>
      </c>
      <c r="AI204" s="58">
        <v>1.712</v>
      </c>
      <c r="AJ204" s="58"/>
      <c r="AK204" s="58"/>
      <c r="AL204" s="58">
        <v>18</v>
      </c>
      <c r="AM204" s="58"/>
      <c r="AN204" s="58"/>
      <c r="AO204" s="58">
        <v>12.1</v>
      </c>
      <c r="AP204" s="58">
        <f>108.4-10.9</f>
        <v>97.5</v>
      </c>
      <c r="AQ204" s="58">
        <f>65.1-10.9</f>
        <v>54.199999999999996</v>
      </c>
      <c r="AR204" s="58">
        <v>63.2</v>
      </c>
      <c r="AS204" s="58">
        <v>27.4</v>
      </c>
      <c r="AT204" s="58" t="s">
        <v>147</v>
      </c>
      <c r="AU204" s="58" t="s">
        <v>147</v>
      </c>
    </row>
    <row r="205" spans="1:47" x14ac:dyDescent="0.2">
      <c r="A205" s="29">
        <v>205.99999999999952</v>
      </c>
      <c r="B205" s="3">
        <v>24</v>
      </c>
      <c r="C205" s="3">
        <v>22.204000000000001</v>
      </c>
      <c r="D205" s="52" t="s">
        <v>200</v>
      </c>
      <c r="E205" t="s">
        <v>201</v>
      </c>
      <c r="F205" s="14" t="s">
        <v>202</v>
      </c>
      <c r="G205"/>
      <c r="H205"/>
      <c r="I205" s="32">
        <v>44628</v>
      </c>
      <c r="J205" t="s">
        <v>142</v>
      </c>
      <c r="K205" t="s">
        <v>166</v>
      </c>
      <c r="L205"/>
      <c r="M205" s="59">
        <v>250</v>
      </c>
      <c r="N205">
        <v>242.1</v>
      </c>
      <c r="O205">
        <v>187.16</v>
      </c>
      <c r="P205">
        <v>203.69</v>
      </c>
      <c r="Q205">
        <v>38.32</v>
      </c>
      <c r="R205">
        <v>22.72</v>
      </c>
      <c r="S205">
        <v>131.88</v>
      </c>
      <c r="T205">
        <v>100.28</v>
      </c>
      <c r="U205">
        <v>67.510000000000005</v>
      </c>
      <c r="V205">
        <v>50.26</v>
      </c>
      <c r="W205">
        <v>72.599999999999994</v>
      </c>
      <c r="X205">
        <v>90.45</v>
      </c>
      <c r="Y205">
        <v>39.07</v>
      </c>
      <c r="Z205">
        <v>99.9</v>
      </c>
      <c r="AA205">
        <v>75.81</v>
      </c>
      <c r="AB205">
        <v>84.86</v>
      </c>
      <c r="AC205">
        <v>30.12</v>
      </c>
      <c r="AD205">
        <v>45.31</v>
      </c>
      <c r="AE205">
        <v>23.71</v>
      </c>
      <c r="AF205">
        <v>39.61</v>
      </c>
      <c r="AG205">
        <v>34.43</v>
      </c>
      <c r="AH205">
        <v>47.63</v>
      </c>
      <c r="AI205" s="58">
        <v>1.4890000000000001</v>
      </c>
      <c r="AJ205" s="58"/>
      <c r="AK205" s="58"/>
      <c r="AL205" s="58">
        <v>17</v>
      </c>
      <c r="AM205" s="58"/>
      <c r="AN205" s="58"/>
      <c r="AO205" s="58">
        <v>14.6</v>
      </c>
      <c r="AP205" s="58">
        <v>98.4</v>
      </c>
      <c r="AQ205" s="58">
        <v>49.9</v>
      </c>
      <c r="AR205" s="58">
        <v>56.8</v>
      </c>
      <c r="AS205" s="58">
        <v>25</v>
      </c>
      <c r="AT205" s="58" t="s">
        <v>147</v>
      </c>
      <c r="AU205" s="58" t="s">
        <v>147</v>
      </c>
    </row>
    <row r="206" spans="1:47" x14ac:dyDescent="0.2">
      <c r="A206" s="29">
        <v>207.00000000000074</v>
      </c>
      <c r="B206" s="3">
        <v>66</v>
      </c>
      <c r="C206" s="3">
        <v>22.204999999999998</v>
      </c>
      <c r="D206" s="31" t="s">
        <v>140</v>
      </c>
      <c r="E206" t="s">
        <v>141</v>
      </c>
      <c r="F206" s="28" t="s">
        <v>62</v>
      </c>
      <c r="H206" s="17" t="s">
        <v>62</v>
      </c>
      <c r="I206" s="32">
        <v>44649</v>
      </c>
      <c r="J206" t="s">
        <v>142</v>
      </c>
      <c r="K206" t="s">
        <v>166</v>
      </c>
      <c r="L206"/>
      <c r="M206">
        <v>246.3</v>
      </c>
      <c r="N206">
        <v>243.5</v>
      </c>
      <c r="O206">
        <v>193.31</v>
      </c>
      <c r="P206">
        <v>218</v>
      </c>
      <c r="Q206">
        <v>46.31</v>
      </c>
      <c r="R206">
        <v>30.58</v>
      </c>
      <c r="S206">
        <v>126.55</v>
      </c>
      <c r="T206">
        <v>97.7</v>
      </c>
      <c r="U206">
        <v>65.02</v>
      </c>
      <c r="V206">
        <v>53.22</v>
      </c>
      <c r="W206">
        <v>77.08</v>
      </c>
      <c r="X206">
        <v>93.55</v>
      </c>
      <c r="Y206">
        <v>38.979999999999997</v>
      </c>
      <c r="Z206">
        <v>104.42</v>
      </c>
      <c r="AA206">
        <v>78.63</v>
      </c>
      <c r="AB206">
        <v>81.849999999999994</v>
      </c>
      <c r="AC206">
        <v>20.329999999999998</v>
      </c>
      <c r="AD206">
        <v>46.85</v>
      </c>
      <c r="AE206">
        <v>37.159999999999997</v>
      </c>
      <c r="AF206">
        <v>38.92</v>
      </c>
      <c r="AG206">
        <v>34.299999999999997</v>
      </c>
      <c r="AH206">
        <v>44.21</v>
      </c>
      <c r="AI206" s="58">
        <v>1.64</v>
      </c>
      <c r="AJ206" s="58"/>
      <c r="AK206" s="58"/>
      <c r="AL206" s="58">
        <v>20</v>
      </c>
      <c r="AM206" s="58"/>
      <c r="AN206" s="58"/>
      <c r="AO206" s="58">
        <v>12.3</v>
      </c>
      <c r="AP206" s="58">
        <v>89.6</v>
      </c>
      <c r="AQ206" s="58">
        <v>67.8</v>
      </c>
      <c r="AR206" s="58">
        <v>49.6</v>
      </c>
      <c r="AS206" s="58">
        <v>21.3</v>
      </c>
      <c r="AT206" s="58" t="s">
        <v>147</v>
      </c>
      <c r="AU206" s="58" t="s">
        <v>147</v>
      </c>
    </row>
    <row r="207" spans="1:47" x14ac:dyDescent="0.2">
      <c r="A207" s="29">
        <v>207.99999999999841</v>
      </c>
      <c r="B207" s="3">
        <v>248</v>
      </c>
      <c r="C207" s="3">
        <v>22.206</v>
      </c>
      <c r="D207" s="60" t="s">
        <v>223</v>
      </c>
      <c r="E207" t="s">
        <v>224</v>
      </c>
      <c r="F207" t="s">
        <v>73</v>
      </c>
      <c r="G207" t="s">
        <v>73</v>
      </c>
      <c r="H207"/>
      <c r="I207" s="32">
        <v>44654</v>
      </c>
      <c r="J207" t="s">
        <v>142</v>
      </c>
      <c r="K207" t="s">
        <v>166</v>
      </c>
      <c r="L207"/>
      <c r="M207" s="61"/>
      <c r="N207">
        <v>157.69999999999999</v>
      </c>
      <c r="O207">
        <v>135.77000000000001</v>
      </c>
      <c r="P207">
        <v>137.72</v>
      </c>
      <c r="Q207">
        <v>29.18</v>
      </c>
      <c r="R207">
        <v>11.72</v>
      </c>
      <c r="S207">
        <v>91.41</v>
      </c>
      <c r="T207">
        <v>71.86</v>
      </c>
      <c r="U207">
        <v>78.45</v>
      </c>
      <c r="V207">
        <v>54.92</v>
      </c>
      <c r="W207">
        <v>78.930000000000007</v>
      </c>
      <c r="X207">
        <v>84.44</v>
      </c>
      <c r="Y207">
        <v>44.06</v>
      </c>
      <c r="Z207">
        <v>95.44</v>
      </c>
      <c r="AA207">
        <v>67.41</v>
      </c>
      <c r="AB207">
        <v>78.69</v>
      </c>
      <c r="AC207">
        <v>51.38</v>
      </c>
      <c r="AD207">
        <v>41.38</v>
      </c>
      <c r="AE207">
        <v>24.42</v>
      </c>
      <c r="AF207">
        <v>29.14</v>
      </c>
      <c r="AG207">
        <v>25.57</v>
      </c>
      <c r="AH207">
        <v>28.12</v>
      </c>
      <c r="AI207">
        <v>1.7350000000000001</v>
      </c>
      <c r="AJ207"/>
      <c r="AK207"/>
      <c r="AL207" s="61"/>
      <c r="AM207"/>
      <c r="AN207"/>
      <c r="AO207">
        <v>9.5</v>
      </c>
      <c r="AP207">
        <v>86.4</v>
      </c>
      <c r="AQ207">
        <v>13.6</v>
      </c>
      <c r="AR207">
        <v>46</v>
      </c>
      <c r="AS207">
        <v>20.399999999999999</v>
      </c>
      <c r="AT207" t="s">
        <v>147</v>
      </c>
      <c r="AU207" t="s">
        <v>225</v>
      </c>
    </row>
    <row r="208" spans="1:47" x14ac:dyDescent="0.2">
      <c r="A208" s="29">
        <v>208.99999999999963</v>
      </c>
      <c r="B208" s="3">
        <v>259</v>
      </c>
      <c r="C208" s="3">
        <v>22.207000000000001</v>
      </c>
      <c r="D208" s="60" t="s">
        <v>223</v>
      </c>
      <c r="E208" t="s">
        <v>224</v>
      </c>
      <c r="F208" t="s">
        <v>73</v>
      </c>
      <c r="G208" t="s">
        <v>73</v>
      </c>
      <c r="H208"/>
      <c r="I208" s="32">
        <v>44671</v>
      </c>
      <c r="J208" t="s">
        <v>142</v>
      </c>
      <c r="K208" t="s">
        <v>166</v>
      </c>
      <c r="L208"/>
      <c r="M208" s="61"/>
      <c r="N208">
        <v>176.3</v>
      </c>
      <c r="O208">
        <v>147.36000000000001</v>
      </c>
      <c r="P208">
        <v>147.66999999999999</v>
      </c>
      <c r="Q208">
        <v>34.299999999999997</v>
      </c>
      <c r="R208">
        <v>13.97</v>
      </c>
      <c r="S208">
        <v>91.15</v>
      </c>
      <c r="T208">
        <v>75.02</v>
      </c>
      <c r="U208">
        <v>74.72</v>
      </c>
      <c r="V208">
        <v>53.55</v>
      </c>
      <c r="W208">
        <v>73.8</v>
      </c>
      <c r="X208">
        <v>81.28</v>
      </c>
      <c r="Y208">
        <v>41.16</v>
      </c>
      <c r="Z208">
        <v>100.01</v>
      </c>
      <c r="AA208">
        <v>71.040000000000006</v>
      </c>
      <c r="AB208">
        <v>82.41</v>
      </c>
      <c r="AC208">
        <v>46.6</v>
      </c>
      <c r="AD208">
        <v>44.51</v>
      </c>
      <c r="AE208">
        <v>25.61</v>
      </c>
      <c r="AF208">
        <v>33.82</v>
      </c>
      <c r="AG208">
        <v>31.27</v>
      </c>
      <c r="AH208">
        <v>30.99</v>
      </c>
      <c r="AI208">
        <v>1.52</v>
      </c>
      <c r="AJ208"/>
      <c r="AK208"/>
      <c r="AL208" s="61"/>
      <c r="AM208"/>
      <c r="AN208"/>
      <c r="AO208">
        <v>9.5</v>
      </c>
      <c r="AP208">
        <v>70.7</v>
      </c>
      <c r="AQ208">
        <v>46.4</v>
      </c>
      <c r="AR208">
        <v>46.9</v>
      </c>
      <c r="AS208">
        <v>20.7</v>
      </c>
      <c r="AT208" t="s">
        <v>147</v>
      </c>
      <c r="AU208" t="s">
        <v>225</v>
      </c>
    </row>
    <row r="209" spans="1:47" x14ac:dyDescent="0.2">
      <c r="A209" s="29">
        <v>210.00000000000085</v>
      </c>
      <c r="B209" s="3">
        <v>244</v>
      </c>
      <c r="C209" s="3">
        <v>22.207999999999998</v>
      </c>
      <c r="D209" s="60" t="s">
        <v>223</v>
      </c>
      <c r="E209" t="s">
        <v>224</v>
      </c>
      <c r="F209" t="s">
        <v>73</v>
      </c>
      <c r="G209" t="s">
        <v>73</v>
      </c>
      <c r="H209"/>
      <c r="I209" s="32">
        <v>44654</v>
      </c>
      <c r="J209" t="s">
        <v>142</v>
      </c>
      <c r="K209" t="s">
        <v>166</v>
      </c>
      <c r="L209"/>
      <c r="M209" s="61"/>
      <c r="N209">
        <v>198.8</v>
      </c>
      <c r="O209">
        <v>150.69</v>
      </c>
      <c r="P209">
        <v>150.28</v>
      </c>
      <c r="Q209">
        <v>30.82</v>
      </c>
      <c r="R209">
        <v>9.6</v>
      </c>
      <c r="S209">
        <v>100.61</v>
      </c>
      <c r="T209">
        <v>81.650000000000006</v>
      </c>
      <c r="U209">
        <v>78</v>
      </c>
      <c r="V209">
        <v>58.1</v>
      </c>
      <c r="W209">
        <v>81.45</v>
      </c>
      <c r="X209">
        <v>90.53</v>
      </c>
      <c r="Y209">
        <v>40.33</v>
      </c>
      <c r="Z209">
        <v>100.86</v>
      </c>
      <c r="AA209">
        <v>74.03</v>
      </c>
      <c r="AB209">
        <v>84.89</v>
      </c>
      <c r="AC209">
        <v>41.78</v>
      </c>
      <c r="AD209">
        <v>47.47</v>
      </c>
      <c r="AE209">
        <v>26.83</v>
      </c>
      <c r="AF209">
        <v>31.76</v>
      </c>
      <c r="AG209">
        <v>26.64</v>
      </c>
      <c r="AH209">
        <v>31.37</v>
      </c>
      <c r="AI209">
        <v>1.512</v>
      </c>
      <c r="AJ209"/>
      <c r="AK209"/>
      <c r="AL209">
        <v>20</v>
      </c>
      <c r="AM209"/>
      <c r="AN209"/>
      <c r="AO209">
        <v>9.1999999999999993</v>
      </c>
      <c r="AP209">
        <v>91.3</v>
      </c>
      <c r="AQ209">
        <v>30.9</v>
      </c>
      <c r="AR209">
        <v>45.5</v>
      </c>
      <c r="AS209">
        <v>20.3</v>
      </c>
      <c r="AT209" t="s">
        <v>147</v>
      </c>
      <c r="AU209" t="s">
        <v>147</v>
      </c>
    </row>
    <row r="210" spans="1:47" x14ac:dyDescent="0.2">
      <c r="A210" s="29">
        <v>210.99999999999852</v>
      </c>
      <c r="B210" s="3">
        <v>238</v>
      </c>
      <c r="C210" s="3">
        <v>22.209</v>
      </c>
      <c r="D210" s="60" t="s">
        <v>223</v>
      </c>
      <c r="E210" t="s">
        <v>224</v>
      </c>
      <c r="F210" t="s">
        <v>73</v>
      </c>
      <c r="G210" t="s">
        <v>73</v>
      </c>
      <c r="H210"/>
      <c r="I210" s="32">
        <v>44646</v>
      </c>
      <c r="J210" t="s">
        <v>142</v>
      </c>
      <c r="K210" t="s">
        <v>166</v>
      </c>
      <c r="L210"/>
      <c r="M210" s="61"/>
      <c r="N210">
        <v>173.9</v>
      </c>
      <c r="O210">
        <v>144.97</v>
      </c>
      <c r="P210">
        <v>143.16</v>
      </c>
      <c r="Q210">
        <v>31.82</v>
      </c>
      <c r="R210">
        <v>13.38</v>
      </c>
      <c r="S210">
        <v>96.89</v>
      </c>
      <c r="T210">
        <v>75.739999999999995</v>
      </c>
      <c r="U210">
        <v>72.72</v>
      </c>
      <c r="V210">
        <v>57.45</v>
      </c>
      <c r="W210">
        <v>74.13</v>
      </c>
      <c r="X210">
        <v>84.42</v>
      </c>
      <c r="Y210">
        <v>40.6</v>
      </c>
      <c r="Z210">
        <v>92.45</v>
      </c>
      <c r="AA210">
        <v>68.66</v>
      </c>
      <c r="AB210">
        <v>76.8</v>
      </c>
      <c r="AC210">
        <v>45.07</v>
      </c>
      <c r="AD210">
        <v>44.3</v>
      </c>
      <c r="AE210">
        <v>27.4</v>
      </c>
      <c r="AF210">
        <v>28.03</v>
      </c>
      <c r="AG210">
        <v>28.45</v>
      </c>
      <c r="AH210">
        <v>29.36</v>
      </c>
      <c r="AI210">
        <v>1.65</v>
      </c>
      <c r="AJ210"/>
      <c r="AK210"/>
      <c r="AL210" s="61"/>
      <c r="AM210"/>
      <c r="AN210"/>
      <c r="AO210">
        <v>9</v>
      </c>
      <c r="AP210">
        <v>69.3</v>
      </c>
      <c r="AQ210">
        <v>46.1</v>
      </c>
      <c r="AR210">
        <v>47.8</v>
      </c>
      <c r="AS210">
        <v>21.9</v>
      </c>
      <c r="AT210" t="s">
        <v>147</v>
      </c>
      <c r="AU210" t="s">
        <v>147</v>
      </c>
    </row>
    <row r="211" spans="1:47" x14ac:dyDescent="0.2">
      <c r="A211" s="29">
        <v>211.99999999999974</v>
      </c>
      <c r="B211" s="3">
        <v>240</v>
      </c>
      <c r="C211" s="12" t="s">
        <v>226</v>
      </c>
      <c r="D211" s="60" t="s">
        <v>223</v>
      </c>
      <c r="E211" t="s">
        <v>224</v>
      </c>
      <c r="F211" t="s">
        <v>73</v>
      </c>
      <c r="G211" t="s">
        <v>73</v>
      </c>
      <c r="H211"/>
      <c r="I211" s="32">
        <v>44646</v>
      </c>
      <c r="J211" t="s">
        <v>142</v>
      </c>
      <c r="K211" t="s">
        <v>166</v>
      </c>
      <c r="L211"/>
      <c r="M211" s="61"/>
      <c r="N211">
        <v>216</v>
      </c>
      <c r="O211">
        <v>155.6</v>
      </c>
      <c r="P211">
        <v>151.5</v>
      </c>
      <c r="Q211">
        <v>34.35</v>
      </c>
      <c r="R211">
        <v>12.38</v>
      </c>
      <c r="S211">
        <v>103.63</v>
      </c>
      <c r="T211">
        <v>82.03</v>
      </c>
      <c r="U211">
        <v>73.78</v>
      </c>
      <c r="V211">
        <v>53.95</v>
      </c>
      <c r="W211">
        <v>76.489999999999995</v>
      </c>
      <c r="X211">
        <v>84.12</v>
      </c>
      <c r="Y211">
        <v>39.9</v>
      </c>
      <c r="Z211">
        <v>93.67</v>
      </c>
      <c r="AA211">
        <v>71.510000000000005</v>
      </c>
      <c r="AB211">
        <v>79.69</v>
      </c>
      <c r="AC211">
        <v>38.74</v>
      </c>
      <c r="AD211">
        <v>48.75</v>
      </c>
      <c r="AE211">
        <v>28.73</v>
      </c>
      <c r="AF211">
        <v>36.340000000000003</v>
      </c>
      <c r="AG211">
        <v>30.33</v>
      </c>
      <c r="AH211">
        <v>31.65</v>
      </c>
      <c r="AI211">
        <v>1.7689999999999999</v>
      </c>
      <c r="AJ211"/>
      <c r="AK211"/>
      <c r="AL211">
        <v>23</v>
      </c>
      <c r="AM211"/>
      <c r="AN211"/>
      <c r="AO211">
        <v>9</v>
      </c>
      <c r="AP211">
        <v>60.3</v>
      </c>
      <c r="AQ211">
        <v>69</v>
      </c>
      <c r="AR211">
        <v>52.5</v>
      </c>
      <c r="AS211">
        <v>23.8</v>
      </c>
      <c r="AT211" t="s">
        <v>147</v>
      </c>
      <c r="AU211" t="s">
        <v>147</v>
      </c>
    </row>
    <row r="212" spans="1:47" x14ac:dyDescent="0.2">
      <c r="A212" s="29">
        <v>213.00000000000097</v>
      </c>
      <c r="B212" s="3">
        <v>252</v>
      </c>
      <c r="C212" s="3">
        <v>22.210999999999999</v>
      </c>
      <c r="D212" s="60" t="s">
        <v>223</v>
      </c>
      <c r="E212" t="s">
        <v>224</v>
      </c>
      <c r="F212" t="s">
        <v>73</v>
      </c>
      <c r="G212" t="s">
        <v>73</v>
      </c>
      <c r="H212"/>
      <c r="I212" s="32">
        <v>44666</v>
      </c>
      <c r="J212" t="s">
        <v>142</v>
      </c>
      <c r="K212" t="s">
        <v>166</v>
      </c>
      <c r="L212"/>
      <c r="M212" s="61"/>
      <c r="N212">
        <v>206</v>
      </c>
      <c r="O212">
        <v>152.84</v>
      </c>
      <c r="P212">
        <v>151.47</v>
      </c>
      <c r="Q212">
        <v>26.45</v>
      </c>
      <c r="R212">
        <v>13.35</v>
      </c>
      <c r="S212">
        <v>106.94</v>
      </c>
      <c r="T212">
        <v>84.68</v>
      </c>
      <c r="U212">
        <v>76.61</v>
      </c>
      <c r="V212">
        <v>55.41</v>
      </c>
      <c r="W212">
        <v>80.11</v>
      </c>
      <c r="X212">
        <v>89.23</v>
      </c>
      <c r="Y212">
        <v>39.21</v>
      </c>
      <c r="Z212">
        <v>103.63</v>
      </c>
      <c r="AA212">
        <v>76.45</v>
      </c>
      <c r="AB212">
        <v>77.78</v>
      </c>
      <c r="AC212">
        <v>39.729999999999997</v>
      </c>
      <c r="AD212">
        <v>48.23</v>
      </c>
      <c r="AE212">
        <v>26.85</v>
      </c>
      <c r="AF212">
        <v>31.85</v>
      </c>
      <c r="AG212">
        <v>31.94</v>
      </c>
      <c r="AH212">
        <v>30.13</v>
      </c>
      <c r="AI212">
        <v>1.6040000000000001</v>
      </c>
      <c r="AJ212"/>
      <c r="AK212"/>
      <c r="AL212">
        <v>26</v>
      </c>
      <c r="AM212"/>
      <c r="AN212"/>
      <c r="AO212">
        <v>6.7</v>
      </c>
      <c r="AP212">
        <v>96.3</v>
      </c>
      <c r="AQ212">
        <v>28.2</v>
      </c>
      <c r="AR212">
        <v>45.4</v>
      </c>
      <c r="AS212">
        <v>20.100000000000001</v>
      </c>
      <c r="AT212" t="s">
        <v>147</v>
      </c>
      <c r="AU212" t="s">
        <v>147</v>
      </c>
    </row>
    <row r="213" spans="1:47" x14ac:dyDescent="0.2">
      <c r="A213" s="29">
        <v>213.99999999999864</v>
      </c>
      <c r="B213" s="3">
        <v>74</v>
      </c>
      <c r="C213" s="3">
        <v>22.212</v>
      </c>
      <c r="D213" s="31" t="s">
        <v>140</v>
      </c>
      <c r="E213" t="s">
        <v>141</v>
      </c>
      <c r="F213" s="17" t="s">
        <v>62</v>
      </c>
      <c r="H213" s="17" t="s">
        <v>62</v>
      </c>
      <c r="I213" s="32">
        <v>44669</v>
      </c>
      <c r="J213" t="s">
        <v>142</v>
      </c>
      <c r="K213" t="s">
        <v>166</v>
      </c>
      <c r="L213"/>
      <c r="M213">
        <v>245.2</v>
      </c>
      <c r="N213">
        <v>243.4</v>
      </c>
      <c r="O213">
        <v>203.93</v>
      </c>
      <c r="P213">
        <v>216</v>
      </c>
      <c r="Q213">
        <v>48.8</v>
      </c>
      <c r="R213">
        <v>37.72</v>
      </c>
      <c r="S213">
        <v>127.49</v>
      </c>
      <c r="T213">
        <v>108.09</v>
      </c>
      <c r="U213">
        <v>63.25</v>
      </c>
      <c r="V213">
        <v>53.82</v>
      </c>
      <c r="W213">
        <v>74.7</v>
      </c>
      <c r="X213">
        <v>86.6</v>
      </c>
      <c r="Y213">
        <v>42.54</v>
      </c>
      <c r="Z213">
        <v>103.75</v>
      </c>
      <c r="AA213">
        <v>78.48</v>
      </c>
      <c r="AB213">
        <v>81.5</v>
      </c>
      <c r="AC213">
        <v>15.88</v>
      </c>
      <c r="AD213">
        <v>48.47</v>
      </c>
      <c r="AE213">
        <v>36.049999999999997</v>
      </c>
      <c r="AF213">
        <v>39.35</v>
      </c>
      <c r="AG213">
        <v>36.78</v>
      </c>
      <c r="AH213">
        <v>48.93</v>
      </c>
      <c r="AI213">
        <v>1.56</v>
      </c>
      <c r="AJ213"/>
      <c r="AK213"/>
      <c r="AL213">
        <v>13</v>
      </c>
      <c r="AM213"/>
      <c r="AN213"/>
      <c r="AO213">
        <v>10.199999999999999</v>
      </c>
      <c r="AP213">
        <v>103.9</v>
      </c>
      <c r="AQ213">
        <v>65.599999999999994</v>
      </c>
      <c r="AR213">
        <v>47.9</v>
      </c>
      <c r="AS213">
        <v>21.2</v>
      </c>
      <c r="AT213" t="s">
        <v>147</v>
      </c>
      <c r="AU213" t="s">
        <v>225</v>
      </c>
    </row>
    <row r="214" spans="1:47" ht="17" x14ac:dyDescent="0.2">
      <c r="A214" s="29">
        <v>214.99999999999986</v>
      </c>
      <c r="B214" s="3">
        <v>121</v>
      </c>
      <c r="C214" s="3">
        <v>22.213000000000001</v>
      </c>
      <c r="D214" s="34" t="s">
        <v>148</v>
      </c>
      <c r="E214" s="35" t="s">
        <v>149</v>
      </c>
      <c r="F214" s="3" t="s">
        <v>74</v>
      </c>
      <c r="G214" s="3" t="s">
        <v>74</v>
      </c>
      <c r="H214" s="35"/>
      <c r="I214" s="62">
        <v>44560</v>
      </c>
      <c r="J214" t="s">
        <v>142</v>
      </c>
      <c r="K214" t="s">
        <v>204</v>
      </c>
      <c r="L214"/>
      <c r="M214"/>
      <c r="N214">
        <v>250.54</v>
      </c>
      <c r="O214">
        <v>172.35</v>
      </c>
      <c r="P214">
        <v>179.7</v>
      </c>
      <c r="Q214">
        <v>40.299999999999997</v>
      </c>
      <c r="R214">
        <v>19.62</v>
      </c>
      <c r="S214">
        <v>117.48</v>
      </c>
      <c r="T214">
        <v>92.36</v>
      </c>
      <c r="U214">
        <v>64.73</v>
      </c>
      <c r="V214">
        <v>50.71</v>
      </c>
      <c r="W214">
        <v>70.510000000000005</v>
      </c>
      <c r="X214">
        <v>92.74</v>
      </c>
      <c r="Y214">
        <v>41.35</v>
      </c>
      <c r="Z214">
        <v>98.56</v>
      </c>
      <c r="AA214">
        <v>80.09</v>
      </c>
      <c r="AB214">
        <v>80.11</v>
      </c>
      <c r="AC214">
        <v>16.03</v>
      </c>
      <c r="AD214">
        <v>54.11</v>
      </c>
      <c r="AE214">
        <v>31.02</v>
      </c>
      <c r="AF214">
        <v>33.159999999999997</v>
      </c>
      <c r="AG214">
        <v>34.229999999999997</v>
      </c>
      <c r="AH214">
        <v>34.22</v>
      </c>
      <c r="AI214">
        <v>1.554</v>
      </c>
      <c r="AJ214">
        <v>37.590000000000003</v>
      </c>
      <c r="AK214" t="s">
        <v>173</v>
      </c>
      <c r="AL214"/>
      <c r="AM214"/>
      <c r="AN214">
        <v>114</v>
      </c>
      <c r="AO214"/>
      <c r="AP214"/>
      <c r="AQ214"/>
      <c r="AR214"/>
      <c r="AS214"/>
      <c r="AT214" t="s">
        <v>146</v>
      </c>
      <c r="AU214" t="s">
        <v>146</v>
      </c>
    </row>
    <row r="215" spans="1:47" ht="17" x14ac:dyDescent="0.2">
      <c r="A215" s="29">
        <v>216.00000000000108</v>
      </c>
      <c r="B215" s="3">
        <v>147</v>
      </c>
      <c r="C215" s="3">
        <v>22.213999999999999</v>
      </c>
      <c r="D215" s="34" t="s">
        <v>148</v>
      </c>
      <c r="E215" s="35" t="s">
        <v>149</v>
      </c>
      <c r="F215" s="3" t="s">
        <v>74</v>
      </c>
      <c r="G215" s="3" t="s">
        <v>74</v>
      </c>
      <c r="H215" s="35"/>
      <c r="I215" s="62">
        <v>44560</v>
      </c>
      <c r="J215" t="s">
        <v>142</v>
      </c>
      <c r="K215" t="s">
        <v>204</v>
      </c>
      <c r="L215"/>
      <c r="M215"/>
      <c r="N215" s="17">
        <v>251.68</v>
      </c>
      <c r="O215">
        <v>167.44</v>
      </c>
      <c r="P215">
        <v>175.53</v>
      </c>
      <c r="Q215">
        <v>36.43</v>
      </c>
      <c r="R215">
        <v>16.95</v>
      </c>
      <c r="S215">
        <v>114.66</v>
      </c>
      <c r="T215">
        <v>87.44</v>
      </c>
      <c r="U215">
        <v>66.400000000000006</v>
      </c>
      <c r="V215">
        <v>52.75</v>
      </c>
      <c r="W215">
        <v>70.16</v>
      </c>
      <c r="X215">
        <v>88.74</v>
      </c>
      <c r="Y215">
        <v>43.6</v>
      </c>
      <c r="Z215">
        <v>98.66</v>
      </c>
      <c r="AA215">
        <v>83.69</v>
      </c>
      <c r="AB215">
        <v>80.75</v>
      </c>
      <c r="AC215">
        <v>6.84</v>
      </c>
      <c r="AD215">
        <v>55.13</v>
      </c>
      <c r="AE215">
        <v>28.57</v>
      </c>
      <c r="AF215">
        <v>32.880000000000003</v>
      </c>
      <c r="AG215">
        <v>30.59</v>
      </c>
      <c r="AH215">
        <v>33.82</v>
      </c>
      <c r="AI215">
        <v>1.52</v>
      </c>
      <c r="AJ215">
        <v>37.409999999999997</v>
      </c>
      <c r="AK215" t="s">
        <v>173</v>
      </c>
      <c r="AL215"/>
      <c r="AM215"/>
      <c r="AN215">
        <v>123</v>
      </c>
      <c r="AO215"/>
      <c r="AP215"/>
      <c r="AQ215"/>
      <c r="AR215"/>
      <c r="AS215"/>
      <c r="AT215" t="s">
        <v>146</v>
      </c>
      <c r="AU215" t="s">
        <v>146</v>
      </c>
    </row>
    <row r="216" spans="1:47" ht="17" x14ac:dyDescent="0.2">
      <c r="A216" s="29">
        <v>216.99999999999875</v>
      </c>
      <c r="B216" s="3">
        <v>137</v>
      </c>
      <c r="C216" s="3">
        <v>22.215</v>
      </c>
      <c r="D216" s="34" t="s">
        <v>148</v>
      </c>
      <c r="E216" s="35" t="s">
        <v>149</v>
      </c>
      <c r="F216" s="3" t="s">
        <v>74</v>
      </c>
      <c r="G216" s="3" t="s">
        <v>74</v>
      </c>
      <c r="H216" s="35"/>
      <c r="I216" s="63">
        <v>44564</v>
      </c>
      <c r="J216" t="s">
        <v>142</v>
      </c>
      <c r="K216" t="s">
        <v>204</v>
      </c>
      <c r="L216"/>
      <c r="M216"/>
      <c r="N216" s="17">
        <v>260.19</v>
      </c>
      <c r="O216">
        <v>171.54</v>
      </c>
      <c r="P216">
        <v>182.55</v>
      </c>
      <c r="Q216">
        <v>38.39</v>
      </c>
      <c r="R216">
        <v>17.88</v>
      </c>
      <c r="S216">
        <v>120.92</v>
      </c>
      <c r="T216">
        <v>98.13</v>
      </c>
      <c r="U216">
        <v>59.57</v>
      </c>
      <c r="V216">
        <v>50.24</v>
      </c>
      <c r="W216">
        <v>65.739999999999995</v>
      </c>
      <c r="X216">
        <v>89.29</v>
      </c>
      <c r="Y216">
        <v>33.72</v>
      </c>
      <c r="Z216">
        <v>97.67</v>
      </c>
      <c r="AA216">
        <v>82.42</v>
      </c>
      <c r="AB216">
        <v>77.61</v>
      </c>
      <c r="AC216">
        <v>7.33</v>
      </c>
      <c r="AD216">
        <v>54.21</v>
      </c>
      <c r="AE216">
        <v>30.52</v>
      </c>
      <c r="AF216">
        <v>36.81</v>
      </c>
      <c r="AG216">
        <v>32.950000000000003</v>
      </c>
      <c r="AH216">
        <v>37.909999999999997</v>
      </c>
      <c r="AI216">
        <v>1.623</v>
      </c>
      <c r="AJ216">
        <v>41.3</v>
      </c>
      <c r="AK216" t="s">
        <v>172</v>
      </c>
      <c r="AL216"/>
      <c r="AM216"/>
      <c r="AN216">
        <v>116</v>
      </c>
      <c r="AO216"/>
      <c r="AP216"/>
      <c r="AQ216"/>
      <c r="AR216"/>
      <c r="AS216"/>
      <c r="AT216" t="s">
        <v>146</v>
      </c>
      <c r="AU216" t="s">
        <v>146</v>
      </c>
    </row>
    <row r="217" spans="1:47" ht="17" x14ac:dyDescent="0.2">
      <c r="A217" s="29">
        <v>217.99999999999997</v>
      </c>
      <c r="B217" s="3">
        <v>102</v>
      </c>
      <c r="C217" s="3">
        <v>22.216000000000001</v>
      </c>
      <c r="D217" s="34" t="s">
        <v>148</v>
      </c>
      <c r="E217" s="35" t="s">
        <v>149</v>
      </c>
      <c r="F217" s="3" t="s">
        <v>74</v>
      </c>
      <c r="G217" s="3" t="s">
        <v>74</v>
      </c>
      <c r="H217" s="35"/>
      <c r="I217" s="63">
        <v>44565</v>
      </c>
      <c r="J217" t="s">
        <v>142</v>
      </c>
      <c r="K217" t="s">
        <v>204</v>
      </c>
      <c r="L217"/>
      <c r="M217"/>
      <c r="N217" s="17">
        <v>255.49</v>
      </c>
      <c r="O217">
        <v>166.51</v>
      </c>
      <c r="P217">
        <v>174.35</v>
      </c>
      <c r="Q217">
        <v>38.85</v>
      </c>
      <c r="R217">
        <v>12.97</v>
      </c>
      <c r="S217">
        <v>118.22</v>
      </c>
      <c r="T217">
        <v>91.48</v>
      </c>
      <c r="U217">
        <v>60.7</v>
      </c>
      <c r="V217">
        <v>47.53</v>
      </c>
      <c r="W217">
        <v>66.2</v>
      </c>
      <c r="X217">
        <v>90.58</v>
      </c>
      <c r="Y217">
        <v>43.44</v>
      </c>
      <c r="Z217">
        <v>97.82</v>
      </c>
      <c r="AA217">
        <v>85.13</v>
      </c>
      <c r="AB217">
        <v>78.37</v>
      </c>
      <c r="AC217">
        <v>5.87</v>
      </c>
      <c r="AD217">
        <v>54.05</v>
      </c>
      <c r="AE217">
        <v>27.25</v>
      </c>
      <c r="AF217">
        <v>36.229999999999997</v>
      </c>
      <c r="AG217">
        <v>34.119999999999997</v>
      </c>
      <c r="AH217">
        <v>37.630000000000003</v>
      </c>
      <c r="AI217">
        <v>1.4870000000000001</v>
      </c>
      <c r="AJ217">
        <v>38.200000000000003</v>
      </c>
      <c r="AK217" t="s">
        <v>172</v>
      </c>
      <c r="AL217"/>
      <c r="AM217"/>
      <c r="AN217">
        <v>116</v>
      </c>
      <c r="AO217"/>
      <c r="AP217"/>
      <c r="AQ217"/>
      <c r="AR217"/>
      <c r="AS217"/>
      <c r="AT217" t="s">
        <v>146</v>
      </c>
      <c r="AU217" t="s">
        <v>146</v>
      </c>
    </row>
    <row r="218" spans="1:47" ht="17" x14ac:dyDescent="0.2">
      <c r="A218" s="29">
        <v>219.00000000000119</v>
      </c>
      <c r="B218" s="3">
        <v>105</v>
      </c>
      <c r="C218" s="3">
        <v>22.216999999999999</v>
      </c>
      <c r="D218" s="34" t="s">
        <v>148</v>
      </c>
      <c r="E218" s="35" t="s">
        <v>149</v>
      </c>
      <c r="F218" s="3" t="s">
        <v>74</v>
      </c>
      <c r="G218" s="3" t="s">
        <v>74</v>
      </c>
      <c r="H218" s="35"/>
      <c r="I218" s="63">
        <v>44565</v>
      </c>
      <c r="J218" t="s">
        <v>142</v>
      </c>
      <c r="K218" t="s">
        <v>204</v>
      </c>
      <c r="L218"/>
      <c r="M218"/>
      <c r="N218" s="17">
        <v>257.89999999999998</v>
      </c>
      <c r="O218">
        <v>170.87</v>
      </c>
      <c r="P218">
        <v>174.58</v>
      </c>
      <c r="Q218">
        <v>40.17</v>
      </c>
      <c r="R218">
        <v>15.5</v>
      </c>
      <c r="S218">
        <v>114.77</v>
      </c>
      <c r="T218">
        <v>88.85</v>
      </c>
      <c r="U218">
        <v>66.83</v>
      </c>
      <c r="V218">
        <v>53.69</v>
      </c>
      <c r="W218">
        <v>69.56</v>
      </c>
      <c r="X218">
        <v>89.52</v>
      </c>
      <c r="Y218">
        <v>39.880000000000003</v>
      </c>
      <c r="Z218">
        <v>96.31</v>
      </c>
      <c r="AA218">
        <v>79.45</v>
      </c>
      <c r="AB218">
        <v>83.27</v>
      </c>
      <c r="AC218">
        <v>0.73</v>
      </c>
      <c r="AD218">
        <v>54.8</v>
      </c>
      <c r="AE218">
        <v>31.02</v>
      </c>
      <c r="AF218">
        <v>35.29</v>
      </c>
      <c r="AG218">
        <v>35.29</v>
      </c>
      <c r="AH218">
        <v>35.26</v>
      </c>
      <c r="AI218">
        <v>1.5669999999999999</v>
      </c>
      <c r="AJ218">
        <v>40.04</v>
      </c>
      <c r="AK218" t="s">
        <v>172</v>
      </c>
      <c r="AL218"/>
      <c r="AM218"/>
      <c r="AN218">
        <v>118</v>
      </c>
      <c r="AO218"/>
      <c r="AP218"/>
      <c r="AQ218"/>
      <c r="AR218"/>
      <c r="AS218"/>
      <c r="AT218" t="s">
        <v>146</v>
      </c>
      <c r="AU218" t="s">
        <v>146</v>
      </c>
    </row>
    <row r="219" spans="1:47" x14ac:dyDescent="0.2">
      <c r="A219" s="29">
        <v>219.99999999999886</v>
      </c>
      <c r="B219" s="3">
        <v>65</v>
      </c>
      <c r="C219" s="3">
        <v>22.218</v>
      </c>
      <c r="D219" s="31" t="s">
        <v>140</v>
      </c>
      <c r="E219" t="s">
        <v>141</v>
      </c>
      <c r="F219" s="17" t="s">
        <v>62</v>
      </c>
      <c r="G219" s="17" t="s">
        <v>62</v>
      </c>
      <c r="H219" s="17"/>
      <c r="I219" s="32">
        <v>44648</v>
      </c>
      <c r="J219" t="s">
        <v>142</v>
      </c>
      <c r="K219" t="s">
        <v>204</v>
      </c>
      <c r="L219"/>
      <c r="M219">
        <v>317.8</v>
      </c>
      <c r="N219">
        <v>321.26</v>
      </c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>
        <v>1.4550000000000001</v>
      </c>
      <c r="AJ219">
        <v>55.89</v>
      </c>
      <c r="AK219" t="s">
        <v>172</v>
      </c>
      <c r="AL219"/>
      <c r="AM219"/>
      <c r="AN219">
        <v>93</v>
      </c>
      <c r="AO219"/>
      <c r="AP219"/>
      <c r="AQ219"/>
      <c r="AR219"/>
      <c r="AS219"/>
      <c r="AT219" t="s">
        <v>146</v>
      </c>
      <c r="AU219"/>
    </row>
    <row r="220" spans="1:47" x14ac:dyDescent="0.2">
      <c r="A220" s="29">
        <v>221.00000000000009</v>
      </c>
      <c r="B220" s="3">
        <v>70</v>
      </c>
      <c r="C220" s="3">
        <v>22.219000000000001</v>
      </c>
      <c r="D220" s="31" t="s">
        <v>140</v>
      </c>
      <c r="E220" t="s">
        <v>141</v>
      </c>
      <c r="F220" s="17" t="s">
        <v>62</v>
      </c>
      <c r="H220" s="17" t="s">
        <v>62</v>
      </c>
      <c r="I220" s="32">
        <v>44668</v>
      </c>
      <c r="J220" t="s">
        <v>142</v>
      </c>
      <c r="K220" t="s">
        <v>204</v>
      </c>
      <c r="L220"/>
      <c r="M220">
        <v>318.10000000000002</v>
      </c>
      <c r="N220"/>
      <c r="O220">
        <v>213</v>
      </c>
      <c r="P220">
        <v>226</v>
      </c>
      <c r="Q220">
        <v>48.38</v>
      </c>
      <c r="R220">
        <v>32.729999999999997</v>
      </c>
      <c r="S220">
        <v>137.9</v>
      </c>
      <c r="T220">
        <v>112.66</v>
      </c>
      <c r="U220">
        <v>64.83</v>
      </c>
      <c r="V220">
        <v>54.62</v>
      </c>
      <c r="W220">
        <v>76.55</v>
      </c>
      <c r="X220">
        <v>94.66</v>
      </c>
      <c r="Y220">
        <v>41.09</v>
      </c>
      <c r="Z220">
        <v>105.15</v>
      </c>
      <c r="AA220">
        <v>85.47</v>
      </c>
      <c r="AB220">
        <v>78.2</v>
      </c>
      <c r="AC220">
        <v>20.07</v>
      </c>
      <c r="AD220" s="55"/>
      <c r="AE220">
        <v>33.07</v>
      </c>
      <c r="AF220">
        <v>44.65</v>
      </c>
      <c r="AG220">
        <v>35.119999999999997</v>
      </c>
      <c r="AH220">
        <v>48.05</v>
      </c>
      <c r="AI220">
        <v>1.4610000000000001</v>
      </c>
      <c r="AJ220"/>
      <c r="AK220" t="s">
        <v>172</v>
      </c>
      <c r="AL220"/>
      <c r="AM220"/>
      <c r="AN220"/>
      <c r="AO220"/>
      <c r="AP220"/>
      <c r="AQ220"/>
      <c r="AR220"/>
      <c r="AS220"/>
      <c r="AT220" t="s">
        <v>146</v>
      </c>
      <c r="AU220" t="s">
        <v>147</v>
      </c>
    </row>
    <row r="221" spans="1:47" x14ac:dyDescent="0.2">
      <c r="A221" s="29">
        <v>222.00000000000131</v>
      </c>
      <c r="B221" s="9">
        <v>177</v>
      </c>
      <c r="C221" s="12" t="s">
        <v>87</v>
      </c>
      <c r="D221" s="51" t="s">
        <v>151</v>
      </c>
      <c r="E221" s="17" t="s">
        <v>162</v>
      </c>
      <c r="F221" s="3" t="s">
        <v>88</v>
      </c>
      <c r="G221" s="3" t="s">
        <v>88</v>
      </c>
      <c r="H221" s="17"/>
      <c r="I221" s="32">
        <v>44634</v>
      </c>
      <c r="J221" t="s">
        <v>142</v>
      </c>
      <c r="K221" t="s">
        <v>204</v>
      </c>
      <c r="L221" s="17">
        <v>306</v>
      </c>
      <c r="M221"/>
      <c r="N221" s="17">
        <v>316.05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>
        <v>1.647</v>
      </c>
      <c r="AJ221">
        <v>57.4</v>
      </c>
      <c r="AK221" t="s">
        <v>172</v>
      </c>
      <c r="AL221"/>
      <c r="AM221"/>
      <c r="AN221">
        <v>128</v>
      </c>
      <c r="AO221"/>
      <c r="AP221"/>
      <c r="AQ221"/>
      <c r="AR221"/>
      <c r="AS221"/>
      <c r="AT221" t="s">
        <v>146</v>
      </c>
      <c r="AU221"/>
    </row>
    <row r="222" spans="1:47" x14ac:dyDescent="0.2">
      <c r="A222" s="29">
        <v>222.99999999999898</v>
      </c>
      <c r="B222" s="9">
        <v>170</v>
      </c>
      <c r="C222" s="3">
        <v>22.221</v>
      </c>
      <c r="D222" s="51" t="s">
        <v>151</v>
      </c>
      <c r="E222" s="17" t="s">
        <v>152</v>
      </c>
      <c r="F222" s="3" t="s">
        <v>90</v>
      </c>
      <c r="H222" s="3" t="s">
        <v>90</v>
      </c>
      <c r="I222" s="32">
        <v>44622</v>
      </c>
      <c r="J222" t="s">
        <v>142</v>
      </c>
      <c r="K222" t="s">
        <v>204</v>
      </c>
      <c r="L222" s="17">
        <v>293</v>
      </c>
      <c r="M222"/>
      <c r="N222" s="17">
        <v>300.10000000000002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>
        <v>1.613</v>
      </c>
      <c r="AJ222">
        <v>61.07</v>
      </c>
      <c r="AK222"/>
      <c r="AL222"/>
      <c r="AM222"/>
      <c r="AN222">
        <v>125</v>
      </c>
      <c r="AO222"/>
      <c r="AP222"/>
      <c r="AQ222"/>
      <c r="AR222"/>
      <c r="AS222"/>
      <c r="AT222"/>
      <c r="AU222"/>
    </row>
    <row r="223" spans="1:47" x14ac:dyDescent="0.2">
      <c r="A223" s="29">
        <v>224.0000000000002</v>
      </c>
      <c r="B223" s="9">
        <v>178</v>
      </c>
      <c r="C223" s="3">
        <v>22.222000000000001</v>
      </c>
      <c r="D223" s="51" t="s">
        <v>151</v>
      </c>
      <c r="E223" s="17" t="s">
        <v>162</v>
      </c>
      <c r="F223" s="3" t="s">
        <v>88</v>
      </c>
      <c r="G223" s="3" t="s">
        <v>88</v>
      </c>
      <c r="H223" s="17"/>
      <c r="I223" s="32">
        <v>44634</v>
      </c>
      <c r="J223" t="s">
        <v>142</v>
      </c>
      <c r="K223" t="s">
        <v>204</v>
      </c>
      <c r="L223" s="17">
        <v>292</v>
      </c>
      <c r="M223"/>
      <c r="N223" s="17">
        <v>301.77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>
        <v>1.59</v>
      </c>
      <c r="AJ223">
        <v>57.9</v>
      </c>
      <c r="AK223"/>
      <c r="AL223"/>
      <c r="AM223"/>
      <c r="AN223">
        <v>129</v>
      </c>
      <c r="AO223"/>
      <c r="AP223"/>
      <c r="AQ223"/>
      <c r="AR223"/>
      <c r="AS223"/>
      <c r="AT223"/>
      <c r="AU223"/>
    </row>
    <row r="224" spans="1:47" x14ac:dyDescent="0.2">
      <c r="A224" s="29">
        <v>225.00000000000142</v>
      </c>
      <c r="B224" s="9">
        <v>158</v>
      </c>
      <c r="C224" s="3">
        <v>22.222999999999999</v>
      </c>
      <c r="D224" s="51" t="s">
        <v>151</v>
      </c>
      <c r="E224" s="17" t="s">
        <v>152</v>
      </c>
      <c r="F224" s="17" t="s">
        <v>227</v>
      </c>
      <c r="G224" s="17"/>
      <c r="H224" s="17"/>
      <c r="I224" s="32">
        <v>44609</v>
      </c>
      <c r="J224" t="s">
        <v>142</v>
      </c>
      <c r="K224" t="s">
        <v>204</v>
      </c>
      <c r="L224" s="17">
        <v>294</v>
      </c>
      <c r="M224"/>
      <c r="N224">
        <v>291.61</v>
      </c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>
        <v>1.5529999999999999</v>
      </c>
      <c r="AJ224"/>
      <c r="AK224"/>
      <c r="AL224"/>
      <c r="AM224"/>
      <c r="AN224">
        <v>108</v>
      </c>
      <c r="AO224"/>
      <c r="AP224"/>
      <c r="AQ224"/>
      <c r="AR224"/>
      <c r="AS224"/>
      <c r="AT224"/>
      <c r="AU224"/>
    </row>
    <row r="225" spans="1:47" x14ac:dyDescent="0.2">
      <c r="A225" s="29">
        <v>225.99999999999909</v>
      </c>
      <c r="B225" s="9">
        <v>153</v>
      </c>
      <c r="C225" s="3">
        <v>22.224</v>
      </c>
      <c r="D225" s="51" t="s">
        <v>151</v>
      </c>
      <c r="E225" s="17" t="s">
        <v>162</v>
      </c>
      <c r="F225" s="3" t="s">
        <v>88</v>
      </c>
      <c r="G225" s="3" t="s">
        <v>88</v>
      </c>
      <c r="H225" s="17"/>
      <c r="I225" s="32">
        <v>44606</v>
      </c>
      <c r="J225" t="s">
        <v>142</v>
      </c>
      <c r="K225" t="s">
        <v>204</v>
      </c>
      <c r="L225" s="17">
        <v>301</v>
      </c>
      <c r="M225"/>
      <c r="N225" s="17">
        <v>300.12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>
        <v>1.4870000000000001</v>
      </c>
      <c r="AJ225"/>
      <c r="AK225"/>
      <c r="AL225"/>
      <c r="AM225"/>
      <c r="AN225">
        <v>120</v>
      </c>
      <c r="AO225"/>
      <c r="AP225"/>
      <c r="AQ225"/>
      <c r="AR225"/>
      <c r="AS225"/>
      <c r="AT225"/>
      <c r="AU225"/>
    </row>
    <row r="226" spans="1:47" x14ac:dyDescent="0.2">
      <c r="A226" s="29">
        <v>227.00000000000031</v>
      </c>
      <c r="B226" s="9">
        <v>152</v>
      </c>
      <c r="C226" s="3">
        <v>22.225000000000001</v>
      </c>
      <c r="D226" s="51" t="s">
        <v>151</v>
      </c>
      <c r="E226" s="17" t="s">
        <v>162</v>
      </c>
      <c r="F226" s="3" t="s">
        <v>88</v>
      </c>
      <c r="G226" s="3" t="s">
        <v>88</v>
      </c>
      <c r="H226" s="17"/>
      <c r="I226" s="32">
        <v>44606</v>
      </c>
      <c r="J226" t="s">
        <v>142</v>
      </c>
      <c r="K226" t="s">
        <v>204</v>
      </c>
      <c r="L226" s="17">
        <v>305</v>
      </c>
      <c r="M226"/>
      <c r="N226" s="17">
        <v>309.43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>
        <v>1.7110000000000001</v>
      </c>
      <c r="AJ226"/>
      <c r="AK226"/>
      <c r="AL226"/>
      <c r="AM226"/>
      <c r="AN226">
        <v>112</v>
      </c>
      <c r="AO226"/>
      <c r="AP226"/>
      <c r="AQ226"/>
      <c r="AR226"/>
      <c r="AS226"/>
      <c r="AT226"/>
      <c r="AU226"/>
    </row>
    <row r="227" spans="1:47" x14ac:dyDescent="0.2">
      <c r="A227" s="29">
        <v>228.00000000000153</v>
      </c>
      <c r="B227" s="9">
        <v>175</v>
      </c>
      <c r="C227" s="3">
        <v>22.225999999999999</v>
      </c>
      <c r="D227" s="51" t="s">
        <v>151</v>
      </c>
      <c r="E227" s="17" t="s">
        <v>152</v>
      </c>
      <c r="F227" s="17"/>
      <c r="G227" s="17"/>
      <c r="H227" s="3" t="s">
        <v>159</v>
      </c>
      <c r="I227" s="32">
        <v>44623</v>
      </c>
      <c r="J227" t="s">
        <v>142</v>
      </c>
      <c r="K227" t="s">
        <v>204</v>
      </c>
      <c r="L227" s="17">
        <v>287</v>
      </c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</row>
    <row r="228" spans="1:47" x14ac:dyDescent="0.2">
      <c r="A228" s="29">
        <v>228.9999999999992</v>
      </c>
      <c r="B228">
        <v>77</v>
      </c>
      <c r="C228" s="3">
        <v>22.227</v>
      </c>
      <c r="D228" s="31" t="s">
        <v>140</v>
      </c>
      <c r="E228" t="s">
        <v>141</v>
      </c>
      <c r="F228" s="17" t="s">
        <v>62</v>
      </c>
      <c r="H228" s="17" t="s">
        <v>62</v>
      </c>
      <c r="I228" s="32">
        <v>44684</v>
      </c>
      <c r="J228" t="s">
        <v>142</v>
      </c>
      <c r="K228" t="s">
        <v>166</v>
      </c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</row>
    <row r="229" spans="1:47" x14ac:dyDescent="0.2">
      <c r="A229" s="29">
        <v>230.00000000000043</v>
      </c>
      <c r="B229">
        <v>78</v>
      </c>
      <c r="C229" s="3">
        <v>22.228000000000002</v>
      </c>
      <c r="D229" s="31" t="s">
        <v>140</v>
      </c>
      <c r="E229" t="s">
        <v>141</v>
      </c>
      <c r="F229" s="17" t="s">
        <v>62</v>
      </c>
      <c r="H229" s="17" t="s">
        <v>62</v>
      </c>
      <c r="I229" s="32">
        <v>44684</v>
      </c>
      <c r="J229" t="s">
        <v>142</v>
      </c>
      <c r="K229" t="s">
        <v>166</v>
      </c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</row>
    <row r="230" spans="1:47" x14ac:dyDescent="0.2">
      <c r="A230" s="29">
        <v>231.00000000000165</v>
      </c>
      <c r="B230">
        <v>239</v>
      </c>
      <c r="C230" s="3">
        <v>22.228999999999999</v>
      </c>
      <c r="D230" s="64" t="s">
        <v>223</v>
      </c>
      <c r="E230" t="s">
        <v>224</v>
      </c>
      <c r="F230" t="s">
        <v>73</v>
      </c>
      <c r="G230" t="s">
        <v>73</v>
      </c>
      <c r="H230"/>
      <c r="I230" s="32">
        <v>44646</v>
      </c>
      <c r="J230" t="s">
        <v>142</v>
      </c>
      <c r="K230" t="s">
        <v>166</v>
      </c>
      <c r="L230"/>
      <c r="M230" s="61"/>
      <c r="N230" s="61"/>
      <c r="O230">
        <v>137.36000000000001</v>
      </c>
      <c r="P230">
        <v>133.69999999999999</v>
      </c>
      <c r="Q230">
        <v>9.93</v>
      </c>
      <c r="R230">
        <v>29.52</v>
      </c>
      <c r="S230">
        <v>94.65</v>
      </c>
      <c r="T230">
        <v>74.680000000000007</v>
      </c>
      <c r="U230">
        <v>76.650000000000006</v>
      </c>
      <c r="V230">
        <v>57.29</v>
      </c>
      <c r="W230">
        <v>72.61</v>
      </c>
      <c r="X230">
        <v>45.95</v>
      </c>
      <c r="Y230">
        <v>84.98</v>
      </c>
      <c r="Z230">
        <v>91.67</v>
      </c>
      <c r="AA230">
        <v>63.24</v>
      </c>
      <c r="AB230">
        <v>79.75</v>
      </c>
      <c r="AC230">
        <v>45.49</v>
      </c>
      <c r="AD230">
        <v>44.8</v>
      </c>
      <c r="AE230">
        <v>25.26</v>
      </c>
      <c r="AF230">
        <v>27.94</v>
      </c>
      <c r="AG230">
        <v>27.77</v>
      </c>
      <c r="AH230">
        <v>27.82</v>
      </c>
      <c r="AI230">
        <v>1.5960000000000001</v>
      </c>
      <c r="AJ230"/>
      <c r="AK230"/>
      <c r="AL230">
        <v>5</v>
      </c>
      <c r="AM230"/>
      <c r="AN230"/>
      <c r="AO230">
        <v>9.8000000000000007</v>
      </c>
      <c r="AP230">
        <v>75.900000000000006</v>
      </c>
      <c r="AQ230">
        <v>31</v>
      </c>
      <c r="AR230">
        <v>46.7</v>
      </c>
      <c r="AS230">
        <v>20.6</v>
      </c>
      <c r="AT230" t="s">
        <v>147</v>
      </c>
      <c r="AU230" t="s">
        <v>147</v>
      </c>
    </row>
    <row r="231" spans="1:47" x14ac:dyDescent="0.2">
      <c r="A231" s="29">
        <v>231.99999999999932</v>
      </c>
      <c r="B231">
        <v>250</v>
      </c>
      <c r="C231" s="12" t="s">
        <v>228</v>
      </c>
      <c r="D231" s="64" t="s">
        <v>223</v>
      </c>
      <c r="E231" t="s">
        <v>224</v>
      </c>
      <c r="F231" t="s">
        <v>73</v>
      </c>
      <c r="G231" t="s">
        <v>73</v>
      </c>
      <c r="H231"/>
      <c r="I231" s="32">
        <v>44655</v>
      </c>
      <c r="J231" t="s">
        <v>142</v>
      </c>
      <c r="K231" t="s">
        <v>166</v>
      </c>
      <c r="L231"/>
      <c r="M231" s="61"/>
      <c r="N231">
        <v>205.9</v>
      </c>
      <c r="O231">
        <v>152.32</v>
      </c>
      <c r="P231">
        <v>150.08000000000001</v>
      </c>
      <c r="Q231">
        <v>15.28</v>
      </c>
      <c r="R231">
        <v>28.77</v>
      </c>
      <c r="S231">
        <v>103.25</v>
      </c>
      <c r="T231">
        <v>86.88</v>
      </c>
      <c r="U231">
        <v>81.95</v>
      </c>
      <c r="V231">
        <v>55.43</v>
      </c>
      <c r="W231">
        <v>80.680000000000007</v>
      </c>
      <c r="X231">
        <v>87.91</v>
      </c>
      <c r="Y231">
        <v>46.4</v>
      </c>
      <c r="Z231">
        <v>98.11</v>
      </c>
      <c r="AA231">
        <v>70.37</v>
      </c>
      <c r="AB231">
        <v>81.180000000000007</v>
      </c>
      <c r="AC231">
        <v>50.45</v>
      </c>
      <c r="AD231">
        <v>48.14</v>
      </c>
      <c r="AE231">
        <v>27.47</v>
      </c>
      <c r="AF231">
        <v>31.72</v>
      </c>
      <c r="AG231">
        <v>30.76</v>
      </c>
      <c r="AH231">
        <v>29.24</v>
      </c>
      <c r="AI231">
        <v>1.6679999999999999</v>
      </c>
      <c r="AJ231"/>
      <c r="AK231"/>
      <c r="AL231">
        <v>24</v>
      </c>
      <c r="AM231"/>
      <c r="AN231"/>
      <c r="AO231">
        <v>10.3</v>
      </c>
      <c r="AP231">
        <v>89.4</v>
      </c>
      <c r="AQ231">
        <v>27.2</v>
      </c>
      <c r="AR231">
        <v>51.9</v>
      </c>
      <c r="AS231">
        <v>22.7</v>
      </c>
      <c r="AT231" t="s">
        <v>147</v>
      </c>
      <c r="AU231" t="s">
        <v>225</v>
      </c>
    </row>
    <row r="232" spans="1:47" x14ac:dyDescent="0.2">
      <c r="A232" s="29">
        <v>233.00000000000054</v>
      </c>
      <c r="B232">
        <v>246</v>
      </c>
      <c r="C232" s="3">
        <v>22.231000000000002</v>
      </c>
      <c r="D232" s="64" t="s">
        <v>223</v>
      </c>
      <c r="E232" t="s">
        <v>224</v>
      </c>
      <c r="F232" t="s">
        <v>73</v>
      </c>
      <c r="G232" t="s">
        <v>73</v>
      </c>
      <c r="H232"/>
      <c r="I232" s="32">
        <v>44654</v>
      </c>
      <c r="J232" t="s">
        <v>142</v>
      </c>
      <c r="K232" t="s">
        <v>166</v>
      </c>
      <c r="L232"/>
      <c r="M232" s="61"/>
      <c r="N232">
        <v>153</v>
      </c>
      <c r="O232">
        <v>136.18</v>
      </c>
      <c r="P232">
        <v>134.16</v>
      </c>
      <c r="Q232">
        <v>30.46</v>
      </c>
      <c r="R232">
        <v>11.85</v>
      </c>
      <c r="S232">
        <v>91.49</v>
      </c>
      <c r="T232">
        <v>71.56</v>
      </c>
      <c r="U232">
        <v>78.98</v>
      </c>
      <c r="V232">
        <v>56.77</v>
      </c>
      <c r="W232">
        <v>79.77</v>
      </c>
      <c r="X232">
        <v>85.88</v>
      </c>
      <c r="Y232">
        <v>45.92</v>
      </c>
      <c r="Z232">
        <v>97.16</v>
      </c>
      <c r="AA232">
        <v>63.87</v>
      </c>
      <c r="AB232">
        <v>81.12</v>
      </c>
      <c r="AC232">
        <v>55.38</v>
      </c>
      <c r="AD232">
        <v>41.29</v>
      </c>
      <c r="AE232">
        <v>27.36</v>
      </c>
      <c r="AF232">
        <v>27.11</v>
      </c>
      <c r="AG232">
        <v>24.76</v>
      </c>
      <c r="AH232">
        <v>25.76</v>
      </c>
      <c r="AI232">
        <v>1.5589999999999999</v>
      </c>
      <c r="AJ232"/>
      <c r="AK232"/>
      <c r="AL232"/>
      <c r="AM232"/>
      <c r="AN232"/>
      <c r="AO232">
        <v>9.6999999999999993</v>
      </c>
      <c r="AP232">
        <v>79.099999999999994</v>
      </c>
      <c r="AQ232">
        <v>17.899999999999999</v>
      </c>
      <c r="AR232">
        <v>43.5</v>
      </c>
      <c r="AS232">
        <v>19</v>
      </c>
      <c r="AT232" t="s">
        <v>147</v>
      </c>
      <c r="AU232" t="s">
        <v>225</v>
      </c>
    </row>
    <row r="233" spans="1:47" ht="51" x14ac:dyDescent="0.2">
      <c r="A233" s="29">
        <v>234.00000000000176</v>
      </c>
      <c r="B233">
        <v>132</v>
      </c>
      <c r="C233" s="3">
        <v>22.231999999999999</v>
      </c>
      <c r="D233" s="65" t="s">
        <v>148</v>
      </c>
      <c r="E233" s="53" t="s">
        <v>229</v>
      </c>
      <c r="F233" s="3" t="s">
        <v>74</v>
      </c>
      <c r="G233" s="3" t="s">
        <v>74</v>
      </c>
      <c r="H233" s="53"/>
      <c r="I233" s="32">
        <v>44616</v>
      </c>
      <c r="J233" t="s">
        <v>142</v>
      </c>
      <c r="K233" t="s">
        <v>166</v>
      </c>
      <c r="L233"/>
      <c r="M233">
        <v>194</v>
      </c>
      <c r="N233">
        <v>197.6</v>
      </c>
      <c r="O233">
        <v>159.6</v>
      </c>
      <c r="P233">
        <v>164.9</v>
      </c>
      <c r="Q233">
        <v>12.2</v>
      </c>
      <c r="R233">
        <v>37.49</v>
      </c>
      <c r="S233">
        <v>114.58</v>
      </c>
      <c r="T233">
        <v>95.03</v>
      </c>
      <c r="U233">
        <v>73.41</v>
      </c>
      <c r="V233">
        <v>73.19</v>
      </c>
      <c r="W233">
        <v>65.06</v>
      </c>
      <c r="X233">
        <v>81.680000000000007</v>
      </c>
      <c r="Y233">
        <v>38.380000000000003</v>
      </c>
      <c r="Z233">
        <v>93.82</v>
      </c>
      <c r="AA233">
        <v>73.19</v>
      </c>
      <c r="AB233">
        <v>76.16</v>
      </c>
      <c r="AC233">
        <v>13.78</v>
      </c>
      <c r="AD233">
        <v>49.32</v>
      </c>
      <c r="AE233">
        <v>25.54</v>
      </c>
      <c r="AF233">
        <v>31.05</v>
      </c>
      <c r="AG233">
        <v>39</v>
      </c>
      <c r="AH233">
        <v>39.43</v>
      </c>
      <c r="AI233">
        <v>1.6060000000000001</v>
      </c>
      <c r="AJ233"/>
      <c r="AK233"/>
      <c r="AL233">
        <v>15</v>
      </c>
      <c r="AM233"/>
      <c r="AN233"/>
      <c r="AO233">
        <v>13.1</v>
      </c>
      <c r="AP233">
        <v>79.8</v>
      </c>
      <c r="AQ233">
        <v>50</v>
      </c>
      <c r="AR233">
        <v>40.1</v>
      </c>
      <c r="AS233">
        <v>17.399999999999999</v>
      </c>
      <c r="AT233" t="s">
        <v>147</v>
      </c>
      <c r="AU233" t="s">
        <v>225</v>
      </c>
    </row>
    <row r="234" spans="1:47" x14ac:dyDescent="0.2">
      <c r="A234" s="29">
        <v>234.99999999999943</v>
      </c>
      <c r="B234">
        <v>249</v>
      </c>
      <c r="C234" s="3">
        <v>22.233000000000001</v>
      </c>
      <c r="D234" s="64" t="s">
        <v>223</v>
      </c>
      <c r="E234" t="s">
        <v>224</v>
      </c>
      <c r="F234" t="s">
        <v>73</v>
      </c>
      <c r="G234" t="s">
        <v>73</v>
      </c>
      <c r="H234"/>
      <c r="I234" s="32">
        <v>44655</v>
      </c>
      <c r="J234" t="s">
        <v>142</v>
      </c>
      <c r="K234" t="s">
        <v>166</v>
      </c>
      <c r="L234"/>
      <c r="M234" s="61"/>
      <c r="N234">
        <v>200.7</v>
      </c>
      <c r="O234">
        <v>150.53</v>
      </c>
      <c r="P234">
        <v>149.65</v>
      </c>
      <c r="Q234">
        <v>30.16</v>
      </c>
      <c r="R234">
        <v>11.1</v>
      </c>
      <c r="S234">
        <v>99.69</v>
      </c>
      <c r="T234">
        <v>83.36</v>
      </c>
      <c r="U234">
        <v>79.790000000000006</v>
      </c>
      <c r="V234">
        <v>58.31</v>
      </c>
      <c r="W234">
        <v>80.930000000000007</v>
      </c>
      <c r="X234">
        <v>85.9</v>
      </c>
      <c r="Y234">
        <v>44.17</v>
      </c>
      <c r="Z234">
        <v>100.37</v>
      </c>
      <c r="AA234">
        <v>74.63</v>
      </c>
      <c r="AB234">
        <v>80.14</v>
      </c>
      <c r="AC234">
        <v>49.71</v>
      </c>
      <c r="AD234">
        <v>48.9</v>
      </c>
      <c r="AE234">
        <v>26.73</v>
      </c>
      <c r="AF234">
        <v>28.94</v>
      </c>
      <c r="AG234">
        <v>31.46</v>
      </c>
      <c r="AH234">
        <v>32.26</v>
      </c>
      <c r="AI234">
        <v>1.63</v>
      </c>
      <c r="AJ234"/>
      <c r="AK234"/>
      <c r="AL234">
        <v>25</v>
      </c>
      <c r="AM234"/>
      <c r="AN234"/>
      <c r="AO234">
        <v>9.6</v>
      </c>
      <c r="AP234">
        <v>86.9</v>
      </c>
      <c r="AQ234">
        <v>31</v>
      </c>
      <c r="AR234">
        <f>43.6+2.2</f>
        <v>45.800000000000004</v>
      </c>
      <c r="AS234">
        <v>20.100000000000001</v>
      </c>
      <c r="AT234" t="s">
        <v>147</v>
      </c>
      <c r="AU234" t="s">
        <v>225</v>
      </c>
    </row>
    <row r="235" spans="1:47" x14ac:dyDescent="0.2">
      <c r="A235" s="29">
        <v>236.00000000000065</v>
      </c>
      <c r="B235">
        <v>197</v>
      </c>
      <c r="C235" s="3">
        <v>22.234000000000002</v>
      </c>
      <c r="D235" s="66" t="s">
        <v>151</v>
      </c>
      <c r="E235" t="s">
        <v>162</v>
      </c>
      <c r="F235" s="3" t="s">
        <v>88</v>
      </c>
      <c r="G235" s="3" t="s">
        <v>88</v>
      </c>
      <c r="H235"/>
      <c r="I235" s="32">
        <v>44669</v>
      </c>
      <c r="J235" t="s">
        <v>142</v>
      </c>
      <c r="K235" t="s">
        <v>166</v>
      </c>
      <c r="L235"/>
      <c r="M235" s="17">
        <v>242</v>
      </c>
      <c r="N235">
        <v>238</v>
      </c>
      <c r="O235">
        <v>184.2</v>
      </c>
      <c r="P235">
        <v>195.25</v>
      </c>
      <c r="Q235">
        <v>43.18</v>
      </c>
      <c r="R235">
        <v>19.23</v>
      </c>
      <c r="S235">
        <v>127.15</v>
      </c>
      <c r="T235">
        <v>97.55</v>
      </c>
      <c r="U235">
        <v>68.989999999999995</v>
      </c>
      <c r="V235">
        <v>53.4</v>
      </c>
      <c r="W235">
        <v>76.38</v>
      </c>
      <c r="X235">
        <v>96.31</v>
      </c>
      <c r="Y235">
        <v>43.47</v>
      </c>
      <c r="Z235">
        <v>105.05</v>
      </c>
      <c r="AA235">
        <v>80.38</v>
      </c>
      <c r="AB235">
        <v>83.7</v>
      </c>
      <c r="AC235">
        <v>17.96</v>
      </c>
      <c r="AD235">
        <v>43.38</v>
      </c>
      <c r="AE235">
        <v>32.44</v>
      </c>
      <c r="AF235">
        <v>43.58</v>
      </c>
      <c r="AG235">
        <v>40.74</v>
      </c>
      <c r="AH235">
        <v>46.82</v>
      </c>
      <c r="AI235">
        <v>1.7849999999999999</v>
      </c>
      <c r="AJ235"/>
      <c r="AK235"/>
      <c r="AL235">
        <v>6</v>
      </c>
      <c r="AM235"/>
      <c r="AN235"/>
      <c r="AO235">
        <v>11.2</v>
      </c>
      <c r="AP235">
        <v>105.7</v>
      </c>
      <c r="AQ235">
        <v>59.5</v>
      </c>
      <c r="AR235">
        <v>54.4</v>
      </c>
      <c r="AS235">
        <v>23.5</v>
      </c>
      <c r="AT235" t="s">
        <v>147</v>
      </c>
      <c r="AU235" t="s">
        <v>147</v>
      </c>
    </row>
    <row r="236" spans="1:47" ht="22" customHeight="1" x14ac:dyDescent="0.2">
      <c r="A236" s="29">
        <v>236.99999999999832</v>
      </c>
      <c r="B236">
        <v>195</v>
      </c>
      <c r="C236" s="3">
        <v>22.234999999999999</v>
      </c>
      <c r="D236" s="66" t="s">
        <v>151</v>
      </c>
      <c r="E236" t="s">
        <v>162</v>
      </c>
      <c r="F236" s="3" t="s">
        <v>88</v>
      </c>
      <c r="G236" s="3" t="s">
        <v>88</v>
      </c>
      <c r="H236"/>
      <c r="I236" s="32">
        <v>44669</v>
      </c>
      <c r="J236" t="s">
        <v>142</v>
      </c>
      <c r="K236" t="s">
        <v>166</v>
      </c>
      <c r="L236"/>
      <c r="M236" s="17">
        <v>241</v>
      </c>
      <c r="N236">
        <v>237.2</v>
      </c>
      <c r="O236">
        <v>186.13</v>
      </c>
      <c r="P236">
        <v>200.24</v>
      </c>
      <c r="Q236">
        <v>42.84</v>
      </c>
      <c r="R236">
        <v>21.87</v>
      </c>
      <c r="S236">
        <v>127.41</v>
      </c>
      <c r="T236">
        <v>97.17</v>
      </c>
      <c r="U236">
        <v>64.900000000000006</v>
      </c>
      <c r="V236">
        <v>49.89</v>
      </c>
      <c r="W236">
        <v>74.94</v>
      </c>
      <c r="X236">
        <v>96.24</v>
      </c>
      <c r="Y236">
        <v>43.67</v>
      </c>
      <c r="Z236">
        <v>104.74</v>
      </c>
      <c r="AA236">
        <v>81.42</v>
      </c>
      <c r="AB236">
        <v>81</v>
      </c>
      <c r="AC236">
        <v>11.77</v>
      </c>
      <c r="AD236">
        <v>44.84</v>
      </c>
      <c r="AE236">
        <v>31.82</v>
      </c>
      <c r="AF236">
        <v>44.13</v>
      </c>
      <c r="AG236">
        <v>39.07</v>
      </c>
      <c r="AH236">
        <v>46.19</v>
      </c>
      <c r="AI236">
        <v>1.7210000000000001</v>
      </c>
      <c r="AJ236"/>
      <c r="AK236"/>
      <c r="AL236">
        <v>14</v>
      </c>
      <c r="AM236"/>
      <c r="AN236"/>
      <c r="AO236">
        <v>10</v>
      </c>
      <c r="AP236" s="67"/>
      <c r="AQ236" s="67"/>
      <c r="AR236">
        <v>54</v>
      </c>
      <c r="AS236">
        <v>23.4</v>
      </c>
      <c r="AT236" t="s">
        <v>147</v>
      </c>
      <c r="AU236" t="s">
        <v>147</v>
      </c>
    </row>
    <row r="237" spans="1:47" x14ac:dyDescent="0.2">
      <c r="A237" s="29">
        <v>237.99999999999955</v>
      </c>
      <c r="B237">
        <v>183</v>
      </c>
      <c r="C237" s="3">
        <v>22.236000000000001</v>
      </c>
      <c r="D237" s="66" t="s">
        <v>151</v>
      </c>
      <c r="E237" t="s">
        <v>162</v>
      </c>
      <c r="F237" s="3" t="s">
        <v>88</v>
      </c>
      <c r="G237" s="3" t="s">
        <v>88</v>
      </c>
      <c r="H237"/>
      <c r="I237" s="32">
        <v>44644</v>
      </c>
      <c r="J237" t="s">
        <v>142</v>
      </c>
      <c r="K237" t="s">
        <v>166</v>
      </c>
      <c r="L237"/>
      <c r="M237" s="17">
        <v>218</v>
      </c>
      <c r="N237">
        <v>221.7</v>
      </c>
      <c r="O237">
        <v>171.9</v>
      </c>
      <c r="P237">
        <v>188.59</v>
      </c>
      <c r="Q237">
        <v>41.27</v>
      </c>
      <c r="R237">
        <v>18.239999999999998</v>
      </c>
      <c r="S237">
        <v>118.91</v>
      </c>
      <c r="T237">
        <v>92.31</v>
      </c>
      <c r="U237">
        <v>65.56</v>
      </c>
      <c r="V237">
        <v>50.4</v>
      </c>
      <c r="W237">
        <v>71.89</v>
      </c>
      <c r="X237">
        <v>94.18</v>
      </c>
      <c r="Y237">
        <v>42.38</v>
      </c>
      <c r="Z237">
        <v>103.98</v>
      </c>
      <c r="AA237">
        <v>81.45</v>
      </c>
      <c r="AB237">
        <v>84.32</v>
      </c>
      <c r="AC237">
        <v>19.809999999999999</v>
      </c>
      <c r="AD237">
        <v>44.1</v>
      </c>
      <c r="AE237">
        <v>32.61</v>
      </c>
      <c r="AF237">
        <v>39.840000000000003</v>
      </c>
      <c r="AG237">
        <v>35.549999999999997</v>
      </c>
      <c r="AH237">
        <v>42.88</v>
      </c>
      <c r="AI237">
        <v>1.6</v>
      </c>
      <c r="AJ237"/>
      <c r="AK237"/>
      <c r="AL237">
        <v>10</v>
      </c>
      <c r="AM237"/>
      <c r="AN237"/>
      <c r="AO237">
        <v>9.6999999999999993</v>
      </c>
      <c r="AP237">
        <v>82.2</v>
      </c>
      <c r="AQ237">
        <v>70.8</v>
      </c>
      <c r="AR237">
        <v>46.7</v>
      </c>
      <c r="AS237">
        <v>20.5</v>
      </c>
      <c r="AT237" t="s">
        <v>147</v>
      </c>
      <c r="AU237" t="s">
        <v>147</v>
      </c>
    </row>
    <row r="238" spans="1:47" x14ac:dyDescent="0.2">
      <c r="A238" s="29">
        <v>239.00000000000077</v>
      </c>
      <c r="B238">
        <v>186</v>
      </c>
      <c r="C238" s="3">
        <v>22.236999999999998</v>
      </c>
      <c r="D238" s="66" t="s">
        <v>151</v>
      </c>
      <c r="E238" t="s">
        <v>162</v>
      </c>
      <c r="F238" s="3" t="s">
        <v>88</v>
      </c>
      <c r="G238" s="3" t="s">
        <v>88</v>
      </c>
      <c r="H238"/>
      <c r="I238" s="32">
        <v>44644</v>
      </c>
      <c r="J238" t="s">
        <v>142</v>
      </c>
      <c r="K238" t="s">
        <v>166</v>
      </c>
      <c r="L238"/>
      <c r="M238" s="17">
        <v>217</v>
      </c>
      <c r="N238">
        <v>222.2</v>
      </c>
      <c r="O238">
        <v>158.71</v>
      </c>
      <c r="P238">
        <v>176.17</v>
      </c>
      <c r="Q238">
        <v>36.020000000000003</v>
      </c>
      <c r="R238">
        <v>13.99</v>
      </c>
      <c r="S238">
        <v>114.56</v>
      </c>
      <c r="T238">
        <v>90.15</v>
      </c>
      <c r="U238">
        <v>62.72</v>
      </c>
      <c r="V238">
        <v>49.83</v>
      </c>
      <c r="W238">
        <v>71.61</v>
      </c>
      <c r="X238">
        <v>94.31</v>
      </c>
      <c r="Y238">
        <v>42.21</v>
      </c>
      <c r="Z238">
        <v>103.19</v>
      </c>
      <c r="AA238">
        <v>80.73</v>
      </c>
      <c r="AB238">
        <v>83.03</v>
      </c>
      <c r="AC238">
        <v>12.25</v>
      </c>
      <c r="AD238">
        <v>47.14</v>
      </c>
      <c r="AE238">
        <v>25.08</v>
      </c>
      <c r="AF238">
        <v>39.67</v>
      </c>
      <c r="AG238">
        <v>35.270000000000003</v>
      </c>
      <c r="AH238">
        <v>43.04</v>
      </c>
      <c r="AI238">
        <v>1.631</v>
      </c>
      <c r="AJ238"/>
      <c r="AK238"/>
      <c r="AL238">
        <v>16</v>
      </c>
      <c r="AM238"/>
      <c r="AN238"/>
      <c r="AO238">
        <v>9.9</v>
      </c>
      <c r="AP238">
        <v>88.1</v>
      </c>
      <c r="AQ238">
        <v>58.7</v>
      </c>
      <c r="AR238">
        <v>46.6</v>
      </c>
      <c r="AS238">
        <v>20.2</v>
      </c>
      <c r="AT238" t="s">
        <v>147</v>
      </c>
      <c r="AU238" t="s">
        <v>147</v>
      </c>
    </row>
    <row r="239" spans="1:47" x14ac:dyDescent="0.2">
      <c r="A239" s="29">
        <v>239.99999999999844</v>
      </c>
      <c r="B239">
        <v>187</v>
      </c>
      <c r="C239" s="3">
        <v>22.238</v>
      </c>
      <c r="D239" s="66" t="s">
        <v>151</v>
      </c>
      <c r="E239" t="s">
        <v>162</v>
      </c>
      <c r="F239" s="3" t="s">
        <v>88</v>
      </c>
      <c r="G239" s="3" t="s">
        <v>88</v>
      </c>
      <c r="H239"/>
      <c r="I239" s="32">
        <v>44644</v>
      </c>
      <c r="J239" t="s">
        <v>142</v>
      </c>
      <c r="K239" t="s">
        <v>166</v>
      </c>
      <c r="L239"/>
      <c r="M239" s="17">
        <v>225</v>
      </c>
      <c r="N239">
        <v>229.8</v>
      </c>
      <c r="O239">
        <v>173.87</v>
      </c>
      <c r="P239">
        <v>187.18</v>
      </c>
      <c r="Q239">
        <v>40.07</v>
      </c>
      <c r="R239">
        <v>18.59</v>
      </c>
      <c r="S239">
        <v>119.21</v>
      </c>
      <c r="T239">
        <v>95.24</v>
      </c>
      <c r="U239">
        <v>68.489999999999995</v>
      </c>
      <c r="V239">
        <v>52.13</v>
      </c>
      <c r="W239">
        <v>73.77</v>
      </c>
      <c r="X239">
        <v>97.1</v>
      </c>
      <c r="Y239">
        <v>43.4</v>
      </c>
      <c r="Z239">
        <v>105.53</v>
      </c>
      <c r="AA239">
        <v>81.709999999999994</v>
      </c>
      <c r="AB239">
        <v>86.33</v>
      </c>
      <c r="AC239">
        <v>23.67</v>
      </c>
      <c r="AD239">
        <v>43.87</v>
      </c>
      <c r="AE239">
        <v>29.71</v>
      </c>
      <c r="AF239">
        <v>39.6</v>
      </c>
      <c r="AG239">
        <v>40.659999999999997</v>
      </c>
      <c r="AH239">
        <v>40</v>
      </c>
      <c r="AI239">
        <v>1.7070000000000001</v>
      </c>
      <c r="AJ239"/>
      <c r="AK239"/>
      <c r="AL239">
        <v>10</v>
      </c>
      <c r="AM239"/>
      <c r="AN239"/>
      <c r="AO239">
        <v>11.1</v>
      </c>
      <c r="AP239">
        <v>82.8</v>
      </c>
      <c r="AQ239">
        <v>73.099999999999994</v>
      </c>
      <c r="AR239">
        <v>50.2</v>
      </c>
      <c r="AS239">
        <v>21.9</v>
      </c>
      <c r="AT239" t="s">
        <v>147</v>
      </c>
      <c r="AU239" t="s">
        <v>147</v>
      </c>
    </row>
    <row r="240" spans="1:47" x14ac:dyDescent="0.2">
      <c r="A240" s="29">
        <v>240.99999999999966</v>
      </c>
      <c r="B240">
        <v>200</v>
      </c>
      <c r="C240" s="3">
        <v>22.239000000000001</v>
      </c>
      <c r="D240" s="66" t="s">
        <v>151</v>
      </c>
      <c r="E240" t="s">
        <v>162</v>
      </c>
      <c r="F240" s="3" t="s">
        <v>88</v>
      </c>
      <c r="G240" s="3" t="s">
        <v>88</v>
      </c>
      <c r="H240"/>
      <c r="I240" s="32">
        <v>44669</v>
      </c>
      <c r="J240" t="s">
        <v>142</v>
      </c>
      <c r="K240" t="s">
        <v>166</v>
      </c>
      <c r="L240"/>
      <c r="M240" s="17">
        <v>222</v>
      </c>
      <c r="N240">
        <v>218.6</v>
      </c>
      <c r="O240">
        <v>181.05</v>
      </c>
      <c r="P240">
        <v>193.31</v>
      </c>
      <c r="Q240">
        <v>42.23</v>
      </c>
      <c r="R240">
        <v>22.52</v>
      </c>
      <c r="S240">
        <v>120.4</v>
      </c>
      <c r="T240">
        <v>90.52</v>
      </c>
      <c r="U240">
        <v>65.760000000000005</v>
      </c>
      <c r="V240">
        <v>50.65</v>
      </c>
      <c r="W240">
        <v>74.28</v>
      </c>
      <c r="X240">
        <v>96.92</v>
      </c>
      <c r="Y240">
        <v>42.77</v>
      </c>
      <c r="Z240">
        <v>106.58</v>
      </c>
      <c r="AA240">
        <v>81.63</v>
      </c>
      <c r="AB240">
        <v>85.37</v>
      </c>
      <c r="AC240">
        <v>16.04</v>
      </c>
      <c r="AD240">
        <v>42.96</v>
      </c>
      <c r="AE240">
        <v>32.35</v>
      </c>
      <c r="AF240">
        <v>44.72</v>
      </c>
      <c r="AG240">
        <v>39.69</v>
      </c>
      <c r="AH240">
        <v>44.48</v>
      </c>
      <c r="AI240">
        <v>1.671</v>
      </c>
      <c r="AJ240"/>
      <c r="AK240"/>
      <c r="AL240">
        <v>9</v>
      </c>
      <c r="AM240"/>
      <c r="AN240"/>
      <c r="AO240">
        <v>10.5</v>
      </c>
      <c r="AP240">
        <v>90.9</v>
      </c>
      <c r="AQ240">
        <v>58.3</v>
      </c>
      <c r="AR240">
        <v>47.5</v>
      </c>
      <c r="AS240">
        <v>20.9</v>
      </c>
      <c r="AT240" t="s">
        <v>147</v>
      </c>
      <c r="AU240" t="s">
        <v>147</v>
      </c>
    </row>
    <row r="241" spans="1:47" x14ac:dyDescent="0.2">
      <c r="A241" s="29">
        <v>242.00000000000088</v>
      </c>
      <c r="B241">
        <v>192</v>
      </c>
      <c r="C241" s="5" t="s">
        <v>230</v>
      </c>
      <c r="D241" s="66" t="s">
        <v>151</v>
      </c>
      <c r="E241" t="s">
        <v>162</v>
      </c>
      <c r="F241" s="3" t="s">
        <v>88</v>
      </c>
      <c r="G241" s="3" t="s">
        <v>88</v>
      </c>
      <c r="H241"/>
      <c r="I241" s="32">
        <v>44657</v>
      </c>
      <c r="J241" t="s">
        <v>142</v>
      </c>
      <c r="K241" t="s">
        <v>166</v>
      </c>
      <c r="L241"/>
      <c r="M241" s="17">
        <v>234</v>
      </c>
      <c r="N241">
        <v>239.8</v>
      </c>
      <c r="O241">
        <v>176.15</v>
      </c>
      <c r="P241">
        <v>184.65</v>
      </c>
      <c r="Q241">
        <v>37.78</v>
      </c>
      <c r="R241">
        <v>17.100000000000001</v>
      </c>
      <c r="S241">
        <v>121.59</v>
      </c>
      <c r="T241">
        <v>94.87</v>
      </c>
      <c r="U241">
        <v>67.819999999999993</v>
      </c>
      <c r="V241">
        <v>53.64</v>
      </c>
      <c r="W241">
        <v>74</v>
      </c>
      <c r="X241">
        <v>95.6</v>
      </c>
      <c r="Y241">
        <v>43.35</v>
      </c>
      <c r="Z241">
        <v>106.36</v>
      </c>
      <c r="AA241">
        <v>81.75</v>
      </c>
      <c r="AB241">
        <v>83.16</v>
      </c>
      <c r="AC241">
        <v>18.600000000000001</v>
      </c>
      <c r="AD241">
        <v>45.17</v>
      </c>
      <c r="AE241">
        <v>29.31</v>
      </c>
      <c r="AF241">
        <v>36.92</v>
      </c>
      <c r="AG241">
        <v>37.28</v>
      </c>
      <c r="AH241">
        <v>39.909999999999997</v>
      </c>
      <c r="AI241">
        <v>1.9830000000000001</v>
      </c>
      <c r="AJ241"/>
      <c r="AK241"/>
      <c r="AL241">
        <v>10</v>
      </c>
      <c r="AM241"/>
      <c r="AN241"/>
      <c r="AO241">
        <v>13</v>
      </c>
      <c r="AP241">
        <v>102.4</v>
      </c>
      <c r="AQ241">
        <v>56.4</v>
      </c>
      <c r="AR241">
        <v>55.4</v>
      </c>
      <c r="AS241">
        <v>24.1</v>
      </c>
      <c r="AT241" t="s">
        <v>147</v>
      </c>
      <c r="AU241" t="s">
        <v>147</v>
      </c>
    </row>
    <row r="242" spans="1:47" x14ac:dyDescent="0.2">
      <c r="A242" s="29">
        <v>242.99999999999855</v>
      </c>
      <c r="B242">
        <v>193</v>
      </c>
      <c r="C242" s="3">
        <v>22.241</v>
      </c>
      <c r="D242" s="66" t="s">
        <v>151</v>
      </c>
      <c r="E242" t="s">
        <v>162</v>
      </c>
      <c r="F242" s="3" t="s">
        <v>88</v>
      </c>
      <c r="G242" s="3" t="s">
        <v>88</v>
      </c>
      <c r="H242"/>
      <c r="I242" s="32">
        <v>44657</v>
      </c>
      <c r="J242" t="s">
        <v>142</v>
      </c>
      <c r="K242" t="s">
        <v>166</v>
      </c>
      <c r="L242"/>
      <c r="M242" s="17">
        <v>235</v>
      </c>
      <c r="N242">
        <v>238</v>
      </c>
      <c r="O242">
        <v>182.32</v>
      </c>
      <c r="P242">
        <v>193.88</v>
      </c>
      <c r="Q242">
        <v>39.86</v>
      </c>
      <c r="R242">
        <v>19.05</v>
      </c>
      <c r="S242">
        <v>125.26</v>
      </c>
      <c r="T242">
        <v>97.54</v>
      </c>
      <c r="U242">
        <v>63.01</v>
      </c>
      <c r="V242">
        <v>50.05</v>
      </c>
      <c r="W242">
        <v>73.08</v>
      </c>
      <c r="X242">
        <v>94.33</v>
      </c>
      <c r="Y242">
        <v>42.85</v>
      </c>
      <c r="Z242">
        <v>103.34</v>
      </c>
      <c r="AA242">
        <v>79.02</v>
      </c>
      <c r="AB242">
        <v>83.02</v>
      </c>
      <c r="AC242">
        <v>12.96</v>
      </c>
      <c r="AD242">
        <v>43.54</v>
      </c>
      <c r="AE242">
        <v>26.88</v>
      </c>
      <c r="AF242">
        <v>41.81</v>
      </c>
      <c r="AG242">
        <v>37.22</v>
      </c>
      <c r="AH242">
        <v>46.14</v>
      </c>
      <c r="AI242">
        <v>1.8220000000000001</v>
      </c>
      <c r="AJ242"/>
      <c r="AK242"/>
      <c r="AL242">
        <v>16</v>
      </c>
      <c r="AM242"/>
      <c r="AN242"/>
      <c r="AO242">
        <v>11.2</v>
      </c>
      <c r="AP242">
        <v>100.5</v>
      </c>
      <c r="AQ242">
        <v>51.6</v>
      </c>
      <c r="AR242">
        <v>55.5</v>
      </c>
      <c r="AS242">
        <v>24.3</v>
      </c>
      <c r="AT242" t="s">
        <v>147</v>
      </c>
      <c r="AU242" t="s">
        <v>147</v>
      </c>
    </row>
    <row r="243" spans="1:47" x14ac:dyDescent="0.2">
      <c r="A243" s="29">
        <v>243.99999999999977</v>
      </c>
      <c r="B243">
        <v>184</v>
      </c>
      <c r="C243" s="3">
        <v>22.242000000000001</v>
      </c>
      <c r="D243" s="66" t="s">
        <v>151</v>
      </c>
      <c r="E243" t="s">
        <v>162</v>
      </c>
      <c r="F243" s="3" t="s">
        <v>88</v>
      </c>
      <c r="G243" s="3" t="s">
        <v>88</v>
      </c>
      <c r="H243"/>
      <c r="I243" s="32">
        <v>44644</v>
      </c>
      <c r="J243" t="s">
        <v>142</v>
      </c>
      <c r="K243" t="s">
        <v>166</v>
      </c>
      <c r="L243"/>
      <c r="M243" s="17">
        <v>229</v>
      </c>
      <c r="N243">
        <v>228.3</v>
      </c>
      <c r="O243">
        <v>185.24</v>
      </c>
      <c r="P243">
        <v>191.5</v>
      </c>
      <c r="Q243">
        <v>42.89</v>
      </c>
      <c r="R243">
        <v>20.96</v>
      </c>
      <c r="S243">
        <v>122.47</v>
      </c>
      <c r="T243">
        <v>89.48</v>
      </c>
      <c r="U243">
        <v>64.98</v>
      </c>
      <c r="V243">
        <v>50.39</v>
      </c>
      <c r="W243">
        <v>72.06</v>
      </c>
      <c r="X243">
        <v>95.24</v>
      </c>
      <c r="Y243">
        <v>43.19</v>
      </c>
      <c r="Z243">
        <v>102.97</v>
      </c>
      <c r="AA243">
        <v>94.98</v>
      </c>
      <c r="AB243">
        <v>84.32</v>
      </c>
      <c r="AC243">
        <v>11.13</v>
      </c>
      <c r="AD243">
        <v>46.2</v>
      </c>
      <c r="AE243">
        <v>35.159999999999997</v>
      </c>
      <c r="AF243">
        <v>44.51</v>
      </c>
      <c r="AG243">
        <v>39.94</v>
      </c>
      <c r="AH243">
        <v>46.12</v>
      </c>
      <c r="AI243">
        <v>1.9850000000000001</v>
      </c>
      <c r="AJ243"/>
      <c r="AK243"/>
      <c r="AL243">
        <v>13</v>
      </c>
      <c r="AM243"/>
      <c r="AN243"/>
      <c r="AO243">
        <v>11</v>
      </c>
      <c r="AP243">
        <v>91.1</v>
      </c>
      <c r="AQ243">
        <v>58.6</v>
      </c>
      <c r="AR243">
        <v>53</v>
      </c>
      <c r="AS243">
        <v>23.7</v>
      </c>
      <c r="AT243" t="s">
        <v>147</v>
      </c>
      <c r="AU243" t="s">
        <v>147</v>
      </c>
    </row>
    <row r="244" spans="1:47" x14ac:dyDescent="0.2">
      <c r="A244" s="29">
        <v>245.00000000000099</v>
      </c>
      <c r="B244">
        <v>194</v>
      </c>
      <c r="C244" s="3">
        <v>22.242999999999999</v>
      </c>
      <c r="D244" s="66" t="s">
        <v>151</v>
      </c>
      <c r="E244" t="s">
        <v>162</v>
      </c>
      <c r="F244" s="3" t="s">
        <v>88</v>
      </c>
      <c r="G244" s="3" t="s">
        <v>88</v>
      </c>
      <c r="H244"/>
      <c r="I244" s="32">
        <v>44657</v>
      </c>
      <c r="J244" t="s">
        <v>142</v>
      </c>
      <c r="K244" t="s">
        <v>166</v>
      </c>
      <c r="L244"/>
      <c r="M244" s="17">
        <v>234</v>
      </c>
      <c r="N244">
        <v>234.9</v>
      </c>
      <c r="O244">
        <v>180.88</v>
      </c>
      <c r="P244">
        <v>192.32</v>
      </c>
      <c r="Q244">
        <v>40.659999999999997</v>
      </c>
      <c r="R244">
        <v>20.93</v>
      </c>
      <c r="S244">
        <v>122.02</v>
      </c>
      <c r="T244">
        <v>92.01</v>
      </c>
      <c r="U244">
        <v>67.33</v>
      </c>
      <c r="V244">
        <v>51.75</v>
      </c>
      <c r="W244">
        <v>72.97</v>
      </c>
      <c r="X244">
        <v>95.37</v>
      </c>
      <c r="Y244">
        <v>43.7</v>
      </c>
      <c r="Z244">
        <v>105.34</v>
      </c>
      <c r="AA244">
        <v>80.78</v>
      </c>
      <c r="AB244">
        <v>80.86</v>
      </c>
      <c r="AC244">
        <v>16.59</v>
      </c>
      <c r="AD244">
        <v>46.42</v>
      </c>
      <c r="AE244">
        <v>30.79</v>
      </c>
      <c r="AF244">
        <v>40.25</v>
      </c>
      <c r="AG244">
        <v>39.68</v>
      </c>
      <c r="AH244">
        <v>42.89</v>
      </c>
      <c r="AI244">
        <v>1.9019999999999999</v>
      </c>
      <c r="AJ244"/>
      <c r="AK244"/>
      <c r="AL244">
        <v>23</v>
      </c>
      <c r="AM244"/>
      <c r="AN244"/>
      <c r="AO244">
        <v>10.5</v>
      </c>
      <c r="AP244">
        <v>98.7</v>
      </c>
      <c r="AQ244">
        <v>45.9</v>
      </c>
      <c r="AR244">
        <v>54.2</v>
      </c>
      <c r="AS244">
        <v>24.1</v>
      </c>
      <c r="AT244" t="s">
        <v>147</v>
      </c>
      <c r="AU244" t="s">
        <v>147</v>
      </c>
    </row>
    <row r="245" spans="1:47" x14ac:dyDescent="0.2">
      <c r="A245" s="29">
        <v>245.99999999999866</v>
      </c>
      <c r="B245">
        <v>198</v>
      </c>
      <c r="C245" s="3">
        <v>22.244</v>
      </c>
      <c r="D245" s="66" t="s">
        <v>151</v>
      </c>
      <c r="E245" t="s">
        <v>162</v>
      </c>
      <c r="F245" s="3" t="s">
        <v>88</v>
      </c>
      <c r="G245" s="3" t="s">
        <v>88</v>
      </c>
      <c r="H245"/>
      <c r="I245" s="32">
        <v>44669</v>
      </c>
      <c r="J245" t="s">
        <v>142</v>
      </c>
      <c r="K245" t="s">
        <v>166</v>
      </c>
      <c r="L245"/>
      <c r="M245" s="17">
        <v>224</v>
      </c>
      <c r="N245">
        <v>225</v>
      </c>
      <c r="O245">
        <v>176.21</v>
      </c>
      <c r="P245">
        <v>191.67</v>
      </c>
      <c r="Q245">
        <v>42.73</v>
      </c>
      <c r="R245">
        <v>18.329999999999998</v>
      </c>
      <c r="S245">
        <v>120.47</v>
      </c>
      <c r="T245">
        <v>90.94</v>
      </c>
      <c r="U245">
        <v>68.42</v>
      </c>
      <c r="V245">
        <v>54.61</v>
      </c>
      <c r="W245">
        <v>75.59</v>
      </c>
      <c r="X245">
        <v>97.97</v>
      </c>
      <c r="Y245">
        <v>44.48</v>
      </c>
      <c r="Z245">
        <v>106.2</v>
      </c>
      <c r="AA245">
        <v>82.35</v>
      </c>
      <c r="AB245">
        <v>85.22</v>
      </c>
      <c r="AC245">
        <v>17.48</v>
      </c>
      <c r="AD245">
        <v>43.77</v>
      </c>
      <c r="AE245">
        <v>29.08</v>
      </c>
      <c r="AF245">
        <v>43.33</v>
      </c>
      <c r="AG245">
        <v>40.840000000000003</v>
      </c>
      <c r="AH245">
        <v>45.36</v>
      </c>
      <c r="AI245">
        <v>1.7050000000000001</v>
      </c>
      <c r="AJ245"/>
      <c r="AK245"/>
      <c r="AL245">
        <v>7</v>
      </c>
      <c r="AM245"/>
      <c r="AN245"/>
      <c r="AO245">
        <v>10.3</v>
      </c>
      <c r="AP245">
        <v>91.9</v>
      </c>
      <c r="AQ245">
        <v>65.599999999999994</v>
      </c>
      <c r="AR245">
        <v>45.1</v>
      </c>
      <c r="AS245" s="18">
        <v>45.1</v>
      </c>
      <c r="AT245" t="s">
        <v>147</v>
      </c>
      <c r="AU245" t="s">
        <v>147</v>
      </c>
    </row>
    <row r="246" spans="1:47" x14ac:dyDescent="0.2">
      <c r="A246" s="29">
        <v>246.99999999999989</v>
      </c>
      <c r="B246">
        <v>185</v>
      </c>
      <c r="C246" s="3">
        <v>22.245000000000001</v>
      </c>
      <c r="D246" s="66" t="s">
        <v>151</v>
      </c>
      <c r="E246" t="s">
        <v>162</v>
      </c>
      <c r="F246" s="3" t="s">
        <v>88</v>
      </c>
      <c r="G246" s="3" t="s">
        <v>88</v>
      </c>
      <c r="H246"/>
      <c r="I246" s="32">
        <v>44644</v>
      </c>
      <c r="J246" t="s">
        <v>142</v>
      </c>
      <c r="K246" t="s">
        <v>166</v>
      </c>
      <c r="L246"/>
      <c r="M246" s="17">
        <v>232</v>
      </c>
      <c r="N246">
        <v>235</v>
      </c>
      <c r="O246">
        <v>182.21</v>
      </c>
      <c r="P246">
        <v>193.42</v>
      </c>
      <c r="Q246">
        <v>44.94</v>
      </c>
      <c r="R246">
        <v>18.68</v>
      </c>
      <c r="S246">
        <v>122.54</v>
      </c>
      <c r="T246">
        <v>90.72</v>
      </c>
      <c r="U246">
        <v>68.66</v>
      </c>
      <c r="V246">
        <v>55.17</v>
      </c>
      <c r="W246">
        <v>73.42</v>
      </c>
      <c r="X246">
        <v>93.39</v>
      </c>
      <c r="Y246">
        <v>42.75</v>
      </c>
      <c r="Z246">
        <v>103.24</v>
      </c>
      <c r="AA246">
        <v>79.44</v>
      </c>
      <c r="AB246">
        <v>85.68</v>
      </c>
      <c r="AC246">
        <v>19</v>
      </c>
      <c r="AD246">
        <v>46.2</v>
      </c>
      <c r="AE246">
        <v>33.39</v>
      </c>
      <c r="AF246">
        <v>42.72</v>
      </c>
      <c r="AG246">
        <v>40.299999999999997</v>
      </c>
      <c r="AH246">
        <v>46.5</v>
      </c>
      <c r="AI246">
        <v>1.772</v>
      </c>
      <c r="AJ246"/>
      <c r="AK246"/>
      <c r="AL246">
        <v>9</v>
      </c>
      <c r="AM246"/>
      <c r="AN246"/>
      <c r="AO246">
        <v>11.3</v>
      </c>
      <c r="AP246">
        <v>90.4</v>
      </c>
      <c r="AQ246">
        <v>68</v>
      </c>
      <c r="AR246">
        <v>54</v>
      </c>
      <c r="AS246">
        <v>24</v>
      </c>
      <c r="AT246" t="s">
        <v>147</v>
      </c>
      <c r="AU246" t="s">
        <v>147</v>
      </c>
    </row>
    <row r="247" spans="1:47" x14ac:dyDescent="0.2">
      <c r="A247" s="29">
        <v>248.00000000000111</v>
      </c>
      <c r="B247">
        <v>190</v>
      </c>
      <c r="C247" s="3">
        <v>22.245999999999999</v>
      </c>
      <c r="D247" s="66" t="s">
        <v>151</v>
      </c>
      <c r="E247" t="s">
        <v>162</v>
      </c>
      <c r="F247" s="3" t="s">
        <v>88</v>
      </c>
      <c r="G247" s="3" t="s">
        <v>88</v>
      </c>
      <c r="H247"/>
      <c r="I247" s="32">
        <v>44657</v>
      </c>
      <c r="J247" t="s">
        <v>142</v>
      </c>
      <c r="K247" t="s">
        <v>166</v>
      </c>
      <c r="L247"/>
      <c r="M247" s="17">
        <v>261</v>
      </c>
      <c r="N247">
        <v>264.60000000000002</v>
      </c>
      <c r="O247">
        <v>193.33</v>
      </c>
      <c r="P247">
        <v>203.04</v>
      </c>
      <c r="Q247">
        <v>42.04</v>
      </c>
      <c r="R247">
        <v>20.52</v>
      </c>
      <c r="S247">
        <v>131.09</v>
      </c>
      <c r="T247">
        <v>96.8</v>
      </c>
      <c r="U247">
        <v>65.599999999999994</v>
      </c>
      <c r="V247">
        <v>48.93</v>
      </c>
      <c r="W247">
        <v>72.260000000000005</v>
      </c>
      <c r="X247">
        <v>96.21</v>
      </c>
      <c r="Y247">
        <v>42.67</v>
      </c>
      <c r="Z247">
        <v>104.65</v>
      </c>
      <c r="AA247">
        <v>81.28</v>
      </c>
      <c r="AB247">
        <v>83.84</v>
      </c>
      <c r="AC247">
        <v>13.53</v>
      </c>
      <c r="AD247">
        <v>46.99</v>
      </c>
      <c r="AE247">
        <v>33.65</v>
      </c>
      <c r="AF247">
        <v>42.11</v>
      </c>
      <c r="AG247">
        <v>41.68</v>
      </c>
      <c r="AH247">
        <v>43.99</v>
      </c>
      <c r="AI247">
        <v>2.0790000000000002</v>
      </c>
      <c r="AJ247"/>
      <c r="AK247"/>
      <c r="AL247">
        <v>21</v>
      </c>
      <c r="AM247"/>
      <c r="AN247"/>
      <c r="AO247">
        <v>12.5</v>
      </c>
      <c r="AP247">
        <v>109.3</v>
      </c>
      <c r="AQ247">
        <v>54.8</v>
      </c>
      <c r="AR247">
        <v>64.599999999999994</v>
      </c>
      <c r="AS247">
        <v>28.4</v>
      </c>
      <c r="AT247" t="s">
        <v>147</v>
      </c>
      <c r="AU247" t="s">
        <v>147</v>
      </c>
    </row>
    <row r="248" spans="1:47" x14ac:dyDescent="0.2">
      <c r="A248" s="29">
        <v>248.99999999999878</v>
      </c>
      <c r="B248">
        <v>199</v>
      </c>
      <c r="C248" s="3">
        <v>22.247</v>
      </c>
      <c r="D248" s="66" t="s">
        <v>151</v>
      </c>
      <c r="E248" t="s">
        <v>162</v>
      </c>
      <c r="F248" s="3" t="s">
        <v>88</v>
      </c>
      <c r="G248" s="3" t="s">
        <v>88</v>
      </c>
      <c r="H248"/>
      <c r="I248" s="32">
        <v>44669</v>
      </c>
      <c r="J248" t="s">
        <v>142</v>
      </c>
      <c r="K248" t="s">
        <v>166</v>
      </c>
      <c r="L248"/>
      <c r="M248" s="17">
        <v>237</v>
      </c>
      <c r="N248">
        <v>236.9</v>
      </c>
      <c r="O248">
        <v>179.7</v>
      </c>
      <c r="P248">
        <v>189.9</v>
      </c>
      <c r="Q248">
        <v>41.1</v>
      </c>
      <c r="R248">
        <v>19.059999999999999</v>
      </c>
      <c r="S248">
        <v>124.53</v>
      </c>
      <c r="T248">
        <v>97.41</v>
      </c>
      <c r="U248">
        <v>68.48</v>
      </c>
      <c r="V248">
        <v>53.03</v>
      </c>
      <c r="W248">
        <v>73.709999999999994</v>
      </c>
      <c r="X248">
        <v>95.29</v>
      </c>
      <c r="Y248">
        <v>43.66</v>
      </c>
      <c r="Z248">
        <v>104.93</v>
      </c>
      <c r="AA248">
        <v>80.23</v>
      </c>
      <c r="AB248">
        <v>83.92</v>
      </c>
      <c r="AC248">
        <v>19.16</v>
      </c>
      <c r="AD248">
        <v>44.31</v>
      </c>
      <c r="AE248">
        <v>30.08</v>
      </c>
      <c r="AF248">
        <v>39.25</v>
      </c>
      <c r="AG248">
        <v>37.020000000000003</v>
      </c>
      <c r="AH248">
        <v>42.5</v>
      </c>
      <c r="AI248">
        <v>1.8360000000000001</v>
      </c>
      <c r="AJ248"/>
      <c r="AK248"/>
      <c r="AL248">
        <v>1</v>
      </c>
      <c r="AM248"/>
      <c r="AN248"/>
      <c r="AO248">
        <v>10.8</v>
      </c>
      <c r="AP248">
        <v>100.1</v>
      </c>
      <c r="AQ248">
        <v>68.099999999999994</v>
      </c>
      <c r="AR248">
        <v>55.1</v>
      </c>
      <c r="AS248">
        <v>24.3</v>
      </c>
      <c r="AT248" t="s">
        <v>147</v>
      </c>
      <c r="AU248" t="s">
        <v>147</v>
      </c>
    </row>
    <row r="249" spans="1:47" x14ac:dyDescent="0.2">
      <c r="A249" s="29">
        <v>250</v>
      </c>
      <c r="B249">
        <v>191</v>
      </c>
      <c r="C249" s="3">
        <v>22.248000000000001</v>
      </c>
      <c r="D249" s="66" t="s">
        <v>151</v>
      </c>
      <c r="E249" t="s">
        <v>162</v>
      </c>
      <c r="F249" s="3" t="s">
        <v>88</v>
      </c>
      <c r="G249" s="3" t="s">
        <v>88</v>
      </c>
      <c r="H249"/>
      <c r="I249" s="32">
        <v>44657</v>
      </c>
      <c r="J249" t="s">
        <v>142</v>
      </c>
      <c r="K249" t="s">
        <v>166</v>
      </c>
      <c r="L249"/>
      <c r="M249" s="17">
        <v>235</v>
      </c>
      <c r="N249">
        <v>238</v>
      </c>
      <c r="O249">
        <v>184.11</v>
      </c>
      <c r="P249">
        <v>194.31</v>
      </c>
      <c r="Q249">
        <v>42.9</v>
      </c>
      <c r="R249">
        <v>19.18</v>
      </c>
      <c r="S249">
        <v>125.6</v>
      </c>
      <c r="T249">
        <v>98.64</v>
      </c>
      <c r="U249">
        <v>69.34</v>
      </c>
      <c r="V249">
        <v>53.11</v>
      </c>
      <c r="W249">
        <v>73.98</v>
      </c>
      <c r="X249">
        <v>96.03</v>
      </c>
      <c r="Y249">
        <v>42.1</v>
      </c>
      <c r="Z249">
        <v>104.17</v>
      </c>
      <c r="AA249">
        <v>79.540000000000006</v>
      </c>
      <c r="AB249">
        <v>84.37</v>
      </c>
      <c r="AC249">
        <v>18.8</v>
      </c>
      <c r="AD249">
        <v>43.32</v>
      </c>
      <c r="AE249">
        <v>29.39</v>
      </c>
      <c r="AF249">
        <v>45.35</v>
      </c>
      <c r="AG249">
        <v>36.28</v>
      </c>
      <c r="AH249">
        <v>45.14</v>
      </c>
      <c r="AI249">
        <v>1.86</v>
      </c>
      <c r="AJ249"/>
      <c r="AK249"/>
      <c r="AL249">
        <v>8</v>
      </c>
      <c r="AM249"/>
      <c r="AN249"/>
      <c r="AO249">
        <v>10.4</v>
      </c>
      <c r="AP249">
        <v>92.5</v>
      </c>
      <c r="AQ249">
        <v>69.8</v>
      </c>
      <c r="AR249">
        <v>55.2</v>
      </c>
      <c r="AS249">
        <v>24.2</v>
      </c>
      <c r="AT249" t="s">
        <v>147</v>
      </c>
      <c r="AU249" t="s">
        <v>147</v>
      </c>
    </row>
    <row r="250" spans="1:47" x14ac:dyDescent="0.2">
      <c r="A250" s="29">
        <v>251.00000000000122</v>
      </c>
      <c r="B250">
        <v>188</v>
      </c>
      <c r="C250" s="3">
        <v>22.248999999999999</v>
      </c>
      <c r="D250" s="66" t="s">
        <v>151</v>
      </c>
      <c r="E250" t="s">
        <v>162</v>
      </c>
      <c r="F250" s="3" t="s">
        <v>88</v>
      </c>
      <c r="G250" s="3" t="s">
        <v>88</v>
      </c>
      <c r="H250"/>
      <c r="I250" s="32">
        <v>44644</v>
      </c>
      <c r="J250" t="s">
        <v>142</v>
      </c>
      <c r="K250" t="s">
        <v>166</v>
      </c>
      <c r="L250"/>
      <c r="M250" s="17">
        <v>224</v>
      </c>
      <c r="N250">
        <v>227.3</v>
      </c>
      <c r="O250">
        <v>170.76</v>
      </c>
      <c r="P250">
        <v>186.91</v>
      </c>
      <c r="Q250">
        <v>39</v>
      </c>
      <c r="R250">
        <v>20.420000000000002</v>
      </c>
      <c r="S250">
        <v>119.63</v>
      </c>
      <c r="T250">
        <v>91.52</v>
      </c>
      <c r="U250">
        <v>61.05</v>
      </c>
      <c r="V250">
        <v>49.93</v>
      </c>
      <c r="W250">
        <v>73.06</v>
      </c>
      <c r="X250">
        <v>95.24</v>
      </c>
      <c r="Y250">
        <v>41.82</v>
      </c>
      <c r="Z250">
        <v>104.31</v>
      </c>
      <c r="AA250">
        <v>80.98</v>
      </c>
      <c r="AB250">
        <v>84.51</v>
      </c>
      <c r="AC250">
        <v>17.399999999999999</v>
      </c>
      <c r="AD250">
        <v>45.68</v>
      </c>
      <c r="AE250">
        <v>30.14</v>
      </c>
      <c r="AF250">
        <v>39.35</v>
      </c>
      <c r="AG250">
        <v>38.340000000000003</v>
      </c>
      <c r="AH250">
        <v>42.55</v>
      </c>
      <c r="AI250">
        <v>1.6279999999999999</v>
      </c>
      <c r="AJ250"/>
      <c r="AK250"/>
      <c r="AL250">
        <v>16</v>
      </c>
      <c r="AM250"/>
      <c r="AN250"/>
      <c r="AO250">
        <v>10</v>
      </c>
      <c r="AP250">
        <v>79.5</v>
      </c>
      <c r="AQ250">
        <v>70.099999999999994</v>
      </c>
      <c r="AR250">
        <v>49.4</v>
      </c>
      <c r="AS250">
        <v>21.9</v>
      </c>
      <c r="AT250" t="s">
        <v>147</v>
      </c>
      <c r="AU250" t="s">
        <v>147</v>
      </c>
    </row>
    <row r="251" spans="1:47" x14ac:dyDescent="0.2">
      <c r="A251" s="29">
        <v>251.99999999999889</v>
      </c>
      <c r="B251">
        <v>196</v>
      </c>
      <c r="C251" s="12" t="s">
        <v>231</v>
      </c>
      <c r="D251" s="66" t="s">
        <v>151</v>
      </c>
      <c r="E251" t="s">
        <v>162</v>
      </c>
      <c r="F251" s="3" t="s">
        <v>88</v>
      </c>
      <c r="G251" s="3" t="s">
        <v>88</v>
      </c>
      <c r="H251"/>
      <c r="I251" s="32">
        <v>44669</v>
      </c>
      <c r="J251" t="s">
        <v>142</v>
      </c>
      <c r="K251" t="s">
        <v>166</v>
      </c>
      <c r="L251"/>
      <c r="M251" s="17">
        <v>241</v>
      </c>
      <c r="N251">
        <v>238.9</v>
      </c>
      <c r="O251">
        <v>173.02</v>
      </c>
      <c r="P251">
        <v>189.89</v>
      </c>
      <c r="Q251">
        <v>39.74</v>
      </c>
      <c r="R251">
        <v>15.46</v>
      </c>
      <c r="S251">
        <v>121.32</v>
      </c>
      <c r="T251">
        <v>95.01</v>
      </c>
      <c r="U251">
        <v>67.19</v>
      </c>
      <c r="V251">
        <v>53.03</v>
      </c>
      <c r="W251">
        <v>72.36</v>
      </c>
      <c r="X251">
        <v>94.72</v>
      </c>
      <c r="Y251">
        <v>43.71</v>
      </c>
      <c r="Z251">
        <v>104.81</v>
      </c>
      <c r="AA251">
        <v>81.09</v>
      </c>
      <c r="AB251">
        <v>81.25</v>
      </c>
      <c r="AC251">
        <v>13.86</v>
      </c>
      <c r="AD251">
        <v>46.3</v>
      </c>
      <c r="AE251">
        <v>27.7</v>
      </c>
      <c r="AF251">
        <v>41.88</v>
      </c>
      <c r="AG251">
        <v>39.020000000000003</v>
      </c>
      <c r="AH251">
        <v>44.27</v>
      </c>
      <c r="AI251">
        <v>1.7430000000000001</v>
      </c>
      <c r="AJ251"/>
      <c r="AK251"/>
      <c r="AL251">
        <v>24</v>
      </c>
      <c r="AM251"/>
      <c r="AN251"/>
      <c r="AO251">
        <v>11.4</v>
      </c>
      <c r="AP251">
        <v>88.5</v>
      </c>
      <c r="AQ251">
        <v>56.3</v>
      </c>
      <c r="AR251">
        <v>56.4</v>
      </c>
      <c r="AS251">
        <v>24.7</v>
      </c>
      <c r="AT251" t="s">
        <v>147</v>
      </c>
      <c r="AU251" t="s">
        <v>147</v>
      </c>
    </row>
    <row r="252" spans="1:47" x14ac:dyDescent="0.2">
      <c r="A252" s="29">
        <v>253.00000000000011</v>
      </c>
      <c r="B252">
        <v>79</v>
      </c>
      <c r="C252" s="3">
        <v>22.251000000000001</v>
      </c>
      <c r="D252" s="31" t="s">
        <v>140</v>
      </c>
      <c r="E252" t="s">
        <v>141</v>
      </c>
      <c r="F252" s="17" t="s">
        <v>62</v>
      </c>
      <c r="H252" s="17" t="s">
        <v>62</v>
      </c>
      <c r="I252" s="32">
        <v>44685</v>
      </c>
      <c r="J252" t="s">
        <v>142</v>
      </c>
      <c r="K252" t="s">
        <v>166</v>
      </c>
      <c r="L252"/>
      <c r="M252">
        <v>231.9</v>
      </c>
      <c r="N252">
        <v>235.9</v>
      </c>
      <c r="O252">
        <v>204.78</v>
      </c>
      <c r="P252">
        <v>210</v>
      </c>
      <c r="Q252">
        <v>51.48</v>
      </c>
      <c r="R252">
        <v>31.66</v>
      </c>
      <c r="S252">
        <v>126.04</v>
      </c>
      <c r="T252">
        <v>99.67</v>
      </c>
      <c r="U252">
        <v>67.209999999999994</v>
      </c>
      <c r="V252">
        <v>52.87</v>
      </c>
      <c r="W252">
        <v>76.739999999999995</v>
      </c>
      <c r="X252">
        <v>93.56</v>
      </c>
      <c r="Y252">
        <v>41.01</v>
      </c>
      <c r="Z252">
        <v>102.19</v>
      </c>
      <c r="AA252">
        <v>78.87</v>
      </c>
      <c r="AB252">
        <v>78.28</v>
      </c>
      <c r="AC252">
        <v>21.99</v>
      </c>
      <c r="AD252">
        <v>47.15</v>
      </c>
      <c r="AE252">
        <v>40.54</v>
      </c>
      <c r="AF252">
        <v>46.88</v>
      </c>
      <c r="AG252">
        <v>37.31</v>
      </c>
      <c r="AH252">
        <v>49.72</v>
      </c>
      <c r="AI252">
        <v>1.706</v>
      </c>
      <c r="AJ252"/>
      <c r="AK252"/>
      <c r="AL252">
        <v>11</v>
      </c>
      <c r="AM252"/>
      <c r="AN252"/>
      <c r="AO252">
        <v>13</v>
      </c>
      <c r="AP252">
        <v>94.9</v>
      </c>
      <c r="AQ252">
        <v>59.4</v>
      </c>
      <c r="AR252">
        <v>51.8</v>
      </c>
      <c r="AS252">
        <v>21.5</v>
      </c>
      <c r="AT252" t="s">
        <v>147</v>
      </c>
      <c r="AU252" t="s">
        <v>147</v>
      </c>
    </row>
    <row r="253" spans="1:47" x14ac:dyDescent="0.2">
      <c r="A253" s="29">
        <v>254.00000000000134</v>
      </c>
      <c r="B253">
        <v>297</v>
      </c>
      <c r="C253">
        <v>22.251999999999999</v>
      </c>
      <c r="D253" s="44" t="s">
        <v>168</v>
      </c>
      <c r="E253" t="s">
        <v>232</v>
      </c>
      <c r="F253" s="17" t="s">
        <v>31</v>
      </c>
      <c r="H253" s="17" t="s">
        <v>31</v>
      </c>
      <c r="I253" s="68">
        <v>44624</v>
      </c>
      <c r="J253" t="s">
        <v>142</v>
      </c>
      <c r="K253" t="s">
        <v>204</v>
      </c>
      <c r="L253"/>
      <c r="M253"/>
      <c r="N253">
        <v>211.2</v>
      </c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>
        <v>1.1040000000000001</v>
      </c>
      <c r="AJ253">
        <v>30.82</v>
      </c>
      <c r="AK253" t="s">
        <v>173</v>
      </c>
      <c r="AL253">
        <v>18</v>
      </c>
      <c r="AM253">
        <v>72</v>
      </c>
      <c r="AN253"/>
      <c r="AO253"/>
      <c r="AP253"/>
      <c r="AQ253"/>
      <c r="AR253"/>
      <c r="AS253"/>
      <c r="AT253" t="s">
        <v>146</v>
      </c>
      <c r="AU253" t="s">
        <v>233</v>
      </c>
    </row>
    <row r="254" spans="1:47" x14ac:dyDescent="0.2">
      <c r="A254" s="29">
        <v>254.99999999999901</v>
      </c>
      <c r="B254">
        <v>298</v>
      </c>
      <c r="C254">
        <v>22.253</v>
      </c>
      <c r="D254" s="44" t="s">
        <v>168</v>
      </c>
      <c r="E254" t="s">
        <v>232</v>
      </c>
      <c r="F254" s="17" t="s">
        <v>31</v>
      </c>
      <c r="H254" s="17" t="s">
        <v>31</v>
      </c>
      <c r="I254" s="68">
        <v>44624</v>
      </c>
      <c r="J254" t="s">
        <v>142</v>
      </c>
      <c r="K254" t="s">
        <v>204</v>
      </c>
      <c r="L254"/>
      <c r="M254"/>
      <c r="N254">
        <v>238.96</v>
      </c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>
        <v>1.304</v>
      </c>
      <c r="AJ254">
        <v>31.16</v>
      </c>
      <c r="AK254" t="s">
        <v>172</v>
      </c>
      <c r="AL254"/>
      <c r="AM254"/>
      <c r="AN254">
        <v>95</v>
      </c>
      <c r="AO254"/>
      <c r="AP254"/>
      <c r="AQ254"/>
      <c r="AR254"/>
      <c r="AS254"/>
      <c r="AT254" t="s">
        <v>146</v>
      </c>
      <c r="AU254" t="s">
        <v>233</v>
      </c>
    </row>
    <row r="255" spans="1:47" x14ac:dyDescent="0.2">
      <c r="A255" s="29">
        <v>256.00000000000023</v>
      </c>
      <c r="B255">
        <v>294</v>
      </c>
      <c r="C255">
        <v>22.254000000000001</v>
      </c>
      <c r="D255" s="44" t="s">
        <v>168</v>
      </c>
      <c r="E255" s="17" t="s">
        <v>232</v>
      </c>
      <c r="F255" s="17" t="s">
        <v>31</v>
      </c>
      <c r="H255" s="17" t="s">
        <v>31</v>
      </c>
      <c r="I255" s="68">
        <v>44624</v>
      </c>
      <c r="J255" t="s">
        <v>142</v>
      </c>
      <c r="K255" t="s">
        <v>204</v>
      </c>
      <c r="L255"/>
      <c r="M255"/>
      <c r="N255">
        <v>216.73</v>
      </c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>
        <v>1.1890000000000001</v>
      </c>
      <c r="AJ255">
        <v>29.33</v>
      </c>
      <c r="AK255" t="s">
        <v>172</v>
      </c>
      <c r="AL255"/>
      <c r="AM255"/>
      <c r="AN255">
        <v>87</v>
      </c>
      <c r="AO255"/>
      <c r="AP255"/>
      <c r="AQ255"/>
      <c r="AR255"/>
      <c r="AS255"/>
      <c r="AT255" t="s">
        <v>146</v>
      </c>
      <c r="AU255" t="s">
        <v>233</v>
      </c>
    </row>
    <row r="256" spans="1:47" x14ac:dyDescent="0.2">
      <c r="A256" s="29">
        <v>257.00000000000148</v>
      </c>
      <c r="B256">
        <v>309</v>
      </c>
      <c r="C256">
        <v>22.254999999999999</v>
      </c>
      <c r="D256" s="44" t="s">
        <v>168</v>
      </c>
      <c r="E256" t="s">
        <v>232</v>
      </c>
      <c r="F256" s="17" t="s">
        <v>31</v>
      </c>
      <c r="G256" s="17" t="s">
        <v>31</v>
      </c>
      <c r="H256"/>
      <c r="I256" s="69">
        <v>44635</v>
      </c>
      <c r="J256" t="s">
        <v>142</v>
      </c>
      <c r="K256" t="s">
        <v>204</v>
      </c>
      <c r="L256"/>
      <c r="M256"/>
      <c r="N256">
        <v>219.19</v>
      </c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>
        <v>1.3460000000000001</v>
      </c>
      <c r="AJ256">
        <v>33.51</v>
      </c>
      <c r="AK256" t="s">
        <v>172</v>
      </c>
      <c r="AL256"/>
      <c r="AM256"/>
      <c r="AN256">
        <v>88</v>
      </c>
      <c r="AO256"/>
      <c r="AP256"/>
      <c r="AQ256"/>
      <c r="AR256"/>
      <c r="AS256"/>
      <c r="AT256" t="s">
        <v>146</v>
      </c>
      <c r="AU256" t="s">
        <v>233</v>
      </c>
    </row>
    <row r="257" spans="1:47" x14ac:dyDescent="0.2">
      <c r="A257" s="29">
        <v>257.99999999999909</v>
      </c>
      <c r="B257">
        <v>289</v>
      </c>
      <c r="C257">
        <v>22.256</v>
      </c>
      <c r="D257" s="44" t="s">
        <v>168</v>
      </c>
      <c r="E257" t="s">
        <v>169</v>
      </c>
      <c r="F257" s="3" t="s">
        <v>170</v>
      </c>
      <c r="G257" t="s">
        <v>30</v>
      </c>
      <c r="H257"/>
      <c r="I257" s="68">
        <v>44609</v>
      </c>
      <c r="J257" t="s">
        <v>142</v>
      </c>
      <c r="K257" t="s">
        <v>204</v>
      </c>
      <c r="L257"/>
      <c r="M257"/>
      <c r="N257">
        <v>327.13</v>
      </c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>
        <v>1.4410000000000001</v>
      </c>
      <c r="AJ257">
        <v>45.91</v>
      </c>
      <c r="AK257" t="s">
        <v>172</v>
      </c>
      <c r="AL257"/>
      <c r="AM257"/>
      <c r="AN257">
        <v>114</v>
      </c>
      <c r="AO257"/>
      <c r="AP257"/>
      <c r="AQ257"/>
      <c r="AR257"/>
      <c r="AS257"/>
      <c r="AT257" t="s">
        <v>146</v>
      </c>
      <c r="AU257" t="s">
        <v>233</v>
      </c>
    </row>
    <row r="258" spans="1:47" x14ac:dyDescent="0.2">
      <c r="A258" s="29">
        <v>259.00000000000034</v>
      </c>
      <c r="B258">
        <v>304</v>
      </c>
      <c r="C258">
        <v>22.257000000000001</v>
      </c>
      <c r="D258" s="44" t="s">
        <v>168</v>
      </c>
      <c r="E258" t="s">
        <v>169</v>
      </c>
      <c r="F258" s="17" t="s">
        <v>170</v>
      </c>
      <c r="G258" t="s">
        <v>30</v>
      </c>
      <c r="I258" s="68">
        <v>44631</v>
      </c>
      <c r="J258" t="s">
        <v>142</v>
      </c>
      <c r="K258" t="s">
        <v>204</v>
      </c>
      <c r="L258"/>
      <c r="M258"/>
      <c r="N258">
        <v>304.82</v>
      </c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>
        <v>1.333</v>
      </c>
      <c r="AJ258">
        <v>52.53</v>
      </c>
      <c r="AK258" t="s">
        <v>172</v>
      </c>
      <c r="AL258"/>
      <c r="AM258"/>
      <c r="AN258">
        <v>137</v>
      </c>
      <c r="AO258"/>
      <c r="AP258"/>
      <c r="AQ258"/>
      <c r="AR258"/>
      <c r="AS258"/>
      <c r="AT258" t="s">
        <v>146</v>
      </c>
      <c r="AU258" t="s">
        <v>233</v>
      </c>
    </row>
    <row r="259" spans="1:47" x14ac:dyDescent="0.2">
      <c r="A259" s="29">
        <v>260.00000000000159</v>
      </c>
      <c r="B259">
        <v>293</v>
      </c>
      <c r="C259">
        <v>22.257999999999999</v>
      </c>
      <c r="D259" s="44" t="s">
        <v>168</v>
      </c>
      <c r="E259" t="s">
        <v>169</v>
      </c>
      <c r="F259" s="3" t="s">
        <v>170</v>
      </c>
      <c r="G259" t="s">
        <v>30</v>
      </c>
      <c r="H259"/>
      <c r="I259" s="68">
        <v>44613</v>
      </c>
      <c r="J259" t="s">
        <v>142</v>
      </c>
      <c r="K259" t="s">
        <v>204</v>
      </c>
      <c r="L259"/>
      <c r="M259"/>
      <c r="N259">
        <v>306.52999999999997</v>
      </c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>
        <v>1.2190000000000001</v>
      </c>
      <c r="AJ259">
        <v>54.19</v>
      </c>
      <c r="AK259" t="s">
        <v>172</v>
      </c>
      <c r="AL259"/>
      <c r="AM259"/>
      <c r="AN259">
        <v>127</v>
      </c>
      <c r="AO259"/>
      <c r="AP259"/>
      <c r="AQ259"/>
      <c r="AR259"/>
      <c r="AS259"/>
      <c r="AT259" t="s">
        <v>146</v>
      </c>
      <c r="AU259" t="s">
        <v>233</v>
      </c>
    </row>
    <row r="260" spans="1:47" x14ac:dyDescent="0.2">
      <c r="A260" s="29">
        <v>260.9999999999992</v>
      </c>
      <c r="B260">
        <v>290</v>
      </c>
      <c r="C260">
        <v>22.259</v>
      </c>
      <c r="D260" s="44" t="s">
        <v>168</v>
      </c>
      <c r="E260" t="s">
        <v>169</v>
      </c>
      <c r="F260" s="3" t="s">
        <v>170</v>
      </c>
      <c r="G260" t="s">
        <v>30</v>
      </c>
      <c r="H260"/>
      <c r="I260" s="68">
        <v>44609</v>
      </c>
      <c r="J260" t="s">
        <v>142</v>
      </c>
      <c r="K260" t="s">
        <v>204</v>
      </c>
      <c r="L260"/>
      <c r="M260"/>
      <c r="N260">
        <v>299.38</v>
      </c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>
        <v>1.3109999999999999</v>
      </c>
      <c r="AJ260">
        <v>51.27</v>
      </c>
      <c r="AK260" t="s">
        <v>173</v>
      </c>
      <c r="AL260"/>
      <c r="AM260"/>
      <c r="AN260">
        <v>90</v>
      </c>
      <c r="AO260"/>
      <c r="AP260"/>
      <c r="AQ260"/>
      <c r="AR260"/>
      <c r="AS260"/>
      <c r="AT260" t="s">
        <v>146</v>
      </c>
      <c r="AU260" t="s">
        <v>233</v>
      </c>
    </row>
    <row r="261" spans="1:47" x14ac:dyDescent="0.2">
      <c r="A261" s="29">
        <v>262.00000000000045</v>
      </c>
      <c r="B261">
        <v>301</v>
      </c>
      <c r="C261" s="5" t="s">
        <v>16</v>
      </c>
      <c r="D261" s="44" t="s">
        <v>168</v>
      </c>
      <c r="E261" t="s">
        <v>169</v>
      </c>
      <c r="F261" s="3" t="s">
        <v>170</v>
      </c>
      <c r="G261" t="s">
        <v>30</v>
      </c>
      <c r="H261"/>
      <c r="I261" s="68">
        <v>44631</v>
      </c>
      <c r="J261" t="s">
        <v>142</v>
      </c>
      <c r="K261" t="s">
        <v>204</v>
      </c>
      <c r="L261"/>
      <c r="M261"/>
      <c r="N261">
        <v>297.54000000000002</v>
      </c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>
        <v>1.288</v>
      </c>
      <c r="AJ261">
        <f>49.73+7.66</f>
        <v>57.39</v>
      </c>
      <c r="AK261" t="s">
        <v>172</v>
      </c>
      <c r="AL261"/>
      <c r="AM261"/>
      <c r="AN261">
        <v>149</v>
      </c>
      <c r="AO261"/>
      <c r="AP261"/>
      <c r="AQ261"/>
      <c r="AR261"/>
      <c r="AS261"/>
      <c r="AT261" t="s">
        <v>146</v>
      </c>
      <c r="AU261" t="s">
        <v>233</v>
      </c>
    </row>
    <row r="262" spans="1:47" x14ac:dyDescent="0.2">
      <c r="A262" s="29">
        <v>263.00000000000171</v>
      </c>
      <c r="B262">
        <v>302</v>
      </c>
      <c r="C262">
        <v>22.260999999999999</v>
      </c>
      <c r="D262" s="44" t="s">
        <v>168</v>
      </c>
      <c r="E262" t="s">
        <v>169</v>
      </c>
      <c r="F262" s="3" t="s">
        <v>170</v>
      </c>
      <c r="G262"/>
      <c r="H262" s="18" t="s">
        <v>177</v>
      </c>
      <c r="I262" s="68">
        <v>44631</v>
      </c>
      <c r="J262" t="s">
        <v>142</v>
      </c>
      <c r="K262" t="s">
        <v>204</v>
      </c>
      <c r="L262"/>
      <c r="M262"/>
      <c r="N262">
        <v>314.08</v>
      </c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>
        <v>1.1339999999999999</v>
      </c>
      <c r="AJ262">
        <v>52.21</v>
      </c>
      <c r="AK262" t="s">
        <v>173</v>
      </c>
      <c r="AL262">
        <v>21</v>
      </c>
      <c r="AM262">
        <v>144</v>
      </c>
      <c r="AN262"/>
      <c r="AO262"/>
      <c r="AP262"/>
      <c r="AQ262"/>
      <c r="AR262"/>
      <c r="AS262"/>
      <c r="AT262" t="s">
        <v>146</v>
      </c>
      <c r="AU262" t="s">
        <v>233</v>
      </c>
    </row>
    <row r="263" spans="1:47" x14ac:dyDescent="0.2">
      <c r="A263" s="29">
        <v>263.99999999999932</v>
      </c>
      <c r="B263">
        <v>299</v>
      </c>
      <c r="C263">
        <v>22.262</v>
      </c>
      <c r="D263" s="44" t="s">
        <v>168</v>
      </c>
      <c r="E263" t="s">
        <v>169</v>
      </c>
      <c r="F263" s="3" t="s">
        <v>170</v>
      </c>
      <c r="G263" t="s">
        <v>30</v>
      </c>
      <c r="H263"/>
      <c r="I263" s="68">
        <v>44631</v>
      </c>
      <c r="J263" t="s">
        <v>142</v>
      </c>
      <c r="K263" t="s">
        <v>204</v>
      </c>
      <c r="L263"/>
      <c r="M263"/>
      <c r="N263">
        <v>310.02999999999997</v>
      </c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>
        <v>1.216</v>
      </c>
      <c r="AJ263">
        <v>52.22</v>
      </c>
      <c r="AK263" t="s">
        <v>173</v>
      </c>
      <c r="AL263"/>
      <c r="AM263">
        <v>100</v>
      </c>
      <c r="AN263">
        <v>60</v>
      </c>
      <c r="AO263"/>
      <c r="AP263"/>
      <c r="AQ263"/>
      <c r="AR263"/>
      <c r="AS263"/>
      <c r="AT263" t="s">
        <v>146</v>
      </c>
      <c r="AU263" t="s">
        <v>233</v>
      </c>
    </row>
    <row r="264" spans="1:47" x14ac:dyDescent="0.2">
      <c r="A264" s="29">
        <v>265.00000000000057</v>
      </c>
      <c r="B264">
        <v>312</v>
      </c>
      <c r="C264">
        <v>22.263000000000002</v>
      </c>
      <c r="D264" s="44" t="s">
        <v>168</v>
      </c>
      <c r="E264" s="11" t="s">
        <v>232</v>
      </c>
      <c r="F264" s="17" t="s">
        <v>31</v>
      </c>
      <c r="G264" s="17"/>
      <c r="H264" s="17" t="s">
        <v>31</v>
      </c>
      <c r="I264" s="68">
        <v>44635</v>
      </c>
      <c r="J264" t="s">
        <v>142</v>
      </c>
      <c r="K264" t="s">
        <v>204</v>
      </c>
      <c r="L264"/>
      <c r="M264"/>
      <c r="N264">
        <v>219.76</v>
      </c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>
        <v>1.458</v>
      </c>
      <c r="AJ264">
        <v>32.81</v>
      </c>
      <c r="AK264" t="s">
        <v>173</v>
      </c>
      <c r="AL264"/>
      <c r="AM264">
        <v>55</v>
      </c>
      <c r="AN264">
        <v>40</v>
      </c>
      <c r="AO264"/>
      <c r="AP264"/>
      <c r="AQ264"/>
      <c r="AR264"/>
      <c r="AS264"/>
      <c r="AT264" t="s">
        <v>146</v>
      </c>
      <c r="AU264" t="s">
        <v>233</v>
      </c>
    </row>
    <row r="265" spans="1:47" x14ac:dyDescent="0.2">
      <c r="A265" s="29">
        <v>265.99999999999824</v>
      </c>
      <c r="B265">
        <v>310</v>
      </c>
      <c r="C265">
        <v>22.263999999999999</v>
      </c>
      <c r="D265" s="44" t="s">
        <v>168</v>
      </c>
      <c r="E265" s="11" t="s">
        <v>232</v>
      </c>
      <c r="F265" s="17" t="s">
        <v>31</v>
      </c>
      <c r="G265" s="17"/>
      <c r="H265" s="17" t="s">
        <v>31</v>
      </c>
      <c r="I265" s="68">
        <v>44635</v>
      </c>
      <c r="J265" t="s">
        <v>142</v>
      </c>
      <c r="K265" t="s">
        <v>204</v>
      </c>
      <c r="L265"/>
      <c r="M265"/>
      <c r="N265">
        <v>216.3</v>
      </c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>
        <v>1.391</v>
      </c>
      <c r="AJ265">
        <v>33.47</v>
      </c>
      <c r="AK265" t="s">
        <v>172</v>
      </c>
      <c r="AL265"/>
      <c r="AM265"/>
      <c r="AN265">
        <v>96</v>
      </c>
      <c r="AO265"/>
      <c r="AP265"/>
      <c r="AQ265"/>
      <c r="AR265"/>
      <c r="AS265"/>
      <c r="AT265" t="s">
        <v>146</v>
      </c>
      <c r="AU265" t="s">
        <v>233</v>
      </c>
    </row>
    <row r="266" spans="1:47" x14ac:dyDescent="0.2">
      <c r="A266" s="29">
        <v>266.99999999999943</v>
      </c>
      <c r="B266">
        <v>327</v>
      </c>
      <c r="C266">
        <v>22.265000000000001</v>
      </c>
      <c r="D266" s="44" t="s">
        <v>168</v>
      </c>
      <c r="E266" s="11" t="s">
        <v>232</v>
      </c>
      <c r="F266" s="17" t="s">
        <v>31</v>
      </c>
      <c r="G266" s="17"/>
      <c r="H266" s="17" t="s">
        <v>31</v>
      </c>
      <c r="I266" s="68">
        <v>44658</v>
      </c>
      <c r="J266" t="s">
        <v>142</v>
      </c>
      <c r="K266" t="s">
        <v>204</v>
      </c>
      <c r="L266"/>
      <c r="M266"/>
      <c r="N266">
        <v>205.12</v>
      </c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>
        <v>1.3029999999999999</v>
      </c>
      <c r="AJ266">
        <v>35.340000000000003</v>
      </c>
      <c r="AK266" t="s">
        <v>172</v>
      </c>
      <c r="AL266"/>
      <c r="AM266"/>
      <c r="AN266">
        <v>93</v>
      </c>
      <c r="AO266"/>
      <c r="AP266"/>
      <c r="AQ266"/>
      <c r="AR266"/>
      <c r="AS266"/>
      <c r="AT266" t="s">
        <v>146</v>
      </c>
      <c r="AU266" t="s">
        <v>233</v>
      </c>
    </row>
    <row r="267" spans="1:47" x14ac:dyDescent="0.2">
      <c r="A267" s="29">
        <v>268.00000000000068</v>
      </c>
      <c r="B267">
        <v>317</v>
      </c>
      <c r="C267">
        <v>22.265999999999998</v>
      </c>
      <c r="D267" s="44" t="s">
        <v>168</v>
      </c>
      <c r="E267" s="11" t="s">
        <v>232</v>
      </c>
      <c r="F267" s="17" t="s">
        <v>31</v>
      </c>
      <c r="G267" s="17"/>
      <c r="H267" s="17" t="s">
        <v>31</v>
      </c>
      <c r="I267" s="68">
        <v>44647</v>
      </c>
      <c r="J267" t="s">
        <v>142</v>
      </c>
      <c r="K267" t="s">
        <v>204</v>
      </c>
      <c r="L267"/>
      <c r="M267"/>
      <c r="N267">
        <v>214.41</v>
      </c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>
        <v>1.4330000000000001</v>
      </c>
      <c r="AJ267">
        <v>31.1</v>
      </c>
      <c r="AK267" t="s">
        <v>172</v>
      </c>
      <c r="AL267"/>
      <c r="AM267"/>
      <c r="AN267">
        <v>100</v>
      </c>
      <c r="AO267"/>
      <c r="AP267"/>
      <c r="AQ267"/>
      <c r="AR267"/>
      <c r="AS267"/>
      <c r="AT267" t="s">
        <v>146</v>
      </c>
      <c r="AU267" t="s">
        <v>233</v>
      </c>
    </row>
    <row r="268" spans="1:47" x14ac:dyDescent="0.2">
      <c r="A268" s="29">
        <v>268.99999999999835</v>
      </c>
      <c r="B268">
        <v>307</v>
      </c>
      <c r="C268">
        <v>22.266999999999999</v>
      </c>
      <c r="D268" s="44" t="s">
        <v>168</v>
      </c>
      <c r="E268" s="11" t="s">
        <v>232</v>
      </c>
      <c r="F268" s="17" t="s">
        <v>31</v>
      </c>
      <c r="G268" s="17"/>
      <c r="H268" s="17" t="s">
        <v>31</v>
      </c>
      <c r="I268" s="68">
        <v>44635</v>
      </c>
      <c r="J268" t="s">
        <v>142</v>
      </c>
      <c r="K268" t="s">
        <v>204</v>
      </c>
      <c r="L268"/>
      <c r="M268"/>
      <c r="N268">
        <v>215.65</v>
      </c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>
        <v>1.284</v>
      </c>
      <c r="AJ268">
        <v>34.19</v>
      </c>
      <c r="AK268" t="s">
        <v>172</v>
      </c>
      <c r="AL268"/>
      <c r="AM268"/>
      <c r="AN268">
        <v>97</v>
      </c>
      <c r="AO268"/>
      <c r="AP268"/>
      <c r="AQ268"/>
      <c r="AR268"/>
      <c r="AS268"/>
      <c r="AT268" t="s">
        <v>146</v>
      </c>
      <c r="AU268" t="s">
        <v>233</v>
      </c>
    </row>
    <row r="269" spans="1:47" x14ac:dyDescent="0.2">
      <c r="A269" s="29">
        <v>269.99999999999955</v>
      </c>
      <c r="B269">
        <v>325</v>
      </c>
      <c r="C269">
        <v>22.268000000000001</v>
      </c>
      <c r="D269" s="44" t="s">
        <v>168</v>
      </c>
      <c r="E269" s="11" t="s">
        <v>232</v>
      </c>
      <c r="F269" s="17" t="s">
        <v>31</v>
      </c>
      <c r="G269" s="17"/>
      <c r="H269" s="17" t="s">
        <v>31</v>
      </c>
      <c r="I269" s="68">
        <v>44658</v>
      </c>
      <c r="J269" t="s">
        <v>142</v>
      </c>
      <c r="K269" t="s">
        <v>204</v>
      </c>
      <c r="L269"/>
      <c r="M269"/>
      <c r="N269">
        <v>218.23</v>
      </c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>
        <v>1.3959999999999999</v>
      </c>
      <c r="AJ269">
        <v>32.020000000000003</v>
      </c>
      <c r="AK269" t="s">
        <v>172</v>
      </c>
      <c r="AL269"/>
      <c r="AM269"/>
      <c r="AN269">
        <v>109</v>
      </c>
      <c r="AO269"/>
      <c r="AP269"/>
      <c r="AQ269"/>
      <c r="AR269"/>
      <c r="AS269"/>
      <c r="AT269" t="s">
        <v>146</v>
      </c>
      <c r="AU269" t="s">
        <v>233</v>
      </c>
    </row>
    <row r="270" spans="1:47" x14ac:dyDescent="0.2">
      <c r="A270" s="29">
        <v>271.0000000000008</v>
      </c>
      <c r="B270">
        <v>323</v>
      </c>
      <c r="C270">
        <v>22.268999999999998</v>
      </c>
      <c r="D270" s="44" t="s">
        <v>168</v>
      </c>
      <c r="E270" s="11" t="s">
        <v>169</v>
      </c>
      <c r="F270" s="3" t="s">
        <v>170</v>
      </c>
      <c r="H270" t="s">
        <v>30</v>
      </c>
      <c r="I270" s="68">
        <v>44650</v>
      </c>
      <c r="J270" t="s">
        <v>142</v>
      </c>
      <c r="K270" t="s">
        <v>204</v>
      </c>
      <c r="L270"/>
      <c r="M270"/>
      <c r="N270">
        <v>306.05</v>
      </c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>
        <v>1.2130000000000001</v>
      </c>
      <c r="AJ270">
        <v>50.56</v>
      </c>
      <c r="AK270" t="s">
        <v>172</v>
      </c>
      <c r="AL270"/>
      <c r="AM270"/>
      <c r="AN270">
        <v>144</v>
      </c>
      <c r="AO270"/>
      <c r="AP270"/>
      <c r="AQ270"/>
      <c r="AR270"/>
      <c r="AS270"/>
      <c r="AT270" t="s">
        <v>146</v>
      </c>
      <c r="AU270" t="s">
        <v>233</v>
      </c>
    </row>
    <row r="271" spans="1:47" x14ac:dyDescent="0.2">
      <c r="A271" s="29">
        <v>271.99999999999847</v>
      </c>
      <c r="B271">
        <v>320</v>
      </c>
      <c r="C271" s="5" t="s">
        <v>17</v>
      </c>
      <c r="D271" s="44" t="s">
        <v>168</v>
      </c>
      <c r="E271" s="11" t="s">
        <v>169</v>
      </c>
      <c r="F271" s="3" t="s">
        <v>170</v>
      </c>
      <c r="H271" t="s">
        <v>30</v>
      </c>
      <c r="I271" s="68">
        <v>44650</v>
      </c>
      <c r="J271" t="s">
        <v>142</v>
      </c>
      <c r="K271" t="s">
        <v>204</v>
      </c>
      <c r="L271"/>
      <c r="M271"/>
      <c r="N271">
        <v>309.22000000000003</v>
      </c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>
        <v>1.1080000000000001</v>
      </c>
      <c r="AJ271">
        <v>53.33</v>
      </c>
      <c r="AK271" t="s">
        <v>172</v>
      </c>
      <c r="AL271"/>
      <c r="AM271"/>
      <c r="AN271">
        <v>143</v>
      </c>
      <c r="AO271"/>
      <c r="AP271"/>
      <c r="AQ271"/>
      <c r="AR271"/>
      <c r="AS271"/>
      <c r="AT271" t="s">
        <v>146</v>
      </c>
      <c r="AU271" t="s">
        <v>233</v>
      </c>
    </row>
    <row r="272" spans="1:47" x14ac:dyDescent="0.2">
      <c r="A272" s="29">
        <v>272.99999999999966</v>
      </c>
      <c r="B272">
        <v>322</v>
      </c>
      <c r="C272">
        <v>22.271000000000001</v>
      </c>
      <c r="D272" s="44" t="s">
        <v>168</v>
      </c>
      <c r="E272" s="11" t="s">
        <v>169</v>
      </c>
      <c r="F272" s="3" t="s">
        <v>170</v>
      </c>
      <c r="H272" t="s">
        <v>30</v>
      </c>
      <c r="I272" s="68">
        <v>44650</v>
      </c>
      <c r="J272" t="s">
        <v>142</v>
      </c>
      <c r="K272" t="s">
        <v>204</v>
      </c>
      <c r="L272"/>
      <c r="M272"/>
      <c r="N272">
        <v>301.05</v>
      </c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>
        <v>1.2130000000000001</v>
      </c>
      <c r="AJ272">
        <v>50.86</v>
      </c>
      <c r="AK272" t="s">
        <v>172</v>
      </c>
      <c r="AL272"/>
      <c r="AM272"/>
      <c r="AN272">
        <v>145</v>
      </c>
      <c r="AO272"/>
      <c r="AP272"/>
      <c r="AQ272"/>
      <c r="AR272"/>
      <c r="AS272"/>
      <c r="AT272" t="s">
        <v>146</v>
      </c>
      <c r="AU272" t="s">
        <v>233</v>
      </c>
    </row>
    <row r="273" spans="1:47" x14ac:dyDescent="0.2">
      <c r="A273" s="29">
        <v>274.00000000000091</v>
      </c>
      <c r="B273">
        <v>258</v>
      </c>
      <c r="C273">
        <v>22.271999999999998</v>
      </c>
      <c r="D273" s="64" t="s">
        <v>223</v>
      </c>
      <c r="E273" t="s">
        <v>224</v>
      </c>
      <c r="F273" t="s">
        <v>73</v>
      </c>
      <c r="G273" t="s">
        <v>73</v>
      </c>
      <c r="H273"/>
      <c r="I273" s="32">
        <v>44670</v>
      </c>
      <c r="J273" t="s">
        <v>142</v>
      </c>
      <c r="K273"/>
      <c r="L273">
        <v>228.5</v>
      </c>
      <c r="M273"/>
      <c r="N273">
        <v>223.64</v>
      </c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>
        <v>1.1739999999999999</v>
      </c>
      <c r="AJ273">
        <v>45.27</v>
      </c>
      <c r="AK273" t="s">
        <v>172</v>
      </c>
      <c r="AL273"/>
      <c r="AM273"/>
      <c r="AN273">
        <v>85</v>
      </c>
      <c r="AO273"/>
      <c r="AP273"/>
      <c r="AQ273"/>
      <c r="AR273"/>
      <c r="AS273"/>
      <c r="AT273" t="s">
        <v>146</v>
      </c>
      <c r="AU273" t="s">
        <v>233</v>
      </c>
    </row>
    <row r="274" spans="1:47" x14ac:dyDescent="0.2">
      <c r="A274" s="29">
        <v>274.99999999999858</v>
      </c>
      <c r="B274" s="17">
        <v>260</v>
      </c>
      <c r="C274">
        <v>22.273</v>
      </c>
      <c r="D274" s="64" t="s">
        <v>223</v>
      </c>
      <c r="E274" t="s">
        <v>224</v>
      </c>
      <c r="F274" t="s">
        <v>73</v>
      </c>
      <c r="G274" t="s">
        <v>73</v>
      </c>
      <c r="H274"/>
      <c r="I274" s="32">
        <v>44672</v>
      </c>
      <c r="J274" t="s">
        <v>142</v>
      </c>
      <c r="K274" s="17" t="s">
        <v>235</v>
      </c>
      <c r="L274" s="70">
        <v>308.7</v>
      </c>
      <c r="M274" s="71"/>
      <c r="N274">
        <v>313.82</v>
      </c>
      <c r="O274" s="72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>
        <v>1.36</v>
      </c>
      <c r="AJ274">
        <v>48.98</v>
      </c>
      <c r="AK274" t="s">
        <v>172</v>
      </c>
      <c r="AL274"/>
      <c r="AM274"/>
      <c r="AN274">
        <v>130</v>
      </c>
      <c r="AO274"/>
      <c r="AP274"/>
      <c r="AQ274"/>
      <c r="AR274"/>
      <c r="AS274"/>
      <c r="AT274" t="s">
        <v>146</v>
      </c>
      <c r="AU274" t="s">
        <v>233</v>
      </c>
    </row>
    <row r="275" spans="1:47" x14ac:dyDescent="0.2">
      <c r="A275" s="29">
        <v>275.99999999999977</v>
      </c>
      <c r="B275" s="17">
        <v>263</v>
      </c>
      <c r="C275">
        <v>22.274000000000001</v>
      </c>
      <c r="D275" s="64" t="s">
        <v>223</v>
      </c>
      <c r="E275" t="s">
        <v>224</v>
      </c>
      <c r="F275" t="s">
        <v>73</v>
      </c>
      <c r="G275" t="s">
        <v>73</v>
      </c>
      <c r="H275"/>
      <c r="I275" s="32">
        <v>44681</v>
      </c>
      <c r="J275" t="s">
        <v>142</v>
      </c>
      <c r="K275" s="17" t="s">
        <v>235</v>
      </c>
      <c r="L275" s="37">
        <v>317.8</v>
      </c>
      <c r="M275" s="71"/>
      <c r="N275">
        <v>318.33</v>
      </c>
      <c r="O275" s="72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>
        <v>1.625</v>
      </c>
      <c r="AJ275">
        <v>45.61</v>
      </c>
      <c r="AK275" t="s">
        <v>173</v>
      </c>
      <c r="AL275">
        <v>41</v>
      </c>
      <c r="AM275">
        <v>90</v>
      </c>
      <c r="AN275"/>
      <c r="AO275"/>
      <c r="AP275"/>
      <c r="AQ275"/>
      <c r="AR275"/>
      <c r="AS275"/>
      <c r="AT275" t="s">
        <v>146</v>
      </c>
      <c r="AU275" t="s">
        <v>233</v>
      </c>
    </row>
    <row r="276" spans="1:47" x14ac:dyDescent="0.2">
      <c r="A276" s="29">
        <v>277.00000000000102</v>
      </c>
      <c r="B276">
        <v>243</v>
      </c>
      <c r="C276">
        <v>22.274999999999999</v>
      </c>
      <c r="D276" s="64" t="s">
        <v>223</v>
      </c>
      <c r="E276" t="s">
        <v>224</v>
      </c>
      <c r="F276" t="s">
        <v>73</v>
      </c>
      <c r="G276" t="s">
        <v>73</v>
      </c>
      <c r="H276"/>
      <c r="I276" s="32">
        <v>44650</v>
      </c>
      <c r="J276" t="s">
        <v>142</v>
      </c>
      <c r="K276" t="s">
        <v>204</v>
      </c>
      <c r="L276"/>
      <c r="M276"/>
      <c r="N276">
        <v>264.27</v>
      </c>
      <c r="O276">
        <v>157.29</v>
      </c>
      <c r="P276">
        <v>159.38</v>
      </c>
      <c r="Q276">
        <v>30.07</v>
      </c>
      <c r="R276">
        <v>16.45</v>
      </c>
      <c r="S276">
        <v>108.16</v>
      </c>
      <c r="T276">
        <v>87.16</v>
      </c>
      <c r="U276">
        <v>75.62</v>
      </c>
      <c r="V276">
        <v>54.9</v>
      </c>
      <c r="W276">
        <v>79.72</v>
      </c>
      <c r="X276">
        <v>91.22</v>
      </c>
      <c r="Y276">
        <v>42.74</v>
      </c>
      <c r="Z276">
        <v>105.39</v>
      </c>
      <c r="AA276">
        <v>84.53</v>
      </c>
      <c r="AB276">
        <v>81.47</v>
      </c>
      <c r="AC276">
        <v>37.79</v>
      </c>
      <c r="AD276">
        <v>52.4</v>
      </c>
      <c r="AE276">
        <v>26.62</v>
      </c>
      <c r="AF276">
        <v>33.5</v>
      </c>
      <c r="AG276">
        <v>31.1</v>
      </c>
      <c r="AH276">
        <v>30.24</v>
      </c>
      <c r="AI276">
        <v>1.512</v>
      </c>
      <c r="AJ276">
        <v>48.1</v>
      </c>
      <c r="AK276" t="s">
        <v>172</v>
      </c>
      <c r="AL276"/>
      <c r="AM276"/>
      <c r="AN276">
        <v>113</v>
      </c>
      <c r="AO276"/>
      <c r="AP276"/>
      <c r="AQ276"/>
      <c r="AR276"/>
      <c r="AS276"/>
      <c r="AT276" t="s">
        <v>146</v>
      </c>
      <c r="AU276" t="s">
        <v>147</v>
      </c>
    </row>
    <row r="277" spans="1:47" ht="16" customHeight="1" x14ac:dyDescent="0.2">
      <c r="A277" s="29">
        <v>277.99999999999869</v>
      </c>
      <c r="B277">
        <v>253</v>
      </c>
      <c r="C277">
        <v>22.276</v>
      </c>
      <c r="D277" s="64" t="s">
        <v>223</v>
      </c>
      <c r="E277" t="s">
        <v>224</v>
      </c>
      <c r="F277" t="s">
        <v>73</v>
      </c>
      <c r="G277" t="s">
        <v>73</v>
      </c>
      <c r="H277"/>
      <c r="I277" s="32">
        <v>44666</v>
      </c>
      <c r="J277" t="s">
        <v>142</v>
      </c>
      <c r="K277" t="s">
        <v>204</v>
      </c>
      <c r="L277"/>
      <c r="M277"/>
      <c r="N277">
        <v>248.24</v>
      </c>
      <c r="O277">
        <v>153.38</v>
      </c>
      <c r="P277">
        <v>153.28</v>
      </c>
      <c r="Q277">
        <v>28.61</v>
      </c>
      <c r="R277">
        <v>12.59</v>
      </c>
      <c r="S277">
        <v>106.58</v>
      </c>
      <c r="T277">
        <v>87.26</v>
      </c>
      <c r="U277">
        <v>76.930000000000007</v>
      </c>
      <c r="V277">
        <v>56.62</v>
      </c>
      <c r="W277">
        <v>81.17</v>
      </c>
      <c r="X277">
        <v>91.53</v>
      </c>
      <c r="Y277">
        <v>41.06</v>
      </c>
      <c r="Z277">
        <v>104.46</v>
      </c>
      <c r="AA277">
        <v>80.790000000000006</v>
      </c>
      <c r="AB277">
        <v>82.93</v>
      </c>
      <c r="AC277">
        <v>42.34</v>
      </c>
      <c r="AD277">
        <v>53.74</v>
      </c>
      <c r="AE277">
        <v>26.19</v>
      </c>
      <c r="AF277">
        <v>31.05</v>
      </c>
      <c r="AG277">
        <v>30.79</v>
      </c>
      <c r="AH277">
        <v>29.45</v>
      </c>
      <c r="AI277">
        <v>1.2509999999999999</v>
      </c>
      <c r="AJ277">
        <v>45.34</v>
      </c>
      <c r="AK277" t="s">
        <v>172</v>
      </c>
      <c r="AL277"/>
      <c r="AM277"/>
      <c r="AN277">
        <v>116</v>
      </c>
      <c r="AO277"/>
      <c r="AP277"/>
      <c r="AQ277"/>
      <c r="AR277"/>
      <c r="AS277"/>
      <c r="AT277" t="s">
        <v>146</v>
      </c>
      <c r="AU277" t="s">
        <v>147</v>
      </c>
    </row>
    <row r="278" spans="1:47" x14ac:dyDescent="0.2">
      <c r="A278" s="29">
        <v>278.99999999999989</v>
      </c>
      <c r="B278">
        <v>247</v>
      </c>
      <c r="C278">
        <v>22.277000000000001</v>
      </c>
      <c r="D278" s="64" t="s">
        <v>223</v>
      </c>
      <c r="E278" t="s">
        <v>224</v>
      </c>
      <c r="F278" t="s">
        <v>73</v>
      </c>
      <c r="G278" t="s">
        <v>73</v>
      </c>
      <c r="H278"/>
      <c r="I278" s="32">
        <v>44654</v>
      </c>
      <c r="J278" t="s">
        <v>142</v>
      </c>
      <c r="K278" t="s">
        <v>204</v>
      </c>
      <c r="L278"/>
      <c r="M278"/>
      <c r="N278">
        <v>250.21</v>
      </c>
      <c r="O278">
        <v>156.08000000000001</v>
      </c>
      <c r="P278">
        <v>155.51</v>
      </c>
      <c r="Q278">
        <v>28.88</v>
      </c>
      <c r="R278">
        <v>12.69</v>
      </c>
      <c r="S278">
        <v>105.96</v>
      </c>
      <c r="T278">
        <v>87.61</v>
      </c>
      <c r="U278">
        <v>76.760000000000005</v>
      </c>
      <c r="V278">
        <v>54.95</v>
      </c>
      <c r="W278">
        <v>81.3</v>
      </c>
      <c r="X278">
        <v>91.27</v>
      </c>
      <c r="Y278">
        <v>42.38</v>
      </c>
      <c r="Z278">
        <v>104.06</v>
      </c>
      <c r="AA278">
        <v>83.55</v>
      </c>
      <c r="AB278">
        <v>83.76</v>
      </c>
      <c r="AC278">
        <v>39.47</v>
      </c>
      <c r="AD278">
        <v>53.81</v>
      </c>
      <c r="AE278">
        <v>26.21</v>
      </c>
      <c r="AF278">
        <v>32.82</v>
      </c>
      <c r="AG278">
        <v>28.89</v>
      </c>
      <c r="AH278">
        <v>31.45</v>
      </c>
      <c r="AI278">
        <v>1.2270000000000001</v>
      </c>
      <c r="AJ278">
        <v>42.45</v>
      </c>
      <c r="AK278" t="s">
        <v>172</v>
      </c>
      <c r="AL278"/>
      <c r="AM278"/>
      <c r="AN278">
        <v>111</v>
      </c>
      <c r="AO278"/>
      <c r="AP278"/>
      <c r="AQ278"/>
      <c r="AR278"/>
      <c r="AS278"/>
      <c r="AT278" t="s">
        <v>146</v>
      </c>
      <c r="AU278" t="s">
        <v>147</v>
      </c>
    </row>
    <row r="279" spans="1:47" x14ac:dyDescent="0.2">
      <c r="A279" s="29">
        <v>280.00000000000114</v>
      </c>
      <c r="B279">
        <v>245</v>
      </c>
      <c r="C279">
        <v>22.277999999999999</v>
      </c>
      <c r="D279" s="64" t="s">
        <v>223</v>
      </c>
      <c r="E279" t="s">
        <v>224</v>
      </c>
      <c r="F279" t="s">
        <v>73</v>
      </c>
      <c r="G279" t="s">
        <v>73</v>
      </c>
      <c r="H279"/>
      <c r="I279" s="32">
        <v>44654</v>
      </c>
      <c r="J279" t="s">
        <v>142</v>
      </c>
      <c r="K279" t="s">
        <v>204</v>
      </c>
      <c r="L279"/>
      <c r="M279"/>
      <c r="N279">
        <v>254.26</v>
      </c>
      <c r="O279">
        <v>149.21</v>
      </c>
      <c r="P279">
        <v>156.27000000000001</v>
      </c>
      <c r="Q279">
        <v>32.56</v>
      </c>
      <c r="R279">
        <v>12.57</v>
      </c>
      <c r="S279">
        <v>104.11</v>
      </c>
      <c r="T279">
        <v>86.65</v>
      </c>
      <c r="U279">
        <v>77.08</v>
      </c>
      <c r="V279">
        <v>57.32</v>
      </c>
      <c r="W279">
        <v>80.12</v>
      </c>
      <c r="X279">
        <v>90.2</v>
      </c>
      <c r="Y279">
        <v>44.2</v>
      </c>
      <c r="Z279">
        <v>104.77</v>
      </c>
      <c r="AA279">
        <v>85.25</v>
      </c>
      <c r="AB279">
        <v>82.09</v>
      </c>
      <c r="AC279">
        <v>31.18</v>
      </c>
      <c r="AD279">
        <v>54.44</v>
      </c>
      <c r="AE279">
        <v>32.71</v>
      </c>
      <c r="AF279">
        <v>33.72</v>
      </c>
      <c r="AG279">
        <v>30.06</v>
      </c>
      <c r="AH279">
        <v>32.270000000000003</v>
      </c>
      <c r="AI279">
        <v>1.29</v>
      </c>
      <c r="AJ279">
        <v>45.51</v>
      </c>
      <c r="AK279" t="s">
        <v>172</v>
      </c>
      <c r="AL279"/>
      <c r="AM279"/>
      <c r="AN279">
        <v>112</v>
      </c>
      <c r="AO279"/>
      <c r="AP279"/>
      <c r="AQ279"/>
      <c r="AR279"/>
      <c r="AS279"/>
      <c r="AT279" t="s">
        <v>146</v>
      </c>
      <c r="AU279" t="s">
        <v>147</v>
      </c>
    </row>
    <row r="280" spans="1:47" x14ac:dyDescent="0.2">
      <c r="A280" s="29">
        <v>280.99999999999881</v>
      </c>
      <c r="B280">
        <v>76</v>
      </c>
      <c r="C280">
        <v>22.279</v>
      </c>
      <c r="D280" s="31" t="s">
        <v>140</v>
      </c>
      <c r="E280" t="s">
        <v>141</v>
      </c>
      <c r="F280" s="17" t="s">
        <v>62</v>
      </c>
      <c r="G280" s="17" t="s">
        <v>62</v>
      </c>
      <c r="H280" s="17"/>
      <c r="I280" s="32">
        <v>44684</v>
      </c>
      <c r="J280" t="s">
        <v>142</v>
      </c>
      <c r="K280" t="s">
        <v>204</v>
      </c>
      <c r="L280"/>
      <c r="M280" s="17">
        <v>288.39999999999998</v>
      </c>
      <c r="N280">
        <v>296.45</v>
      </c>
      <c r="O280">
        <v>204.81</v>
      </c>
      <c r="P280">
        <v>206.67</v>
      </c>
      <c r="Q280">
        <v>47.79</v>
      </c>
      <c r="R280">
        <v>27.12</v>
      </c>
      <c r="S280">
        <v>131.35</v>
      </c>
      <c r="T280">
        <v>106.56</v>
      </c>
      <c r="U280">
        <v>67.819999999999993</v>
      </c>
      <c r="V280">
        <v>53.65</v>
      </c>
      <c r="W280">
        <v>75.569999999999993</v>
      </c>
      <c r="X280">
        <v>91.83</v>
      </c>
      <c r="Y280">
        <v>41.42</v>
      </c>
      <c r="Z280">
        <v>105.12</v>
      </c>
      <c r="AA280">
        <v>87.7</v>
      </c>
      <c r="AB280">
        <v>77.83</v>
      </c>
      <c r="AC280">
        <v>20.72</v>
      </c>
      <c r="AD280">
        <v>52.94</v>
      </c>
      <c r="AE280">
        <v>32.54</v>
      </c>
      <c r="AF280">
        <v>48.03</v>
      </c>
      <c r="AG280">
        <v>35.56</v>
      </c>
      <c r="AH280">
        <v>48.58</v>
      </c>
      <c r="AI280">
        <v>1.33</v>
      </c>
      <c r="AJ280">
        <v>53.36</v>
      </c>
      <c r="AK280" t="s">
        <v>172</v>
      </c>
      <c r="AL280"/>
      <c r="AM280"/>
      <c r="AN280">
        <v>132</v>
      </c>
      <c r="AO280"/>
      <c r="AP280"/>
      <c r="AQ280"/>
      <c r="AR280"/>
      <c r="AS280"/>
      <c r="AT280" t="s">
        <v>146</v>
      </c>
      <c r="AU280" t="s">
        <v>147</v>
      </c>
    </row>
    <row r="281" spans="1:47" x14ac:dyDescent="0.2">
      <c r="A281" s="29">
        <v>282</v>
      </c>
      <c r="B281" s="17">
        <v>261</v>
      </c>
      <c r="C281" s="5" t="s">
        <v>66</v>
      </c>
      <c r="D281" s="64" t="s">
        <v>223</v>
      </c>
      <c r="E281" t="s">
        <v>224</v>
      </c>
      <c r="F281" t="s">
        <v>73</v>
      </c>
      <c r="G281" t="s">
        <v>73</v>
      </c>
      <c r="H281"/>
      <c r="I281" s="32">
        <v>44672</v>
      </c>
      <c r="J281" t="s">
        <v>142</v>
      </c>
      <c r="K281" s="17" t="s">
        <v>235</v>
      </c>
      <c r="L281" s="70">
        <v>308.7</v>
      </c>
      <c r="M281"/>
      <c r="N281" s="71">
        <v>306.91000000000003</v>
      </c>
      <c r="O281" s="72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>
        <v>1.39</v>
      </c>
      <c r="AJ281">
        <v>44.38</v>
      </c>
      <c r="AK281" t="s">
        <v>172</v>
      </c>
      <c r="AL281"/>
      <c r="AM281"/>
      <c r="AN281">
        <v>146</v>
      </c>
      <c r="AO281"/>
      <c r="AP281"/>
      <c r="AQ281"/>
      <c r="AR281"/>
      <c r="AS281"/>
      <c r="AT281" t="s">
        <v>146</v>
      </c>
      <c r="AU281" t="s">
        <v>233</v>
      </c>
    </row>
    <row r="282" spans="1:47" x14ac:dyDescent="0.2">
      <c r="A282" s="29">
        <v>283.00000000000125</v>
      </c>
      <c r="B282" s="17">
        <v>267</v>
      </c>
      <c r="C282">
        <v>22.280999999999999</v>
      </c>
      <c r="D282" s="64" t="s">
        <v>223</v>
      </c>
      <c r="E282" t="s">
        <v>224</v>
      </c>
      <c r="F282" t="s">
        <v>73</v>
      </c>
      <c r="G282" t="s">
        <v>73</v>
      </c>
      <c r="H282"/>
      <c r="I282" s="32">
        <v>44682</v>
      </c>
      <c r="J282" t="s">
        <v>142</v>
      </c>
      <c r="K282" s="17" t="s">
        <v>235</v>
      </c>
      <c r="L282" s="37">
        <v>245.2</v>
      </c>
      <c r="M282" s="70"/>
      <c r="N282" s="73">
        <v>246.17</v>
      </c>
      <c r="O282" s="72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>
        <v>1.2889999999999999</v>
      </c>
      <c r="AJ282">
        <v>43.21</v>
      </c>
      <c r="AK282" t="s">
        <v>173</v>
      </c>
      <c r="AL282"/>
      <c r="AM282">
        <v>29</v>
      </c>
      <c r="AN282">
        <v>84</v>
      </c>
      <c r="AO282"/>
      <c r="AP282"/>
      <c r="AQ282"/>
      <c r="AR282"/>
      <c r="AS282"/>
      <c r="AT282" t="s">
        <v>146</v>
      </c>
      <c r="AU282" t="s">
        <v>233</v>
      </c>
    </row>
    <row r="283" spans="1:47" x14ac:dyDescent="0.2">
      <c r="A283" s="29">
        <v>283.99999999999892</v>
      </c>
      <c r="B283" s="17">
        <v>262</v>
      </c>
      <c r="C283">
        <v>22.282</v>
      </c>
      <c r="D283" s="64" t="s">
        <v>223</v>
      </c>
      <c r="E283" t="s">
        <v>224</v>
      </c>
      <c r="F283" t="s">
        <v>73</v>
      </c>
      <c r="G283" t="s">
        <v>73</v>
      </c>
      <c r="H283"/>
      <c r="I283" s="32">
        <v>44681</v>
      </c>
      <c r="J283" t="s">
        <v>142</v>
      </c>
      <c r="K283" s="17" t="s">
        <v>235</v>
      </c>
      <c r="L283" s="37">
        <v>322.3</v>
      </c>
      <c r="M283" s="71"/>
      <c r="N283" s="73">
        <v>322.44</v>
      </c>
      <c r="O283" s="72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>
        <v>1.7729999999999999</v>
      </c>
      <c r="AJ283">
        <v>46.44</v>
      </c>
      <c r="AK283" t="s">
        <v>173</v>
      </c>
      <c r="AL283"/>
      <c r="AM283">
        <v>95</v>
      </c>
      <c r="AN283">
        <v>57</v>
      </c>
      <c r="AO283"/>
      <c r="AP283"/>
      <c r="AQ283"/>
      <c r="AR283"/>
      <c r="AS283"/>
      <c r="AT283" t="s">
        <v>146</v>
      </c>
      <c r="AU283" t="s">
        <v>233</v>
      </c>
    </row>
    <row r="284" spans="1:47" x14ac:dyDescent="0.2">
      <c r="A284" s="29">
        <v>285.00000000000011</v>
      </c>
      <c r="B284" s="17">
        <v>272</v>
      </c>
      <c r="C284">
        <v>22.283000000000001</v>
      </c>
      <c r="D284" s="64" t="s">
        <v>223</v>
      </c>
      <c r="E284" t="s">
        <v>236</v>
      </c>
      <c r="F284" t="s">
        <v>73</v>
      </c>
      <c r="G284" t="s">
        <v>73</v>
      </c>
      <c r="H284"/>
      <c r="I284" s="32">
        <v>44702</v>
      </c>
      <c r="J284" t="s">
        <v>142</v>
      </c>
      <c r="K284" s="17" t="s">
        <v>235</v>
      </c>
      <c r="L284" s="17">
        <v>285.7</v>
      </c>
      <c r="M284" s="71"/>
      <c r="N284" s="73">
        <v>287</v>
      </c>
      <c r="O284" s="72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>
        <v>1.554</v>
      </c>
      <c r="AJ284">
        <v>30.04</v>
      </c>
      <c r="AK284" t="s">
        <v>172</v>
      </c>
      <c r="AL284"/>
      <c r="AM284"/>
      <c r="AN284">
        <v>138</v>
      </c>
      <c r="AO284"/>
      <c r="AP284"/>
      <c r="AQ284"/>
      <c r="AR284"/>
      <c r="AS284"/>
      <c r="AT284" t="s">
        <v>146</v>
      </c>
      <c r="AU284" t="s">
        <v>233</v>
      </c>
    </row>
    <row r="285" spans="1:47" x14ac:dyDescent="0.2">
      <c r="A285" s="29">
        <v>286.00000000000136</v>
      </c>
      <c r="B285" s="17">
        <v>271</v>
      </c>
      <c r="C285">
        <v>22.283999999999999</v>
      </c>
      <c r="D285" s="64" t="s">
        <v>223</v>
      </c>
      <c r="E285" t="s">
        <v>236</v>
      </c>
      <c r="F285" t="s">
        <v>73</v>
      </c>
      <c r="G285" t="s">
        <v>73</v>
      </c>
      <c r="H285"/>
      <c r="I285" s="32">
        <v>44702</v>
      </c>
      <c r="J285" t="s">
        <v>142</v>
      </c>
      <c r="K285" s="17" t="s">
        <v>235</v>
      </c>
      <c r="L285" s="17">
        <v>267.60000000000002</v>
      </c>
      <c r="M285" s="71"/>
      <c r="N285" s="73">
        <v>268.70999999999998</v>
      </c>
      <c r="O285" s="72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>
        <v>1.502</v>
      </c>
      <c r="AJ285">
        <v>47.18</v>
      </c>
      <c r="AK285" t="s">
        <v>173</v>
      </c>
      <c r="AL285"/>
      <c r="AM285">
        <v>28</v>
      </c>
      <c r="AN285">
        <v>68</v>
      </c>
      <c r="AO285"/>
      <c r="AP285"/>
      <c r="AQ285"/>
      <c r="AR285"/>
      <c r="AS285"/>
      <c r="AT285" t="s">
        <v>146</v>
      </c>
      <c r="AU285" t="s">
        <v>233</v>
      </c>
    </row>
    <row r="286" spans="1:47" x14ac:dyDescent="0.2">
      <c r="A286" s="29">
        <v>286.99999999999903</v>
      </c>
      <c r="B286" s="17">
        <v>275</v>
      </c>
      <c r="C286" s="17">
        <v>22.285</v>
      </c>
      <c r="D286" s="64" t="s">
        <v>223</v>
      </c>
      <c r="E286" s="3" t="s">
        <v>236</v>
      </c>
      <c r="F286" t="s">
        <v>73</v>
      </c>
      <c r="G286" t="s">
        <v>73</v>
      </c>
      <c r="H286"/>
      <c r="I286" s="32">
        <v>44714</v>
      </c>
      <c r="J286" s="3" t="s">
        <v>142</v>
      </c>
      <c r="K286" s="3" t="s">
        <v>235</v>
      </c>
      <c r="L286" s="3">
        <v>276.60000000000002</v>
      </c>
      <c r="M286" s="71"/>
      <c r="N286" s="71">
        <v>277.88</v>
      </c>
      <c r="O286" s="72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>
        <v>1.329</v>
      </c>
      <c r="AJ286">
        <v>50.95</v>
      </c>
      <c r="AK286" t="s">
        <v>173</v>
      </c>
      <c r="AL286"/>
      <c r="AM286"/>
      <c r="AN286">
        <v>84</v>
      </c>
      <c r="AO286"/>
      <c r="AP286"/>
      <c r="AQ286"/>
      <c r="AR286"/>
      <c r="AS286"/>
      <c r="AT286" t="s">
        <v>146</v>
      </c>
      <c r="AU286" t="s">
        <v>233</v>
      </c>
    </row>
    <row r="287" spans="1:47" x14ac:dyDescent="0.2">
      <c r="A287" s="29">
        <v>288.00000000000023</v>
      </c>
      <c r="B287" s="17">
        <v>265</v>
      </c>
      <c r="C287" s="17">
        <v>22.286000000000001</v>
      </c>
      <c r="D287" s="64" t="s">
        <v>223</v>
      </c>
      <c r="E287" s="3" t="s">
        <v>224</v>
      </c>
      <c r="F287" t="s">
        <v>73</v>
      </c>
      <c r="G287" t="s">
        <v>73</v>
      </c>
      <c r="H287"/>
      <c r="I287" s="32">
        <v>44682</v>
      </c>
      <c r="J287" s="3" t="s">
        <v>142</v>
      </c>
      <c r="K287" s="3" t="s">
        <v>235</v>
      </c>
      <c r="L287" s="13">
        <v>249.7</v>
      </c>
      <c r="M287" s="71"/>
      <c r="N287">
        <v>252.17</v>
      </c>
      <c r="O287" s="72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>
        <v>1.395</v>
      </c>
      <c r="AJ287">
        <v>42.74</v>
      </c>
      <c r="AK287" t="s">
        <v>173</v>
      </c>
      <c r="AL287">
        <v>56</v>
      </c>
      <c r="AM287">
        <v>60</v>
      </c>
      <c r="AN287"/>
      <c r="AO287"/>
      <c r="AP287"/>
      <c r="AQ287"/>
      <c r="AR287"/>
      <c r="AS287"/>
      <c r="AT287" t="s">
        <v>146</v>
      </c>
      <c r="AU287" t="s">
        <v>233</v>
      </c>
    </row>
    <row r="288" spans="1:47" x14ac:dyDescent="0.2">
      <c r="A288" s="29">
        <v>289.00000000000148</v>
      </c>
      <c r="B288" s="17">
        <v>266</v>
      </c>
      <c r="C288" s="17">
        <v>22.286999999999999</v>
      </c>
      <c r="D288" s="64" t="s">
        <v>223</v>
      </c>
      <c r="E288" s="3" t="s">
        <v>224</v>
      </c>
      <c r="F288" t="s">
        <v>73</v>
      </c>
      <c r="G288" t="s">
        <v>73</v>
      </c>
      <c r="H288"/>
      <c r="I288" s="32">
        <v>44682</v>
      </c>
      <c r="J288" s="3" t="s">
        <v>142</v>
      </c>
      <c r="K288" s="3" t="s">
        <v>235</v>
      </c>
      <c r="L288" s="13">
        <v>254.24</v>
      </c>
      <c r="M288" s="71"/>
      <c r="N288" s="71">
        <v>257</v>
      </c>
      <c r="O288" s="72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>
        <v>1.43</v>
      </c>
      <c r="AJ288">
        <v>45</v>
      </c>
      <c r="AK288" t="s">
        <v>173</v>
      </c>
      <c r="AL288">
        <v>86</v>
      </c>
      <c r="AM288">
        <v>30</v>
      </c>
      <c r="AN288"/>
      <c r="AO288"/>
      <c r="AP288"/>
      <c r="AQ288"/>
      <c r="AR288"/>
      <c r="AS288"/>
      <c r="AT288" t="s">
        <v>146</v>
      </c>
      <c r="AU288" t="s">
        <v>233</v>
      </c>
    </row>
    <row r="289" spans="1:65" x14ac:dyDescent="0.2">
      <c r="A289" s="29">
        <v>289.99999999999915</v>
      </c>
      <c r="B289" s="17">
        <v>264</v>
      </c>
      <c r="C289" s="17">
        <v>22.288</v>
      </c>
      <c r="D289" s="64" t="s">
        <v>223</v>
      </c>
      <c r="E289" s="3" t="s">
        <v>224</v>
      </c>
      <c r="F289" t="s">
        <v>73</v>
      </c>
      <c r="G289" t="s">
        <v>73</v>
      </c>
      <c r="H289"/>
      <c r="I289" s="32">
        <v>44682</v>
      </c>
      <c r="J289" s="3" t="s">
        <v>142</v>
      </c>
      <c r="K289" s="3" t="s">
        <v>235</v>
      </c>
      <c r="L289" s="13">
        <v>249.7</v>
      </c>
      <c r="M289" s="71"/>
      <c r="N289" s="71">
        <v>255.81</v>
      </c>
      <c r="O289" s="72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>
        <v>1.306</v>
      </c>
      <c r="AJ289">
        <v>47.76</v>
      </c>
      <c r="AK289" t="s">
        <v>173</v>
      </c>
      <c r="AL289">
        <v>81</v>
      </c>
      <c r="AM289">
        <v>34</v>
      </c>
      <c r="AN289"/>
      <c r="AO289"/>
      <c r="AP289"/>
      <c r="AQ289"/>
      <c r="AR289"/>
      <c r="AS289"/>
      <c r="AT289" t="s">
        <v>146</v>
      </c>
      <c r="AU289" t="s">
        <v>233</v>
      </c>
    </row>
    <row r="290" spans="1:65" x14ac:dyDescent="0.2">
      <c r="A290" s="29">
        <v>291.00000000000034</v>
      </c>
      <c r="B290" s="17" t="s">
        <v>237</v>
      </c>
      <c r="C290" s="17">
        <v>22.289000000000001</v>
      </c>
      <c r="D290" s="74" t="s">
        <v>179</v>
      </c>
      <c r="E290" t="s">
        <v>180</v>
      </c>
      <c r="F290" t="s">
        <v>181</v>
      </c>
      <c r="G290" s="3">
        <v>8</v>
      </c>
      <c r="H290"/>
      <c r="I290" s="32">
        <v>44690</v>
      </c>
      <c r="J290" s="17" t="s">
        <v>238</v>
      </c>
      <c r="K290" s="17" t="s">
        <v>235</v>
      </c>
      <c r="L290">
        <v>260</v>
      </c>
      <c r="M290"/>
      <c r="N290">
        <v>258.13</v>
      </c>
      <c r="O290" s="72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>
        <v>1.216</v>
      </c>
      <c r="AJ290">
        <v>28.96</v>
      </c>
      <c r="AK290" t="s">
        <v>239</v>
      </c>
      <c r="AL290"/>
      <c r="AM290"/>
      <c r="AN290">
        <v>90</v>
      </c>
      <c r="AO290"/>
      <c r="AP290"/>
      <c r="AQ290"/>
      <c r="AR290"/>
      <c r="AS290"/>
      <c r="AT290" t="s">
        <v>146</v>
      </c>
      <c r="AU290" t="s">
        <v>233</v>
      </c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</row>
    <row r="291" spans="1:65" x14ac:dyDescent="0.2">
      <c r="A291" s="29">
        <v>292.00000000000159</v>
      </c>
      <c r="B291" s="17" t="s">
        <v>240</v>
      </c>
      <c r="C291" s="22" t="s">
        <v>35</v>
      </c>
      <c r="D291" s="74" t="s">
        <v>179</v>
      </c>
      <c r="E291" t="s">
        <v>180</v>
      </c>
      <c r="F291" t="s">
        <v>181</v>
      </c>
      <c r="G291" s="3">
        <v>8</v>
      </c>
      <c r="H291"/>
      <c r="I291" s="32">
        <v>44690</v>
      </c>
      <c r="J291" s="17" t="s">
        <v>238</v>
      </c>
      <c r="K291" s="17" t="s">
        <v>235</v>
      </c>
      <c r="L291">
        <v>260</v>
      </c>
      <c r="M291"/>
      <c r="N291"/>
      <c r="O291" s="72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/>
      <c r="AJ291"/>
      <c r="AK291"/>
      <c r="AL291"/>
      <c r="AM291"/>
      <c r="AN291"/>
      <c r="AO291"/>
      <c r="AP291"/>
      <c r="AQ291"/>
      <c r="AR291"/>
      <c r="AS291"/>
      <c r="AT291" t="s">
        <v>146</v>
      </c>
      <c r="AU291" t="s">
        <v>233</v>
      </c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</row>
    <row r="292" spans="1:65" x14ac:dyDescent="0.2">
      <c r="A292" s="29">
        <v>292.99999999999926</v>
      </c>
      <c r="B292" s="3">
        <v>280</v>
      </c>
      <c r="C292" s="3">
        <v>22.291</v>
      </c>
      <c r="D292" s="44" t="s">
        <v>168</v>
      </c>
      <c r="E292" s="3" t="s">
        <v>169</v>
      </c>
      <c r="F292" s="3" t="s">
        <v>170</v>
      </c>
      <c r="G292" t="s">
        <v>30</v>
      </c>
      <c r="I292" s="32">
        <v>44592</v>
      </c>
      <c r="J292" s="3" t="s">
        <v>142</v>
      </c>
      <c r="K292" s="3" t="s">
        <v>204</v>
      </c>
      <c r="AT292" s="3" t="s">
        <v>241</v>
      </c>
      <c r="BL292"/>
      <c r="BM292"/>
    </row>
    <row r="293" spans="1:65" x14ac:dyDescent="0.2">
      <c r="A293" s="29">
        <v>294.00000000000045</v>
      </c>
      <c r="B293" s="3">
        <v>282</v>
      </c>
      <c r="C293" s="3">
        <v>22.292000000000002</v>
      </c>
      <c r="D293" s="44" t="s">
        <v>168</v>
      </c>
      <c r="E293" s="3" t="s">
        <v>169</v>
      </c>
      <c r="F293" s="3" t="s">
        <v>170</v>
      </c>
      <c r="G293" t="s">
        <v>30</v>
      </c>
      <c r="I293" s="32">
        <v>44593</v>
      </c>
      <c r="J293" s="3" t="s">
        <v>142</v>
      </c>
      <c r="K293" s="3" t="s">
        <v>204</v>
      </c>
      <c r="AT293" s="3" t="s">
        <v>241</v>
      </c>
      <c r="BL293"/>
      <c r="BM293"/>
    </row>
    <row r="294" spans="1:65" x14ac:dyDescent="0.2">
      <c r="A294" s="29">
        <v>295.00000000000171</v>
      </c>
      <c r="B294" s="3">
        <v>284</v>
      </c>
      <c r="C294" s="3">
        <v>22.292999999999999</v>
      </c>
      <c r="D294" s="44" t="s">
        <v>168</v>
      </c>
      <c r="E294" s="3" t="s">
        <v>169</v>
      </c>
      <c r="F294" s="3" t="s">
        <v>170</v>
      </c>
      <c r="G294"/>
      <c r="I294" s="32">
        <v>44593</v>
      </c>
      <c r="J294" s="3" t="s">
        <v>142</v>
      </c>
      <c r="K294" s="3" t="s">
        <v>204</v>
      </c>
      <c r="AT294" s="3" t="s">
        <v>241</v>
      </c>
    </row>
    <row r="295" spans="1:65" ht="22" customHeight="1" x14ac:dyDescent="0.2">
      <c r="A295" s="29">
        <v>298.99999999999949</v>
      </c>
      <c r="B295" s="3">
        <v>288</v>
      </c>
      <c r="C295" s="3">
        <v>22.294</v>
      </c>
      <c r="D295" s="44" t="s">
        <v>168</v>
      </c>
      <c r="E295" s="3" t="s">
        <v>169</v>
      </c>
      <c r="F295" s="3" t="s">
        <v>170</v>
      </c>
      <c r="G295" t="s">
        <v>30</v>
      </c>
      <c r="I295" s="68">
        <v>44609</v>
      </c>
      <c r="J295" s="3" t="s">
        <v>142</v>
      </c>
      <c r="K295" s="3" t="s">
        <v>204</v>
      </c>
      <c r="AT295" s="3" t="s">
        <v>241</v>
      </c>
    </row>
    <row r="296" spans="1:65" ht="20" customHeight="1" x14ac:dyDescent="0.2">
      <c r="A296" s="29">
        <v>300.00000000000068</v>
      </c>
      <c r="B296" s="3">
        <v>333</v>
      </c>
      <c r="C296" s="3">
        <v>22.295000000000002</v>
      </c>
      <c r="D296" s="44" t="s">
        <v>168</v>
      </c>
      <c r="E296" s="3" t="s">
        <v>169</v>
      </c>
      <c r="F296" s="3" t="s">
        <v>170</v>
      </c>
      <c r="G296" t="s">
        <v>30</v>
      </c>
      <c r="I296" s="68">
        <v>44664</v>
      </c>
      <c r="J296" s="3" t="s">
        <v>142</v>
      </c>
      <c r="K296" s="3" t="s">
        <v>204</v>
      </c>
      <c r="AT296" s="3" t="s">
        <v>241</v>
      </c>
    </row>
    <row r="297" spans="1:65" ht="18" customHeight="1" x14ac:dyDescent="0.2">
      <c r="A297" s="29">
        <v>300.99999999999841</v>
      </c>
      <c r="B297" s="3">
        <v>346</v>
      </c>
      <c r="C297" s="3">
        <v>22.295999999999999</v>
      </c>
      <c r="D297" s="44" t="s">
        <v>168</v>
      </c>
      <c r="E297" s="3" t="s">
        <v>169</v>
      </c>
      <c r="F297" s="3" t="s">
        <v>170</v>
      </c>
      <c r="G297" t="s">
        <v>30</v>
      </c>
      <c r="I297" s="68">
        <v>44678</v>
      </c>
      <c r="J297" s="3" t="s">
        <v>142</v>
      </c>
      <c r="K297" s="3" t="s">
        <v>204</v>
      </c>
      <c r="AT297" s="3" t="s">
        <v>241</v>
      </c>
    </row>
    <row r="298" spans="1:65" x14ac:dyDescent="0.2">
      <c r="A298" s="29">
        <v>301.9999999999996</v>
      </c>
      <c r="B298" s="3">
        <v>72</v>
      </c>
      <c r="C298" s="3">
        <v>22.297000000000001</v>
      </c>
      <c r="D298" s="31" t="s">
        <v>140</v>
      </c>
      <c r="E298" t="s">
        <v>141</v>
      </c>
      <c r="F298" s="17" t="s">
        <v>164</v>
      </c>
      <c r="G298"/>
      <c r="H298" s="3" t="s">
        <v>165</v>
      </c>
      <c r="I298" s="32">
        <v>44668</v>
      </c>
      <c r="J298" t="s">
        <v>142</v>
      </c>
      <c r="K298" t="s">
        <v>166</v>
      </c>
      <c r="L298"/>
      <c r="M298"/>
      <c r="N298">
        <v>243.2</v>
      </c>
      <c r="O298">
        <v>190.07</v>
      </c>
      <c r="P298">
        <v>220</v>
      </c>
      <c r="Q298">
        <v>49.47</v>
      </c>
      <c r="R298">
        <v>30.4</v>
      </c>
      <c r="S298">
        <v>131.12</v>
      </c>
      <c r="T298">
        <v>99.89</v>
      </c>
      <c r="U298">
        <v>63.85</v>
      </c>
      <c r="V298">
        <v>51.79</v>
      </c>
      <c r="W298">
        <v>71.349999999999994</v>
      </c>
      <c r="X298">
        <v>93.08</v>
      </c>
      <c r="Y298">
        <v>39.950000000000003</v>
      </c>
      <c r="Z298">
        <v>105.57</v>
      </c>
      <c r="AA298">
        <v>79.3</v>
      </c>
      <c r="AB298">
        <v>79.23</v>
      </c>
      <c r="AC298">
        <v>17.850000000000001</v>
      </c>
      <c r="AD298">
        <v>45.39</v>
      </c>
      <c r="AE298">
        <v>30.96</v>
      </c>
      <c r="AF298">
        <v>43.23</v>
      </c>
      <c r="AG298">
        <v>36.97</v>
      </c>
      <c r="AH298">
        <v>45.12</v>
      </c>
      <c r="AI298">
        <v>1.625</v>
      </c>
      <c r="AJ298"/>
      <c r="AK298"/>
      <c r="AL298">
        <v>13</v>
      </c>
      <c r="AM298"/>
      <c r="AN298"/>
      <c r="AO298">
        <v>9.8000000000000007</v>
      </c>
      <c r="AP298">
        <v>93.9</v>
      </c>
      <c r="AQ298">
        <v>73.900000000000006</v>
      </c>
      <c r="AR298">
        <v>48.5</v>
      </c>
      <c r="AS298"/>
      <c r="AT298" t="s">
        <v>147</v>
      </c>
      <c r="AU298" t="s">
        <v>147</v>
      </c>
    </row>
    <row r="299" spans="1:65" x14ac:dyDescent="0.2">
      <c r="A299" s="29">
        <v>304.99999999999972</v>
      </c>
      <c r="B299" s="3" t="s">
        <v>242</v>
      </c>
      <c r="C299" s="3">
        <v>22.297999999999998</v>
      </c>
      <c r="D299" s="45" t="s">
        <v>179</v>
      </c>
      <c r="E299" t="s">
        <v>180</v>
      </c>
      <c r="F299" t="s">
        <v>181</v>
      </c>
      <c r="G299"/>
      <c r="H299" t="s">
        <v>182</v>
      </c>
      <c r="I299" s="32">
        <v>44649</v>
      </c>
      <c r="J299" t="s">
        <v>142</v>
      </c>
      <c r="K299" t="s">
        <v>204</v>
      </c>
      <c r="L299">
        <v>260</v>
      </c>
      <c r="M299"/>
      <c r="N299">
        <v>263.87</v>
      </c>
      <c r="O299">
        <v>196</v>
      </c>
      <c r="P299">
        <v>206.67</v>
      </c>
      <c r="Q299">
        <v>52.16</v>
      </c>
      <c r="R299">
        <v>25.4</v>
      </c>
      <c r="S299">
        <v>127.87</v>
      </c>
      <c r="T299">
        <v>109.36</v>
      </c>
      <c r="U299">
        <v>59.03</v>
      </c>
      <c r="V299">
        <v>44.57</v>
      </c>
      <c r="W299">
        <v>68.91</v>
      </c>
      <c r="X299">
        <v>82.86</v>
      </c>
      <c r="Y299">
        <v>38.090000000000003</v>
      </c>
      <c r="Z299">
        <v>94.59</v>
      </c>
      <c r="AA299">
        <v>77.59</v>
      </c>
      <c r="AB299">
        <v>63.11</v>
      </c>
      <c r="AC299">
        <v>15.18</v>
      </c>
      <c r="AD299">
        <v>51.44</v>
      </c>
      <c r="AE299">
        <v>30.04</v>
      </c>
      <c r="AF299">
        <v>37.29</v>
      </c>
      <c r="AG299">
        <v>32.729999999999997</v>
      </c>
      <c r="AH299">
        <v>43.27</v>
      </c>
      <c r="AI299">
        <v>1.206</v>
      </c>
      <c r="AJ299">
        <v>35.270000000000003</v>
      </c>
      <c r="AK299" t="s">
        <v>173</v>
      </c>
      <c r="AL299"/>
      <c r="AM299"/>
      <c r="AN299">
        <v>89</v>
      </c>
      <c r="AO299"/>
      <c r="AP299"/>
      <c r="AQ299"/>
      <c r="AR299"/>
      <c r="AS299"/>
      <c r="AT299" t="s">
        <v>146</v>
      </c>
      <c r="AU299" t="s">
        <v>144</v>
      </c>
    </row>
    <row r="300" spans="1:65" x14ac:dyDescent="0.2">
      <c r="A300" s="29">
        <v>306.00000000000091</v>
      </c>
      <c r="B300" s="3" t="s">
        <v>243</v>
      </c>
      <c r="C300" s="3">
        <v>22.298999999999999</v>
      </c>
      <c r="D300" s="45" t="s">
        <v>179</v>
      </c>
      <c r="E300" t="s">
        <v>180</v>
      </c>
      <c r="F300" t="s">
        <v>181</v>
      </c>
      <c r="G300"/>
      <c r="H300" t="s">
        <v>182</v>
      </c>
      <c r="I300" s="32">
        <v>44632</v>
      </c>
      <c r="J300" t="s">
        <v>142</v>
      </c>
      <c r="K300" t="s">
        <v>204</v>
      </c>
      <c r="L300">
        <v>265</v>
      </c>
      <c r="M300"/>
      <c r="N300">
        <v>268.44</v>
      </c>
      <c r="O300">
        <v>194.27</v>
      </c>
      <c r="P300">
        <v>206.67</v>
      </c>
      <c r="Q300">
        <v>52.6</v>
      </c>
      <c r="R300">
        <v>20.38</v>
      </c>
      <c r="S300">
        <v>129.06</v>
      </c>
      <c r="T300">
        <v>106.73</v>
      </c>
      <c r="U300">
        <v>63.61</v>
      </c>
      <c r="V300">
        <v>45.72</v>
      </c>
      <c r="W300">
        <v>70.150000000000006</v>
      </c>
      <c r="X300">
        <v>82.39</v>
      </c>
      <c r="Y300">
        <v>35.01</v>
      </c>
      <c r="Z300">
        <v>94.77</v>
      </c>
      <c r="AA300">
        <v>77.209999999999994</v>
      </c>
      <c r="AB300">
        <v>64.64</v>
      </c>
      <c r="AC300">
        <v>15.21</v>
      </c>
      <c r="AD300">
        <v>52.13</v>
      </c>
      <c r="AE300">
        <v>30.53</v>
      </c>
      <c r="AF300">
        <v>38.380000000000003</v>
      </c>
      <c r="AG300">
        <v>30.27</v>
      </c>
      <c r="AH300">
        <v>43.16</v>
      </c>
      <c r="AI300">
        <v>1.304</v>
      </c>
      <c r="AJ300">
        <v>34.869999999999997</v>
      </c>
      <c r="AK300" t="s">
        <v>173</v>
      </c>
      <c r="AL300">
        <v>36</v>
      </c>
      <c r="AM300">
        <v>72</v>
      </c>
      <c r="AN300"/>
      <c r="AO300"/>
      <c r="AP300"/>
      <c r="AQ300"/>
      <c r="AR300"/>
      <c r="AS300"/>
      <c r="AT300" t="s">
        <v>146</v>
      </c>
      <c r="AU300" t="s">
        <v>144</v>
      </c>
    </row>
    <row r="301" spans="1:65" x14ac:dyDescent="0.2">
      <c r="A301" s="29">
        <v>307.00000000000199</v>
      </c>
      <c r="B301" s="3">
        <v>330</v>
      </c>
      <c r="C301" s="12" t="s">
        <v>19</v>
      </c>
      <c r="D301" s="44" t="s">
        <v>168</v>
      </c>
      <c r="E301" s="3" t="s">
        <v>169</v>
      </c>
      <c r="F301" s="3" t="s">
        <v>170</v>
      </c>
      <c r="G301"/>
      <c r="I301" s="68">
        <v>44664</v>
      </c>
      <c r="J301" t="s">
        <v>142</v>
      </c>
      <c r="K301" t="s">
        <v>204</v>
      </c>
    </row>
    <row r="302" spans="1:65" ht="28" customHeight="1" x14ac:dyDescent="0.2">
      <c r="A302" s="29">
        <v>308.00000000000301</v>
      </c>
      <c r="B302" s="3">
        <v>305</v>
      </c>
      <c r="C302" s="9">
        <v>22.300999999999998</v>
      </c>
      <c r="D302" s="75" t="s">
        <v>168</v>
      </c>
      <c r="E302" s="17" t="s">
        <v>169</v>
      </c>
      <c r="F302" s="59" t="s">
        <v>219</v>
      </c>
      <c r="G302" s="17"/>
      <c r="H302" s="17"/>
      <c r="I302" s="56">
        <v>44672</v>
      </c>
      <c r="J302" s="16" t="s">
        <v>235</v>
      </c>
      <c r="K302" s="3" t="s">
        <v>204</v>
      </c>
      <c r="AT302" s="3" t="s">
        <v>220</v>
      </c>
    </row>
    <row r="303" spans="1:65" x14ac:dyDescent="0.2">
      <c r="A303" s="29">
        <v>309.00000000000102</v>
      </c>
      <c r="B303" s="3" t="s">
        <v>244</v>
      </c>
      <c r="C303" s="3">
        <v>22.302</v>
      </c>
      <c r="D303" s="74" t="s">
        <v>179</v>
      </c>
      <c r="E303" s="3" t="s">
        <v>180</v>
      </c>
      <c r="F303" t="s">
        <v>181</v>
      </c>
      <c r="G303" s="3">
        <v>8</v>
      </c>
      <c r="I303" s="32">
        <v>44702</v>
      </c>
      <c r="J303" s="3" t="s">
        <v>238</v>
      </c>
      <c r="K303" s="3" t="s">
        <v>235</v>
      </c>
      <c r="L303" s="3">
        <v>265</v>
      </c>
      <c r="N303" s="3">
        <v>259.29000000000002</v>
      </c>
      <c r="AI303" s="3">
        <v>1.198</v>
      </c>
      <c r="AJ303" s="3">
        <v>31.08</v>
      </c>
      <c r="AK303" s="3" t="s">
        <v>173</v>
      </c>
      <c r="AL303" s="3">
        <v>46</v>
      </c>
      <c r="AM303" s="3">
        <v>45</v>
      </c>
      <c r="AT303" s="3" t="s">
        <v>146</v>
      </c>
      <c r="AU303" s="3" t="s">
        <v>233</v>
      </c>
    </row>
    <row r="304" spans="1:65" x14ac:dyDescent="0.2">
      <c r="A304" s="29">
        <v>309.99999999999875</v>
      </c>
      <c r="B304" s="3">
        <v>82</v>
      </c>
      <c r="C304" s="3">
        <v>22.303000000000001</v>
      </c>
      <c r="D304" s="31" t="s">
        <v>140</v>
      </c>
      <c r="E304" s="3" t="s">
        <v>141</v>
      </c>
      <c r="F304" s="17" t="s">
        <v>62</v>
      </c>
      <c r="G304" s="17" t="s">
        <v>62</v>
      </c>
      <c r="H304" s="17"/>
      <c r="I304" s="32">
        <v>44699</v>
      </c>
      <c r="J304" s="3" t="s">
        <v>142</v>
      </c>
      <c r="K304" s="3" t="s">
        <v>204</v>
      </c>
      <c r="L304" s="3">
        <v>282.7</v>
      </c>
      <c r="N304" s="3">
        <v>294.64</v>
      </c>
      <c r="AI304" s="3">
        <v>1.1819999999999999</v>
      </c>
      <c r="AJ304" s="3">
        <v>54.44</v>
      </c>
      <c r="AK304" s="3" t="s">
        <v>172</v>
      </c>
      <c r="AN304" s="3">
        <v>73</v>
      </c>
      <c r="AT304" s="3" t="s">
        <v>146</v>
      </c>
      <c r="AU304" s="3" t="s">
        <v>245</v>
      </c>
    </row>
    <row r="305" spans="1:47" x14ac:dyDescent="0.2">
      <c r="A305" s="29">
        <v>310.99999999999994</v>
      </c>
      <c r="B305" s="3">
        <v>84</v>
      </c>
      <c r="C305" s="3">
        <v>22.303999999999998</v>
      </c>
      <c r="D305" s="31" t="s">
        <v>140</v>
      </c>
      <c r="E305" s="3" t="s">
        <v>141</v>
      </c>
      <c r="F305" s="17" t="s">
        <v>62</v>
      </c>
      <c r="G305" s="17" t="s">
        <v>62</v>
      </c>
      <c r="H305" s="17"/>
      <c r="I305" s="32">
        <v>44700</v>
      </c>
      <c r="J305" s="3" t="s">
        <v>142</v>
      </c>
      <c r="K305" s="3" t="s">
        <v>204</v>
      </c>
      <c r="L305" s="3">
        <v>291.5</v>
      </c>
      <c r="N305" s="3">
        <v>304.25</v>
      </c>
      <c r="AI305" s="3">
        <v>1.345</v>
      </c>
      <c r="AJ305" s="3">
        <v>56.24</v>
      </c>
      <c r="AK305" s="3" t="s">
        <v>172</v>
      </c>
      <c r="AN305" s="3">
        <v>122</v>
      </c>
      <c r="AT305" s="3" t="s">
        <v>146</v>
      </c>
      <c r="AU305" s="3" t="s">
        <v>245</v>
      </c>
    </row>
    <row r="306" spans="1:47" x14ac:dyDescent="0.2">
      <c r="A306" s="29">
        <v>312.00000000000114</v>
      </c>
      <c r="B306" s="3">
        <v>83</v>
      </c>
      <c r="C306" s="3">
        <v>22.305</v>
      </c>
      <c r="D306" s="31" t="s">
        <v>140</v>
      </c>
      <c r="E306" s="3" t="s">
        <v>141</v>
      </c>
      <c r="F306" s="17" t="s">
        <v>62</v>
      </c>
      <c r="G306" s="17" t="s">
        <v>62</v>
      </c>
      <c r="H306" s="17"/>
      <c r="I306" s="32">
        <v>44699</v>
      </c>
      <c r="J306" s="3" t="s">
        <v>142</v>
      </c>
      <c r="K306" s="3" t="s">
        <v>204</v>
      </c>
      <c r="L306" s="3">
        <v>294.89999999999998</v>
      </c>
      <c r="N306" s="3">
        <v>304.36</v>
      </c>
      <c r="AI306" s="3">
        <v>1.5189999999999999</v>
      </c>
      <c r="AJ306" s="3">
        <v>57.349999999999994</v>
      </c>
      <c r="AK306" s="3" t="s">
        <v>173</v>
      </c>
      <c r="AN306" s="3">
        <v>74</v>
      </c>
      <c r="AT306" s="3" t="s">
        <v>146</v>
      </c>
      <c r="AU306" s="3" t="s">
        <v>245</v>
      </c>
    </row>
    <row r="307" spans="1:47" x14ac:dyDescent="0.2">
      <c r="A307" s="29">
        <v>312.99999999999886</v>
      </c>
      <c r="B307" s="14" t="s">
        <v>246</v>
      </c>
      <c r="C307" s="3">
        <v>22.306000000000001</v>
      </c>
      <c r="D307" s="49" t="s">
        <v>187</v>
      </c>
      <c r="E307" s="18" t="s">
        <v>188</v>
      </c>
      <c r="F307" s="14">
        <v>262</v>
      </c>
      <c r="G307" s="14">
        <v>262</v>
      </c>
      <c r="H307" s="14">
        <v>262</v>
      </c>
      <c r="I307" s="76">
        <v>44585</v>
      </c>
      <c r="J307" s="3" t="s">
        <v>142</v>
      </c>
      <c r="K307" s="3" t="s">
        <v>204</v>
      </c>
      <c r="L307" s="3">
        <v>197</v>
      </c>
      <c r="N307" s="3">
        <v>213</v>
      </c>
      <c r="AI307" s="3">
        <v>1.2150000000000001</v>
      </c>
      <c r="AJ307" s="3">
        <v>28.97</v>
      </c>
      <c r="AK307" s="3" t="s">
        <v>172</v>
      </c>
      <c r="AN307" s="3">
        <v>72</v>
      </c>
      <c r="AT307" s="3" t="s">
        <v>146</v>
      </c>
    </row>
    <row r="308" spans="1:47" x14ac:dyDescent="0.2">
      <c r="A308" s="29">
        <v>314.00000000000006</v>
      </c>
      <c r="B308" s="14" t="s">
        <v>247</v>
      </c>
      <c r="C308" s="3">
        <v>22.306999999999999</v>
      </c>
      <c r="D308" s="49" t="s">
        <v>187</v>
      </c>
      <c r="E308" s="18" t="s">
        <v>188</v>
      </c>
      <c r="F308" s="14">
        <v>262</v>
      </c>
      <c r="G308" s="14">
        <v>262</v>
      </c>
      <c r="H308" s="14">
        <v>262</v>
      </c>
      <c r="I308" s="76">
        <v>44585</v>
      </c>
      <c r="J308" s="3" t="s">
        <v>142</v>
      </c>
      <c r="K308" s="3" t="s">
        <v>204</v>
      </c>
      <c r="L308" s="3">
        <v>255</v>
      </c>
      <c r="N308" s="3">
        <v>218.55</v>
      </c>
      <c r="AI308" s="3">
        <v>1.0009999999999999</v>
      </c>
      <c r="AJ308" s="3">
        <v>27.82</v>
      </c>
      <c r="AK308" s="3" t="s">
        <v>172</v>
      </c>
      <c r="AN308" s="3">
        <v>116</v>
      </c>
      <c r="AT308" s="3" t="s">
        <v>146</v>
      </c>
    </row>
    <row r="309" spans="1:47" x14ac:dyDescent="0.2">
      <c r="A309" s="29">
        <v>315.00000000000125</v>
      </c>
      <c r="B309" s="14" t="s">
        <v>248</v>
      </c>
      <c r="C309" s="3">
        <v>22.308</v>
      </c>
      <c r="D309" s="49" t="s">
        <v>187</v>
      </c>
      <c r="E309" s="18" t="s">
        <v>188</v>
      </c>
      <c r="F309" s="14">
        <v>262</v>
      </c>
      <c r="G309" s="14">
        <v>262</v>
      </c>
      <c r="H309" s="14">
        <v>262</v>
      </c>
      <c r="I309" s="76">
        <v>44585</v>
      </c>
      <c r="J309" s="3" t="s">
        <v>142</v>
      </c>
      <c r="K309" s="3" t="s">
        <v>204</v>
      </c>
      <c r="L309" s="3">
        <v>233</v>
      </c>
      <c r="N309" s="3">
        <v>199.38</v>
      </c>
      <c r="AI309" s="3">
        <v>1.204</v>
      </c>
      <c r="AJ309" s="3">
        <v>25.47</v>
      </c>
      <c r="AK309" s="3" t="s">
        <v>172</v>
      </c>
      <c r="AN309" s="3">
        <v>101</v>
      </c>
      <c r="AT309" s="3" t="s">
        <v>146</v>
      </c>
    </row>
    <row r="310" spans="1:47" x14ac:dyDescent="0.2">
      <c r="A310" s="29">
        <v>315.99999999999898</v>
      </c>
      <c r="B310" s="3" t="s">
        <v>249</v>
      </c>
      <c r="C310" s="3">
        <v>22.309000000000001</v>
      </c>
      <c r="D310" s="74" t="s">
        <v>179</v>
      </c>
      <c r="E310" s="3" t="s">
        <v>180</v>
      </c>
      <c r="F310" t="s">
        <v>181</v>
      </c>
      <c r="H310" t="s">
        <v>182</v>
      </c>
      <c r="I310" s="32">
        <v>44671</v>
      </c>
      <c r="J310" s="3" t="s">
        <v>238</v>
      </c>
      <c r="K310" s="3" t="s">
        <v>235</v>
      </c>
      <c r="L310" s="3">
        <v>280</v>
      </c>
      <c r="N310" s="3">
        <v>288.60000000000002</v>
      </c>
      <c r="AI310" s="3">
        <v>1.3859999999999999</v>
      </c>
      <c r="AJ310" s="3">
        <v>34.5</v>
      </c>
      <c r="AK310" s="3" t="s">
        <v>172</v>
      </c>
      <c r="AN310" s="3">
        <v>132</v>
      </c>
      <c r="AT310" s="3" t="s">
        <v>146</v>
      </c>
    </row>
    <row r="311" spans="1:47" x14ac:dyDescent="0.2">
      <c r="A311" s="29">
        <v>317.00000000000017</v>
      </c>
      <c r="B311" s="3" t="s">
        <v>250</v>
      </c>
      <c r="C311" s="3" t="s">
        <v>34</v>
      </c>
      <c r="D311" s="74" t="s">
        <v>179</v>
      </c>
      <c r="E311" s="3" t="s">
        <v>180</v>
      </c>
      <c r="F311" t="s">
        <v>181</v>
      </c>
      <c r="G311" s="3">
        <v>8</v>
      </c>
      <c r="I311" s="32">
        <v>44679</v>
      </c>
      <c r="J311" s="3" t="s">
        <v>238</v>
      </c>
      <c r="K311" s="3" t="s">
        <v>235</v>
      </c>
      <c r="L311" s="3">
        <v>250</v>
      </c>
      <c r="N311" s="3">
        <v>258.42</v>
      </c>
      <c r="AI311" s="3">
        <v>1.167</v>
      </c>
      <c r="AJ311" s="3">
        <v>29.32</v>
      </c>
      <c r="AK311" s="3" t="s">
        <v>172</v>
      </c>
      <c r="AN311" s="3">
        <v>126</v>
      </c>
      <c r="AT311" s="3" t="s">
        <v>146</v>
      </c>
    </row>
    <row r="312" spans="1:47" x14ac:dyDescent="0.2">
      <c r="A312" s="29">
        <v>318.00000000000136</v>
      </c>
      <c r="B312" s="3">
        <v>241</v>
      </c>
      <c r="C312" s="3">
        <v>22.311</v>
      </c>
      <c r="D312" s="64" t="s">
        <v>223</v>
      </c>
      <c r="E312" s="3" t="s">
        <v>224</v>
      </c>
      <c r="F312" t="s">
        <v>73</v>
      </c>
      <c r="G312" t="s">
        <v>73</v>
      </c>
      <c r="H312" t="s">
        <v>73</v>
      </c>
      <c r="I312" s="32">
        <v>44648</v>
      </c>
      <c r="J312" s="3" t="s">
        <v>142</v>
      </c>
      <c r="K312" s="3" t="s">
        <v>204</v>
      </c>
      <c r="N312" s="3">
        <v>275.95999999999998</v>
      </c>
      <c r="O312" s="3">
        <v>157.86000000000001</v>
      </c>
      <c r="P312" s="3">
        <v>162.18</v>
      </c>
      <c r="Q312" s="3">
        <v>35.35</v>
      </c>
      <c r="R312" s="3">
        <v>10.33</v>
      </c>
      <c r="S312" s="3">
        <v>112.08</v>
      </c>
      <c r="T312" s="3">
        <v>92.56</v>
      </c>
      <c r="U312" s="3">
        <v>75.94</v>
      </c>
      <c r="V312" s="3">
        <v>56.65</v>
      </c>
      <c r="W312" s="3">
        <v>80.13</v>
      </c>
      <c r="X312" s="3">
        <v>87.77</v>
      </c>
      <c r="Y312" s="3">
        <v>42.07</v>
      </c>
      <c r="Z312" s="3">
        <v>97.89</v>
      </c>
      <c r="AA312" s="3">
        <v>79.41</v>
      </c>
      <c r="AB312" s="3">
        <v>77.459999999999994</v>
      </c>
      <c r="AC312" s="3">
        <v>28.07</v>
      </c>
      <c r="AD312" s="3">
        <v>56.38</v>
      </c>
      <c r="AE312" s="3">
        <v>26.39</v>
      </c>
      <c r="AF312" s="3">
        <v>35.340000000000003</v>
      </c>
      <c r="AG312" s="3">
        <v>27.19</v>
      </c>
      <c r="AH312" s="3">
        <v>27.08</v>
      </c>
      <c r="AI312" s="3">
        <v>1.3320000000000001</v>
      </c>
      <c r="AJ312" s="3">
        <v>54.22</v>
      </c>
      <c r="AK312" s="3" t="s">
        <v>172</v>
      </c>
      <c r="AN312" s="3">
        <v>61</v>
      </c>
      <c r="AT312" s="3" t="s">
        <v>146</v>
      </c>
      <c r="AU312" s="3" t="s">
        <v>147</v>
      </c>
    </row>
    <row r="313" spans="1:47" x14ac:dyDescent="0.2">
      <c r="A313" s="29">
        <v>318.99999999999909</v>
      </c>
      <c r="B313" s="3">
        <v>242</v>
      </c>
      <c r="C313" s="3">
        <v>22.312000000000001</v>
      </c>
      <c r="D313" s="64" t="s">
        <v>223</v>
      </c>
      <c r="E313" s="3" t="s">
        <v>224</v>
      </c>
      <c r="F313" t="s">
        <v>73</v>
      </c>
      <c r="G313" t="s">
        <v>73</v>
      </c>
      <c r="H313" t="s">
        <v>73</v>
      </c>
      <c r="I313" s="32">
        <v>44650</v>
      </c>
      <c r="J313" s="3" t="s">
        <v>142</v>
      </c>
      <c r="K313" s="3" t="s">
        <v>204</v>
      </c>
      <c r="N313" s="3">
        <v>278.92</v>
      </c>
      <c r="O313" s="3">
        <v>158.81</v>
      </c>
      <c r="P313" s="3">
        <v>157.82</v>
      </c>
      <c r="Q313" s="3">
        <v>34.6</v>
      </c>
      <c r="R313" s="3">
        <v>13.95</v>
      </c>
      <c r="S313" s="3">
        <v>110.65</v>
      </c>
      <c r="T313" s="3">
        <v>92.21</v>
      </c>
      <c r="U313" s="3">
        <v>80.19</v>
      </c>
      <c r="V313" s="3">
        <v>55.58</v>
      </c>
      <c r="W313" s="3">
        <v>82.25</v>
      </c>
      <c r="X313" s="3">
        <v>91.4</v>
      </c>
      <c r="Y313" s="3">
        <v>41.55</v>
      </c>
      <c r="Z313" s="3">
        <v>101.79</v>
      </c>
      <c r="AA313" s="3">
        <v>81.400000000000006</v>
      </c>
      <c r="AB313" s="3">
        <v>81.58</v>
      </c>
      <c r="AC313" s="3">
        <v>35.69</v>
      </c>
      <c r="AD313" s="3">
        <v>57.21</v>
      </c>
      <c r="AE313" s="3">
        <v>29.81</v>
      </c>
      <c r="AF313" s="3">
        <v>33.64</v>
      </c>
      <c r="AG313" s="3">
        <v>28.08</v>
      </c>
      <c r="AH313" s="3">
        <v>33.76</v>
      </c>
      <c r="AI313" s="3">
        <v>1.3160000000000001</v>
      </c>
      <c r="AJ313" s="3">
        <v>51.46</v>
      </c>
      <c r="AK313" s="3" t="s">
        <v>172</v>
      </c>
      <c r="AN313" s="3">
        <v>112.9</v>
      </c>
      <c r="AT313" s="3" t="s">
        <v>146</v>
      </c>
      <c r="AU313" s="3" t="s">
        <v>147</v>
      </c>
    </row>
    <row r="314" spans="1:47" x14ac:dyDescent="0.2">
      <c r="A314" s="29">
        <v>320.00000000000028</v>
      </c>
      <c r="B314" s="3">
        <v>251</v>
      </c>
      <c r="C314" s="3">
        <v>22.312999999999999</v>
      </c>
      <c r="D314" s="64" t="s">
        <v>223</v>
      </c>
      <c r="E314" s="3" t="s">
        <v>224</v>
      </c>
      <c r="F314" t="s">
        <v>73</v>
      </c>
      <c r="G314" t="s">
        <v>73</v>
      </c>
      <c r="H314" t="s">
        <v>73</v>
      </c>
      <c r="I314" s="32">
        <v>44658</v>
      </c>
      <c r="J314" s="3" t="s">
        <v>142</v>
      </c>
      <c r="K314" s="3" t="s">
        <v>204</v>
      </c>
      <c r="N314" s="3">
        <v>280.72000000000003</v>
      </c>
      <c r="O314" s="3">
        <v>160.1</v>
      </c>
      <c r="P314" s="3">
        <v>160.44</v>
      </c>
      <c r="Q314" s="3">
        <v>32.04</v>
      </c>
      <c r="R314" s="3">
        <v>16.559999999999999</v>
      </c>
      <c r="S314" s="3">
        <v>111.03</v>
      </c>
      <c r="T314" s="3">
        <v>92.09</v>
      </c>
      <c r="U314" s="3">
        <v>77.5</v>
      </c>
      <c r="V314" s="3">
        <v>56.28</v>
      </c>
      <c r="W314" s="3">
        <v>81.06</v>
      </c>
      <c r="X314" s="3">
        <v>90.41</v>
      </c>
      <c r="Y314" s="3">
        <v>42.01</v>
      </c>
      <c r="Z314" s="3">
        <v>103.45</v>
      </c>
      <c r="AA314" s="3">
        <v>84.03</v>
      </c>
      <c r="AB314" s="3">
        <v>81.430000000000007</v>
      </c>
      <c r="AC314" s="3">
        <v>36.67</v>
      </c>
      <c r="AD314" s="3">
        <v>56.76</v>
      </c>
      <c r="AE314" s="3">
        <v>30.13</v>
      </c>
      <c r="AF314" s="3">
        <v>34.76</v>
      </c>
      <c r="AG314" s="3">
        <v>31.32</v>
      </c>
      <c r="AH314" s="3">
        <v>32.17</v>
      </c>
      <c r="AI314" s="3">
        <v>1.3819999999999999</v>
      </c>
      <c r="AJ314" s="3">
        <v>46.54</v>
      </c>
      <c r="AK314" s="3" t="s">
        <v>172</v>
      </c>
      <c r="AN314" s="3">
        <v>123</v>
      </c>
      <c r="AT314" s="3" t="s">
        <v>146</v>
      </c>
      <c r="AU314" s="3" t="s">
        <v>147</v>
      </c>
    </row>
    <row r="315" spans="1:47" x14ac:dyDescent="0.2">
      <c r="A315" s="29">
        <v>321.00000000000148</v>
      </c>
      <c r="B315" s="3">
        <v>254</v>
      </c>
      <c r="C315" s="3">
        <v>22.314</v>
      </c>
      <c r="D315" s="64" t="s">
        <v>223</v>
      </c>
      <c r="E315" s="3" t="s">
        <v>224</v>
      </c>
      <c r="F315" t="s">
        <v>73</v>
      </c>
      <c r="G315" t="s">
        <v>73</v>
      </c>
      <c r="H315" t="s">
        <v>73</v>
      </c>
      <c r="I315" s="32">
        <v>44669</v>
      </c>
      <c r="J315" s="3" t="s">
        <v>142</v>
      </c>
      <c r="K315" s="3" t="s">
        <v>204</v>
      </c>
      <c r="N315" s="3">
        <v>258.73</v>
      </c>
      <c r="O315" s="3">
        <v>154.74</v>
      </c>
      <c r="P315" s="3">
        <v>156.36000000000001</v>
      </c>
      <c r="Q315" s="3">
        <v>27.51</v>
      </c>
      <c r="R315" s="3">
        <v>12.75</v>
      </c>
      <c r="S315" s="3">
        <v>107.39</v>
      </c>
      <c r="T315" s="3">
        <v>89.28</v>
      </c>
      <c r="U315" s="3">
        <v>76.58</v>
      </c>
      <c r="V315" s="3">
        <v>55.83</v>
      </c>
      <c r="W315" s="3">
        <v>79.459999999999994</v>
      </c>
      <c r="X315" s="3">
        <v>90.83</v>
      </c>
      <c r="Y315" s="3">
        <v>42.44</v>
      </c>
      <c r="Z315" s="3">
        <v>103.95</v>
      </c>
      <c r="AA315" s="3">
        <v>81.19</v>
      </c>
      <c r="AB315" s="3">
        <v>79.08</v>
      </c>
      <c r="AC315" s="3">
        <v>40.770000000000003</v>
      </c>
      <c r="AD315" s="3">
        <v>54.91</v>
      </c>
      <c r="AE315" s="3">
        <v>27.75</v>
      </c>
      <c r="AF315" s="3">
        <v>31</v>
      </c>
      <c r="AG315" s="3">
        <v>30.34</v>
      </c>
      <c r="AH315" s="3">
        <v>28.35</v>
      </c>
      <c r="AI315" s="3">
        <v>1.3280000000000001</v>
      </c>
      <c r="AJ315" s="3">
        <v>42.87</v>
      </c>
      <c r="AK315" s="3" t="s">
        <v>172</v>
      </c>
      <c r="AN315" s="3">
        <v>116</v>
      </c>
      <c r="AT315" s="3" t="s">
        <v>146</v>
      </c>
      <c r="AU315" s="3" t="s">
        <v>147</v>
      </c>
    </row>
    <row r="316" spans="1:47" x14ac:dyDescent="0.2">
      <c r="A316" s="29">
        <v>321.9999999999992</v>
      </c>
      <c r="B316" s="77">
        <v>313</v>
      </c>
      <c r="C316">
        <v>22.315000000000001</v>
      </c>
      <c r="D316" s="78" t="s">
        <v>168</v>
      </c>
      <c r="E316" s="17" t="s">
        <v>232</v>
      </c>
      <c r="F316" s="17" t="s">
        <v>31</v>
      </c>
      <c r="H316" s="17" t="s">
        <v>31</v>
      </c>
      <c r="I316" s="32">
        <v>44647</v>
      </c>
      <c r="J316" s="3" t="s">
        <v>142</v>
      </c>
      <c r="K316" s="3" t="s">
        <v>235</v>
      </c>
      <c r="L316"/>
      <c r="M316"/>
      <c r="N316">
        <v>213.03</v>
      </c>
      <c r="O316" s="72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>
        <v>1.3540000000000001</v>
      </c>
      <c r="AJ316">
        <v>29.77</v>
      </c>
      <c r="AK316" t="s">
        <v>172</v>
      </c>
      <c r="AL316"/>
      <c r="AM316"/>
      <c r="AN316">
        <v>97</v>
      </c>
      <c r="AO316"/>
      <c r="AP316"/>
      <c r="AQ316"/>
      <c r="AR316"/>
      <c r="AS316"/>
      <c r="AT316" t="s">
        <v>146</v>
      </c>
      <c r="AU316" t="s">
        <v>233</v>
      </c>
    </row>
    <row r="317" spans="1:47" x14ac:dyDescent="0.2">
      <c r="A317" s="29">
        <v>323.0000000000004</v>
      </c>
      <c r="B317" s="77">
        <v>315</v>
      </c>
      <c r="C317">
        <v>22.315999999999999</v>
      </c>
      <c r="D317" s="78" t="s">
        <v>168</v>
      </c>
      <c r="E317" s="17" t="s">
        <v>232</v>
      </c>
      <c r="F317" s="17" t="s">
        <v>31</v>
      </c>
      <c r="H317" s="17" t="s">
        <v>31</v>
      </c>
      <c r="I317" s="32">
        <v>44647</v>
      </c>
      <c r="J317" s="3" t="s">
        <v>142</v>
      </c>
      <c r="K317" s="3" t="s">
        <v>235</v>
      </c>
      <c r="L317"/>
      <c r="M317"/>
      <c r="N317">
        <v>199.29</v>
      </c>
      <c r="O317" s="72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>
        <v>1.2529999999999999</v>
      </c>
      <c r="AJ317">
        <v>34.94</v>
      </c>
      <c r="AK317" t="s">
        <v>172</v>
      </c>
      <c r="AL317"/>
      <c r="AM317"/>
      <c r="AN317">
        <v>77</v>
      </c>
      <c r="AO317"/>
      <c r="AP317"/>
      <c r="AQ317"/>
      <c r="AR317"/>
      <c r="AS317"/>
      <c r="AT317" t="s">
        <v>146</v>
      </c>
      <c r="AU317" t="s">
        <v>233</v>
      </c>
    </row>
    <row r="318" spans="1:47" x14ac:dyDescent="0.2">
      <c r="A318" s="29">
        <v>324.00000000000159</v>
      </c>
      <c r="B318" s="77">
        <v>326</v>
      </c>
      <c r="C318">
        <v>22.317</v>
      </c>
      <c r="D318" s="78" t="s">
        <v>168</v>
      </c>
      <c r="E318" s="17" t="s">
        <v>232</v>
      </c>
      <c r="F318" s="17" t="s">
        <v>31</v>
      </c>
      <c r="H318" s="17" t="s">
        <v>31</v>
      </c>
      <c r="I318" s="32">
        <v>44658</v>
      </c>
      <c r="J318" s="3" t="s">
        <v>142</v>
      </c>
      <c r="K318" s="3" t="s">
        <v>235</v>
      </c>
      <c r="L318"/>
      <c r="M318"/>
      <c r="N318">
        <v>205.7</v>
      </c>
      <c r="O318" s="72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>
        <v>1.3680000000000001</v>
      </c>
      <c r="AJ318">
        <v>31.61</v>
      </c>
      <c r="AK318" t="s">
        <v>172</v>
      </c>
      <c r="AL318"/>
      <c r="AM318"/>
      <c r="AN318">
        <v>95</v>
      </c>
      <c r="AO318"/>
      <c r="AP318"/>
      <c r="AQ318"/>
      <c r="AR318"/>
      <c r="AS318"/>
      <c r="AT318" t="s">
        <v>146</v>
      </c>
      <c r="AU318" t="s">
        <v>233</v>
      </c>
    </row>
    <row r="319" spans="1:47" x14ac:dyDescent="0.2">
      <c r="A319" s="29">
        <v>324.99999999999932</v>
      </c>
      <c r="B319" s="77">
        <v>328</v>
      </c>
      <c r="C319">
        <v>22.318000000000001</v>
      </c>
      <c r="D319" s="78" t="s">
        <v>168</v>
      </c>
      <c r="E319" s="17" t="s">
        <v>232</v>
      </c>
      <c r="F319" s="14" t="s">
        <v>251</v>
      </c>
      <c r="G319" s="14"/>
      <c r="H319" s="17"/>
      <c r="I319" s="32">
        <v>44659</v>
      </c>
      <c r="J319" s="3" t="s">
        <v>142</v>
      </c>
      <c r="K319" s="3" t="s">
        <v>235</v>
      </c>
      <c r="L319"/>
      <c r="M319"/>
      <c r="N319">
        <v>218.13</v>
      </c>
      <c r="O319" s="72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>
        <v>1.294</v>
      </c>
      <c r="AJ319">
        <v>30.9</v>
      </c>
      <c r="AK319" t="s">
        <v>172</v>
      </c>
      <c r="AL319"/>
      <c r="AM319"/>
      <c r="AN319">
        <v>99</v>
      </c>
      <c r="AO319"/>
      <c r="AP319"/>
      <c r="AQ319"/>
      <c r="AR319"/>
      <c r="AS319"/>
      <c r="AT319" t="s">
        <v>146</v>
      </c>
      <c r="AU319" t="s">
        <v>233</v>
      </c>
    </row>
    <row r="320" spans="1:47" x14ac:dyDescent="0.2">
      <c r="A320" s="29">
        <v>326.00000000000051</v>
      </c>
      <c r="B320" s="77">
        <v>338</v>
      </c>
      <c r="C320">
        <v>22.318999999999999</v>
      </c>
      <c r="D320" s="78" t="s">
        <v>168</v>
      </c>
      <c r="E320" s="17" t="s">
        <v>232</v>
      </c>
      <c r="F320" s="17" t="s">
        <v>31</v>
      </c>
      <c r="H320" s="17" t="s">
        <v>31</v>
      </c>
      <c r="I320" s="32">
        <v>44669</v>
      </c>
      <c r="J320" s="3" t="s">
        <v>142</v>
      </c>
      <c r="K320" s="3" t="s">
        <v>235</v>
      </c>
      <c r="L320"/>
      <c r="M320"/>
      <c r="N320">
        <v>218.95</v>
      </c>
      <c r="O320" s="72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>
        <v>1.32</v>
      </c>
      <c r="AJ320">
        <v>35.729999999999997</v>
      </c>
      <c r="AK320" t="s">
        <v>172</v>
      </c>
      <c r="AL320"/>
      <c r="AM320"/>
      <c r="AN320">
        <v>100</v>
      </c>
      <c r="AO320"/>
      <c r="AP320"/>
      <c r="AQ320"/>
      <c r="AR320"/>
      <c r="AS320"/>
      <c r="AT320" t="s">
        <v>146</v>
      </c>
      <c r="AU320" t="s">
        <v>233</v>
      </c>
    </row>
    <row r="321" spans="1:47" x14ac:dyDescent="0.2">
      <c r="A321" s="29">
        <v>327.00000000000171</v>
      </c>
      <c r="B321" s="77">
        <v>339</v>
      </c>
      <c r="C321" s="5" t="s">
        <v>24</v>
      </c>
      <c r="D321" s="78" t="s">
        <v>168</v>
      </c>
      <c r="E321" s="17" t="s">
        <v>232</v>
      </c>
      <c r="F321" s="17" t="s">
        <v>31</v>
      </c>
      <c r="H321" s="17" t="s">
        <v>31</v>
      </c>
      <c r="I321" s="32">
        <v>44669</v>
      </c>
      <c r="J321" s="3" t="s">
        <v>142</v>
      </c>
      <c r="K321" s="3" t="s">
        <v>235</v>
      </c>
      <c r="L321"/>
      <c r="M321"/>
      <c r="N321">
        <v>213.89</v>
      </c>
      <c r="O321" s="72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>
        <v>1.458</v>
      </c>
      <c r="AJ321">
        <v>33.26</v>
      </c>
      <c r="AK321" t="s">
        <v>172</v>
      </c>
      <c r="AL321"/>
      <c r="AM321"/>
      <c r="AN321">
        <v>95</v>
      </c>
      <c r="AO321"/>
      <c r="AP321"/>
      <c r="AQ321"/>
      <c r="AR321"/>
      <c r="AS321"/>
      <c r="AT321" t="s">
        <v>146</v>
      </c>
      <c r="AU321" t="s">
        <v>233</v>
      </c>
    </row>
    <row r="322" spans="1:47" x14ac:dyDescent="0.2">
      <c r="A322" s="29">
        <v>327.99999999999943</v>
      </c>
      <c r="B322" s="77">
        <v>344</v>
      </c>
      <c r="C322">
        <v>22.321000000000002</v>
      </c>
      <c r="D322" s="78" t="s">
        <v>168</v>
      </c>
      <c r="E322" s="17" t="s">
        <v>232</v>
      </c>
      <c r="F322" s="17" t="s">
        <v>31</v>
      </c>
      <c r="G322" s="17" t="s">
        <v>31</v>
      </c>
      <c r="H322" s="17"/>
      <c r="I322" s="32">
        <v>44678</v>
      </c>
      <c r="J322" s="3" t="s">
        <v>142</v>
      </c>
      <c r="K322" s="3" t="s">
        <v>235</v>
      </c>
      <c r="L322"/>
      <c r="M322"/>
      <c r="N322">
        <v>201.93</v>
      </c>
      <c r="O322" s="72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>
        <v>1.21</v>
      </c>
      <c r="AJ322">
        <v>35.49</v>
      </c>
      <c r="AK322" t="s">
        <v>172</v>
      </c>
      <c r="AL322"/>
      <c r="AM322"/>
      <c r="AN322">
        <v>91</v>
      </c>
      <c r="AO322"/>
      <c r="AP322"/>
      <c r="AQ322"/>
      <c r="AR322"/>
      <c r="AS322"/>
      <c r="AT322" t="s">
        <v>146</v>
      </c>
      <c r="AU322" t="s">
        <v>233</v>
      </c>
    </row>
    <row r="323" spans="1:47" x14ac:dyDescent="0.2">
      <c r="A323" s="29">
        <v>329.00000000000063</v>
      </c>
      <c r="B323" s="77">
        <v>355</v>
      </c>
      <c r="C323">
        <v>22.321999999999999</v>
      </c>
      <c r="D323" s="78" t="s">
        <v>168</v>
      </c>
      <c r="E323" s="17" t="s">
        <v>232</v>
      </c>
      <c r="F323" s="17" t="s">
        <v>31</v>
      </c>
      <c r="G323" s="17" t="s">
        <v>31</v>
      </c>
      <c r="H323" s="17"/>
      <c r="I323" s="32">
        <v>44686</v>
      </c>
      <c r="J323" s="3" t="s">
        <v>142</v>
      </c>
      <c r="K323" s="3" t="s">
        <v>235</v>
      </c>
      <c r="L323"/>
      <c r="M323"/>
      <c r="N323">
        <v>226.9</v>
      </c>
      <c r="O323" s="72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>
        <v>1.302</v>
      </c>
      <c r="AJ323">
        <v>35.979999999999997</v>
      </c>
      <c r="AK323" t="s">
        <v>172</v>
      </c>
      <c r="AL323"/>
      <c r="AM323"/>
      <c r="AN323">
        <v>112</v>
      </c>
      <c r="AO323"/>
      <c r="AP323"/>
      <c r="AQ323"/>
      <c r="AR323"/>
      <c r="AS323"/>
      <c r="AT323" t="s">
        <v>146</v>
      </c>
      <c r="AU323" t="s">
        <v>233</v>
      </c>
    </row>
    <row r="324" spans="1:47" x14ac:dyDescent="0.2">
      <c r="A324" s="29">
        <v>329.99999999999829</v>
      </c>
      <c r="B324" s="77">
        <v>341</v>
      </c>
      <c r="C324">
        <v>22.323</v>
      </c>
      <c r="D324" s="78" t="s">
        <v>168</v>
      </c>
      <c r="E324" s="17" t="s">
        <v>232</v>
      </c>
      <c r="F324" s="17" t="s">
        <v>31</v>
      </c>
      <c r="G324" s="17" t="s">
        <v>31</v>
      </c>
      <c r="H324" s="17"/>
      <c r="I324" s="32">
        <v>44669</v>
      </c>
      <c r="J324" s="3" t="s">
        <v>142</v>
      </c>
      <c r="K324" s="3" t="s">
        <v>235</v>
      </c>
      <c r="L324"/>
      <c r="M324"/>
      <c r="N324">
        <v>241.36</v>
      </c>
      <c r="O324" s="72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>
        <v>1.3819999999999999</v>
      </c>
      <c r="AJ324">
        <v>35.14</v>
      </c>
      <c r="AK324" t="s">
        <v>172</v>
      </c>
      <c r="AL324"/>
      <c r="AM324"/>
      <c r="AN324">
        <v>114</v>
      </c>
      <c r="AO324"/>
      <c r="AP324"/>
      <c r="AQ324"/>
      <c r="AR324"/>
      <c r="AS324"/>
      <c r="AT324" t="s">
        <v>146</v>
      </c>
      <c r="AU324" t="s">
        <v>233</v>
      </c>
    </row>
    <row r="325" spans="1:47" x14ac:dyDescent="0.2">
      <c r="A325" s="29">
        <v>330.99999999999955</v>
      </c>
      <c r="B325" s="77">
        <v>342</v>
      </c>
      <c r="C325">
        <v>22.324000000000002</v>
      </c>
      <c r="D325" s="78" t="s">
        <v>168</v>
      </c>
      <c r="E325" s="17" t="s">
        <v>232</v>
      </c>
      <c r="F325" s="17" t="s">
        <v>31</v>
      </c>
      <c r="H325" s="17" t="s">
        <v>31</v>
      </c>
      <c r="I325" s="32">
        <v>44677</v>
      </c>
      <c r="J325" s="3" t="s">
        <v>142</v>
      </c>
      <c r="K325" s="3" t="s">
        <v>235</v>
      </c>
      <c r="L325"/>
      <c r="M325"/>
      <c r="N325">
        <v>218.02</v>
      </c>
      <c r="O325" s="72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>
        <v>1.3520000000000001</v>
      </c>
      <c r="AJ325">
        <v>35.21</v>
      </c>
      <c r="AK325" t="s">
        <v>172</v>
      </c>
      <c r="AL325"/>
      <c r="AM325"/>
      <c r="AN325">
        <v>97</v>
      </c>
      <c r="AO325"/>
      <c r="AP325"/>
      <c r="AQ325"/>
      <c r="AR325"/>
      <c r="AS325"/>
      <c r="AT325" t="s">
        <v>146</v>
      </c>
      <c r="AU325" t="s">
        <v>233</v>
      </c>
    </row>
    <row r="326" spans="1:47" x14ac:dyDescent="0.2">
      <c r="A326" s="29">
        <v>332.00000000000074</v>
      </c>
      <c r="B326" s="77">
        <v>356</v>
      </c>
      <c r="C326">
        <v>22.324999999999999</v>
      </c>
      <c r="D326" s="78" t="s">
        <v>168</v>
      </c>
      <c r="E326" s="17" t="s">
        <v>232</v>
      </c>
      <c r="F326" s="17" t="s">
        <v>31</v>
      </c>
      <c r="G326" s="17" t="s">
        <v>31</v>
      </c>
      <c r="H326" s="17"/>
      <c r="I326" s="32">
        <v>44686</v>
      </c>
      <c r="J326" s="3" t="s">
        <v>142</v>
      </c>
      <c r="K326" s="3" t="s">
        <v>235</v>
      </c>
      <c r="L326"/>
      <c r="M326"/>
      <c r="N326">
        <v>222</v>
      </c>
      <c r="O326" s="72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>
        <v>1.2969999999999999</v>
      </c>
      <c r="AJ326">
        <v>36.29</v>
      </c>
      <c r="AK326" t="s">
        <v>172</v>
      </c>
      <c r="AL326"/>
      <c r="AM326"/>
      <c r="AN326">
        <v>95</v>
      </c>
      <c r="AO326"/>
      <c r="AP326"/>
      <c r="AQ326"/>
      <c r="AR326"/>
      <c r="AS326"/>
      <c r="AT326" t="s">
        <v>146</v>
      </c>
      <c r="AU326" t="s">
        <v>233</v>
      </c>
    </row>
    <row r="327" spans="1:47" x14ac:dyDescent="0.2">
      <c r="A327" s="29">
        <v>332.99999999999841</v>
      </c>
      <c r="B327" s="77">
        <v>335</v>
      </c>
      <c r="C327">
        <v>22.326000000000001</v>
      </c>
      <c r="D327" s="78" t="s">
        <v>168</v>
      </c>
      <c r="E327" s="17" t="s">
        <v>169</v>
      </c>
      <c r="F327" s="17" t="s">
        <v>170</v>
      </c>
      <c r="G327" s="17"/>
      <c r="H327" s="3" t="s">
        <v>234</v>
      </c>
      <c r="I327" s="32">
        <v>44664</v>
      </c>
      <c r="J327" s="3" t="s">
        <v>142</v>
      </c>
      <c r="K327" s="3" t="s">
        <v>235</v>
      </c>
      <c r="L327"/>
      <c r="M327"/>
      <c r="N327">
        <v>306.2</v>
      </c>
      <c r="O327" s="72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>
        <v>1.448</v>
      </c>
      <c r="AJ327">
        <v>50.42</v>
      </c>
      <c r="AK327" t="s">
        <v>172</v>
      </c>
      <c r="AL327"/>
      <c r="AM327"/>
      <c r="AN327">
        <v>147</v>
      </c>
      <c r="AO327"/>
      <c r="AP327"/>
      <c r="AQ327"/>
      <c r="AR327"/>
      <c r="AS327"/>
      <c r="AT327" t="s">
        <v>146</v>
      </c>
      <c r="AU327" t="s">
        <v>233</v>
      </c>
    </row>
    <row r="328" spans="1:47" x14ac:dyDescent="0.2">
      <c r="A328" s="29">
        <v>333.99999999999966</v>
      </c>
      <c r="B328" s="77">
        <v>351</v>
      </c>
      <c r="C328">
        <v>22.327000000000002</v>
      </c>
      <c r="D328" s="78" t="s">
        <v>168</v>
      </c>
      <c r="E328" s="17" t="s">
        <v>169</v>
      </c>
      <c r="F328" s="17" t="s">
        <v>170</v>
      </c>
      <c r="G328" s="17"/>
      <c r="H328" s="3" t="s">
        <v>234</v>
      </c>
      <c r="I328" s="32">
        <v>44685</v>
      </c>
      <c r="J328" s="3" t="s">
        <v>142</v>
      </c>
      <c r="K328" s="3" t="s">
        <v>235</v>
      </c>
      <c r="L328"/>
      <c r="M328"/>
      <c r="N328">
        <v>293.94</v>
      </c>
      <c r="O328" s="72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>
        <v>1.2909999999999999</v>
      </c>
      <c r="AJ328">
        <v>49.23</v>
      </c>
      <c r="AK328" t="s">
        <v>172</v>
      </c>
      <c r="AL328"/>
      <c r="AM328"/>
      <c r="AN328">
        <v>117</v>
      </c>
      <c r="AO328"/>
      <c r="AP328"/>
      <c r="AQ328"/>
      <c r="AR328"/>
      <c r="AS328"/>
      <c r="AT328" t="s">
        <v>146</v>
      </c>
      <c r="AU328" t="s">
        <v>233</v>
      </c>
    </row>
    <row r="329" spans="1:47" x14ac:dyDescent="0.2">
      <c r="A329" s="29">
        <v>335.00000000000085</v>
      </c>
      <c r="B329" s="77">
        <v>349</v>
      </c>
      <c r="C329">
        <v>22.327999999999999</v>
      </c>
      <c r="D329" s="78" t="s">
        <v>168</v>
      </c>
      <c r="E329" s="17" t="s">
        <v>169</v>
      </c>
      <c r="F329" s="3" t="s">
        <v>170</v>
      </c>
      <c r="G329" t="s">
        <v>30</v>
      </c>
      <c r="H329" s="17"/>
      <c r="I329" s="68">
        <v>44685</v>
      </c>
      <c r="J329" s="3" t="s">
        <v>142</v>
      </c>
      <c r="K329" s="3" t="s">
        <v>235</v>
      </c>
      <c r="L329"/>
      <c r="M329"/>
      <c r="N329">
        <v>295.23</v>
      </c>
      <c r="O329" s="72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>
        <v>1.1910000000000001</v>
      </c>
      <c r="AJ329">
        <v>50.84</v>
      </c>
      <c r="AK329" t="s">
        <v>172</v>
      </c>
      <c r="AL329"/>
      <c r="AM329"/>
      <c r="AN329"/>
      <c r="AO329"/>
      <c r="AP329"/>
      <c r="AQ329"/>
      <c r="AR329"/>
      <c r="AS329"/>
      <c r="AT329" t="s">
        <v>146</v>
      </c>
      <c r="AU329" t="s">
        <v>233</v>
      </c>
    </row>
    <row r="330" spans="1:47" x14ac:dyDescent="0.2">
      <c r="A330" s="29">
        <v>335.99999999999852</v>
      </c>
      <c r="B330" s="77">
        <v>334</v>
      </c>
      <c r="C330">
        <v>22.329000000000001</v>
      </c>
      <c r="D330" s="78" t="s">
        <v>168</v>
      </c>
      <c r="E330" s="17" t="s">
        <v>169</v>
      </c>
      <c r="F330" s="3" t="s">
        <v>170</v>
      </c>
      <c r="G330" t="s">
        <v>30</v>
      </c>
      <c r="H330" s="17"/>
      <c r="I330" s="68">
        <v>44664</v>
      </c>
      <c r="J330" s="3" t="s">
        <v>142</v>
      </c>
      <c r="K330" s="3" t="s">
        <v>235</v>
      </c>
      <c r="L330"/>
      <c r="M330"/>
      <c r="N330">
        <v>301.86</v>
      </c>
      <c r="O330" s="72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>
        <v>1.2370000000000001</v>
      </c>
      <c r="AJ330">
        <v>53.6</v>
      </c>
      <c r="AK330" t="s">
        <v>172</v>
      </c>
      <c r="AL330"/>
      <c r="AM330"/>
      <c r="AN330">
        <v>146</v>
      </c>
      <c r="AO330"/>
      <c r="AP330"/>
      <c r="AQ330"/>
      <c r="AR330"/>
      <c r="AS330"/>
      <c r="AT330" t="s">
        <v>146</v>
      </c>
      <c r="AU330" t="s">
        <v>233</v>
      </c>
    </row>
    <row r="331" spans="1:47" x14ac:dyDescent="0.2">
      <c r="A331" s="29">
        <v>336.99999999999977</v>
      </c>
      <c r="B331" s="77">
        <v>324</v>
      </c>
      <c r="C331" s="5" t="s">
        <v>18</v>
      </c>
      <c r="D331" s="78" t="s">
        <v>168</v>
      </c>
      <c r="E331" s="17" t="s">
        <v>169</v>
      </c>
      <c r="F331" s="3" t="s">
        <v>170</v>
      </c>
      <c r="G331" t="s">
        <v>30</v>
      </c>
      <c r="H331" s="17"/>
      <c r="I331" s="68">
        <v>44650</v>
      </c>
      <c r="J331" s="3" t="s">
        <v>142</v>
      </c>
      <c r="K331" s="3" t="s">
        <v>235</v>
      </c>
      <c r="L331"/>
      <c r="M331"/>
      <c r="N331">
        <v>298.39999999999998</v>
      </c>
      <c r="O331" s="72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>
        <v>1.1719999999999999</v>
      </c>
      <c r="AJ331">
        <v>50.21</v>
      </c>
      <c r="AK331" t="s">
        <v>172</v>
      </c>
      <c r="AL331"/>
      <c r="AM331"/>
      <c r="AN331">
        <v>127</v>
      </c>
      <c r="AO331"/>
      <c r="AP331"/>
      <c r="AQ331"/>
      <c r="AR331"/>
      <c r="AS331"/>
      <c r="AT331" t="s">
        <v>146</v>
      </c>
      <c r="AU331" t="s">
        <v>233</v>
      </c>
    </row>
    <row r="332" spans="1:47" x14ac:dyDescent="0.2">
      <c r="A332" s="29">
        <v>338.00000000000097</v>
      </c>
      <c r="B332" s="77">
        <v>353</v>
      </c>
      <c r="C332">
        <v>22.331</v>
      </c>
      <c r="D332" s="78" t="s">
        <v>168</v>
      </c>
      <c r="E332" s="17" t="s">
        <v>169</v>
      </c>
      <c r="F332" s="3" t="s">
        <v>170</v>
      </c>
      <c r="G332" s="17"/>
      <c r="H332" s="18" t="s">
        <v>171</v>
      </c>
      <c r="I332" s="68">
        <v>44685</v>
      </c>
      <c r="J332" s="3" t="s">
        <v>142</v>
      </c>
      <c r="K332" s="3" t="s">
        <v>235</v>
      </c>
      <c r="L332"/>
      <c r="M332"/>
      <c r="N332">
        <v>300.33</v>
      </c>
      <c r="O332" s="72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>
        <v>1.2390000000000001</v>
      </c>
      <c r="AJ332">
        <v>50.85</v>
      </c>
      <c r="AK332" t="s">
        <v>172</v>
      </c>
      <c r="AL332"/>
      <c r="AM332"/>
      <c r="AN332">
        <v>127</v>
      </c>
      <c r="AO332"/>
      <c r="AP332"/>
      <c r="AQ332"/>
      <c r="AR332"/>
      <c r="AS332"/>
      <c r="AT332" t="s">
        <v>146</v>
      </c>
      <c r="AU332" t="s">
        <v>233</v>
      </c>
    </row>
    <row r="333" spans="1:47" x14ac:dyDescent="0.2">
      <c r="A333" s="29">
        <v>338.99999999999864</v>
      </c>
      <c r="B333" s="77">
        <v>352</v>
      </c>
      <c r="C333">
        <v>22.332000000000001</v>
      </c>
      <c r="D333" s="78" t="s">
        <v>168</v>
      </c>
      <c r="E333" s="17" t="s">
        <v>169</v>
      </c>
      <c r="F333" s="3" t="s">
        <v>170</v>
      </c>
      <c r="G333" s="17"/>
      <c r="H333" s="18" t="s">
        <v>177</v>
      </c>
      <c r="I333" s="68">
        <v>44685</v>
      </c>
      <c r="J333" s="3" t="s">
        <v>142</v>
      </c>
      <c r="K333" s="3" t="s">
        <v>235</v>
      </c>
      <c r="L333"/>
      <c r="M333"/>
      <c r="N333">
        <v>301.02</v>
      </c>
      <c r="O333" s="72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>
        <v>1.18</v>
      </c>
      <c r="AJ333">
        <v>54.73</v>
      </c>
      <c r="AK333" t="s">
        <v>172</v>
      </c>
      <c r="AL333"/>
      <c r="AM333"/>
      <c r="AN333">
        <v>138</v>
      </c>
      <c r="AO333"/>
      <c r="AP333"/>
      <c r="AQ333"/>
      <c r="AR333"/>
      <c r="AS333"/>
      <c r="AT333" t="s">
        <v>146</v>
      </c>
      <c r="AU333" t="s">
        <v>233</v>
      </c>
    </row>
    <row r="334" spans="1:47" x14ac:dyDescent="0.2">
      <c r="A334" s="29">
        <v>339.99999999999989</v>
      </c>
      <c r="B334" s="17">
        <v>165</v>
      </c>
      <c r="C334">
        <v>22.332999999999998</v>
      </c>
      <c r="D334" s="66" t="s">
        <v>151</v>
      </c>
      <c r="E334" s="3" t="s">
        <v>162</v>
      </c>
      <c r="F334" s="3" t="s">
        <v>88</v>
      </c>
      <c r="G334" s="3" t="s">
        <v>88</v>
      </c>
      <c r="I334" s="81">
        <v>44620</v>
      </c>
      <c r="J334" s="3" t="s">
        <v>142</v>
      </c>
      <c r="K334" s="3" t="s">
        <v>235</v>
      </c>
      <c r="L334" s="3">
        <v>287</v>
      </c>
      <c r="M334" s="17"/>
      <c r="N334">
        <v>297.3</v>
      </c>
      <c r="O334" s="72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>
        <v>1.488</v>
      </c>
      <c r="AJ334">
        <v>57.25</v>
      </c>
      <c r="AK334" t="s">
        <v>172</v>
      </c>
      <c r="AL334"/>
      <c r="AM334"/>
      <c r="AN334"/>
      <c r="AO334"/>
      <c r="AP334"/>
      <c r="AQ334"/>
      <c r="AR334"/>
      <c r="AS334"/>
      <c r="AT334" t="s">
        <v>146</v>
      </c>
      <c r="AU334" t="s">
        <v>233</v>
      </c>
    </row>
    <row r="335" spans="1:47" x14ac:dyDescent="0.2">
      <c r="A335" s="29">
        <v>341.00000000000108</v>
      </c>
      <c r="B335" s="17" t="s">
        <v>252</v>
      </c>
      <c r="C335">
        <v>22.334</v>
      </c>
      <c r="D335" s="66" t="s">
        <v>151</v>
      </c>
      <c r="E335" s="3" t="s">
        <v>162</v>
      </c>
      <c r="F335" s="3" t="s">
        <v>88</v>
      </c>
      <c r="G335" s="3" t="s">
        <v>88</v>
      </c>
      <c r="I335" s="81">
        <v>44657</v>
      </c>
      <c r="J335" s="3" t="s">
        <v>142</v>
      </c>
      <c r="K335" s="3" t="s">
        <v>235</v>
      </c>
      <c r="L335" s="3">
        <v>228</v>
      </c>
      <c r="M335" s="17"/>
      <c r="N335">
        <v>334.78</v>
      </c>
      <c r="O335" s="72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>
        <v>1.6930000000000001</v>
      </c>
      <c r="AJ335">
        <v>57.69</v>
      </c>
      <c r="AK335" t="s">
        <v>172</v>
      </c>
      <c r="AL335"/>
      <c r="AM335"/>
      <c r="AN335">
        <v>142</v>
      </c>
      <c r="AO335"/>
      <c r="AP335"/>
      <c r="AQ335"/>
      <c r="AR335"/>
      <c r="AS335"/>
      <c r="AT335" t="s">
        <v>146</v>
      </c>
      <c r="AU335" t="s">
        <v>233</v>
      </c>
    </row>
    <row r="336" spans="1:47" x14ac:dyDescent="0.2">
      <c r="A336" s="29">
        <v>341.99999999999875</v>
      </c>
      <c r="B336" s="17">
        <v>201</v>
      </c>
      <c r="C336">
        <v>22.335000000000001</v>
      </c>
      <c r="D336" s="66" t="s">
        <v>151</v>
      </c>
      <c r="E336" s="3" t="s">
        <v>162</v>
      </c>
      <c r="F336" s="3" t="s">
        <v>88</v>
      </c>
      <c r="G336" s="3" t="s">
        <v>88</v>
      </c>
      <c r="I336" s="81">
        <v>44678</v>
      </c>
      <c r="J336" s="3" t="s">
        <v>142</v>
      </c>
      <c r="K336" s="3" t="s">
        <v>235</v>
      </c>
      <c r="L336" s="3">
        <v>299</v>
      </c>
      <c r="M336" s="17"/>
      <c r="N336">
        <v>312.74</v>
      </c>
      <c r="O336" s="72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>
        <v>1.4410000000000001</v>
      </c>
      <c r="AJ336">
        <v>62.17</v>
      </c>
      <c r="AK336" t="s">
        <v>172</v>
      </c>
      <c r="AL336"/>
      <c r="AM336"/>
      <c r="AN336">
        <v>136</v>
      </c>
      <c r="AO336"/>
      <c r="AP336"/>
      <c r="AQ336"/>
      <c r="AR336"/>
      <c r="AS336"/>
      <c r="AT336" t="s">
        <v>146</v>
      </c>
      <c r="AU336" t="s">
        <v>233</v>
      </c>
    </row>
    <row r="337" spans="1:47" x14ac:dyDescent="0.2">
      <c r="A337" s="29">
        <v>343</v>
      </c>
      <c r="B337" s="17">
        <v>202</v>
      </c>
      <c r="C337">
        <v>22.335999999999999</v>
      </c>
      <c r="D337" s="66" t="s">
        <v>151</v>
      </c>
      <c r="E337" s="3" t="s">
        <v>162</v>
      </c>
      <c r="F337" s="3" t="s">
        <v>88</v>
      </c>
      <c r="G337" s="3" t="s">
        <v>88</v>
      </c>
      <c r="I337" s="81">
        <v>44678</v>
      </c>
      <c r="J337" s="3" t="s">
        <v>142</v>
      </c>
      <c r="K337" s="3" t="s">
        <v>235</v>
      </c>
      <c r="L337" s="3">
        <v>298</v>
      </c>
      <c r="M337" s="17"/>
      <c r="N337">
        <v>306.27</v>
      </c>
      <c r="O337" s="72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>
        <v>1.452</v>
      </c>
      <c r="AJ337">
        <v>63.93</v>
      </c>
      <c r="AK337" t="s">
        <v>172</v>
      </c>
      <c r="AL337"/>
      <c r="AM337"/>
      <c r="AN337">
        <v>141</v>
      </c>
      <c r="AO337"/>
      <c r="AP337"/>
      <c r="AQ337"/>
      <c r="AR337"/>
      <c r="AS337"/>
      <c r="AT337" t="s">
        <v>146</v>
      </c>
      <c r="AU337" t="s">
        <v>233</v>
      </c>
    </row>
    <row r="338" spans="1:47" x14ac:dyDescent="0.2">
      <c r="A338" s="29">
        <v>344.00000000000119</v>
      </c>
      <c r="B338" s="17">
        <v>203</v>
      </c>
      <c r="C338">
        <v>22.337</v>
      </c>
      <c r="D338" s="66" t="s">
        <v>151</v>
      </c>
      <c r="E338" s="3" t="s">
        <v>162</v>
      </c>
      <c r="F338" s="3" t="s">
        <v>88</v>
      </c>
      <c r="G338" s="3" t="s">
        <v>88</v>
      </c>
      <c r="I338" s="81">
        <v>44678</v>
      </c>
      <c r="J338" s="3" t="s">
        <v>142</v>
      </c>
      <c r="K338" s="3" t="s">
        <v>206</v>
      </c>
      <c r="L338" s="3">
        <v>237</v>
      </c>
      <c r="M338" s="17"/>
      <c r="N338">
        <v>246.78</v>
      </c>
      <c r="O338" s="72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>
        <v>1.772</v>
      </c>
      <c r="AJ338">
        <v>4.7300000000000004</v>
      </c>
      <c r="AK338" t="s">
        <v>172</v>
      </c>
      <c r="AL338"/>
      <c r="AM338"/>
      <c r="AN338">
        <v>81</v>
      </c>
      <c r="AO338"/>
      <c r="AP338"/>
      <c r="AQ338"/>
      <c r="AR338"/>
      <c r="AS338"/>
      <c r="AT338" t="s">
        <v>146</v>
      </c>
      <c r="AU338" t="s">
        <v>233</v>
      </c>
    </row>
    <row r="339" spans="1:47" x14ac:dyDescent="0.2">
      <c r="A339" s="29">
        <v>344.99999999999886</v>
      </c>
      <c r="B339" s="17">
        <v>284</v>
      </c>
      <c r="C339">
        <v>22.338000000000001</v>
      </c>
      <c r="D339" s="64" t="s">
        <v>223</v>
      </c>
      <c r="E339" s="3" t="s">
        <v>236</v>
      </c>
      <c r="F339" t="s">
        <v>73</v>
      </c>
      <c r="G339" t="s">
        <v>73</v>
      </c>
      <c r="H339"/>
      <c r="I339" s="68">
        <v>44733</v>
      </c>
      <c r="J339" s="17" t="s">
        <v>238</v>
      </c>
      <c r="K339" s="17" t="s">
        <v>235</v>
      </c>
      <c r="L339" s="17">
        <v>294.8</v>
      </c>
      <c r="M339"/>
      <c r="N339">
        <v>296.54000000000002</v>
      </c>
      <c r="O339" s="72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>
        <v>1.53</v>
      </c>
      <c r="AJ339">
        <v>47.67</v>
      </c>
      <c r="AK339" t="s">
        <v>173</v>
      </c>
      <c r="AL339">
        <v>54</v>
      </c>
      <c r="AM339"/>
      <c r="AN339">
        <v>21</v>
      </c>
      <c r="AO339"/>
      <c r="AP339"/>
      <c r="AQ339"/>
      <c r="AR339"/>
      <c r="AS339"/>
      <c r="AT339" t="s">
        <v>146</v>
      </c>
      <c r="AU339" t="s">
        <v>233</v>
      </c>
    </row>
    <row r="340" spans="1:47" x14ac:dyDescent="0.2">
      <c r="A340" s="29">
        <v>346.00000000000011</v>
      </c>
      <c r="B340" s="17">
        <v>285</v>
      </c>
      <c r="C340">
        <v>22.338999999999999</v>
      </c>
      <c r="D340" s="64" t="s">
        <v>223</v>
      </c>
      <c r="E340" s="3" t="s">
        <v>236</v>
      </c>
      <c r="F340" t="s">
        <v>73</v>
      </c>
      <c r="G340" t="s">
        <v>73</v>
      </c>
      <c r="H340"/>
      <c r="I340" s="68">
        <v>44734</v>
      </c>
      <c r="J340" s="17" t="s">
        <v>238</v>
      </c>
      <c r="K340" s="17" t="s">
        <v>235</v>
      </c>
      <c r="L340" s="17">
        <v>299.39999999999998</v>
      </c>
      <c r="M340"/>
      <c r="N340">
        <v>298.3</v>
      </c>
      <c r="O340" s="72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>
        <v>1.6220000000000001</v>
      </c>
      <c r="AJ340">
        <v>46.19</v>
      </c>
      <c r="AK340" t="s">
        <v>173</v>
      </c>
      <c r="AL340">
        <v>72</v>
      </c>
      <c r="AM340">
        <v>16</v>
      </c>
      <c r="AN340"/>
      <c r="AO340"/>
      <c r="AP340"/>
      <c r="AQ340"/>
      <c r="AR340"/>
      <c r="AS340"/>
      <c r="AT340" t="s">
        <v>146</v>
      </c>
      <c r="AU340" t="s">
        <v>233</v>
      </c>
    </row>
    <row r="341" spans="1:47" x14ac:dyDescent="0.2">
      <c r="A341" s="29">
        <v>347.00000000000131</v>
      </c>
      <c r="B341" s="17">
        <v>286</v>
      </c>
      <c r="C341" s="5" t="s">
        <v>68</v>
      </c>
      <c r="D341" s="64" t="s">
        <v>223</v>
      </c>
      <c r="E341" s="3" t="s">
        <v>236</v>
      </c>
      <c r="F341" t="s">
        <v>73</v>
      </c>
      <c r="G341" t="s">
        <v>73</v>
      </c>
      <c r="H341"/>
      <c r="I341" s="68">
        <v>44734</v>
      </c>
      <c r="J341" s="17" t="s">
        <v>238</v>
      </c>
      <c r="K341" s="17" t="s">
        <v>235</v>
      </c>
      <c r="L341" s="17">
        <v>303.89999999999998</v>
      </c>
      <c r="M341"/>
      <c r="N341">
        <v>300.27</v>
      </c>
      <c r="O341" s="72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>
        <v>1.4730000000000001</v>
      </c>
      <c r="AJ341">
        <v>47.85</v>
      </c>
      <c r="AK341" t="s">
        <v>173</v>
      </c>
      <c r="AL341">
        <v>74</v>
      </c>
      <c r="AM341">
        <v>21</v>
      </c>
      <c r="AN341"/>
      <c r="AO341"/>
      <c r="AP341"/>
      <c r="AQ341"/>
      <c r="AR341"/>
      <c r="AS341"/>
      <c r="AT341" t="s">
        <v>146</v>
      </c>
      <c r="AU341" t="s">
        <v>233</v>
      </c>
    </row>
    <row r="342" spans="1:47" x14ac:dyDescent="0.2">
      <c r="A342" s="29">
        <v>347.99999999999898</v>
      </c>
      <c r="B342" s="17">
        <v>278</v>
      </c>
      <c r="C342">
        <v>22.341000000000001</v>
      </c>
      <c r="D342" s="64" t="s">
        <v>223</v>
      </c>
      <c r="E342" s="3" t="s">
        <v>236</v>
      </c>
      <c r="F342" t="s">
        <v>73</v>
      </c>
      <c r="G342" t="s">
        <v>73</v>
      </c>
      <c r="H342"/>
      <c r="I342" s="68">
        <v>44723</v>
      </c>
      <c r="J342" s="17" t="s">
        <v>238</v>
      </c>
      <c r="K342" s="17" t="s">
        <v>235</v>
      </c>
      <c r="L342" s="17">
        <v>299.39999999999998</v>
      </c>
      <c r="M342"/>
      <c r="N342">
        <v>293.24</v>
      </c>
      <c r="O342" s="72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>
        <v>1.57</v>
      </c>
      <c r="AJ342">
        <v>45.7</v>
      </c>
      <c r="AK342" t="s">
        <v>173</v>
      </c>
      <c r="AL342">
        <v>66</v>
      </c>
      <c r="AM342">
        <v>37</v>
      </c>
      <c r="AN342"/>
      <c r="AO342"/>
      <c r="AP342"/>
      <c r="AQ342"/>
      <c r="AR342"/>
      <c r="AS342"/>
      <c r="AT342" t="s">
        <v>146</v>
      </c>
      <c r="AU342" t="s">
        <v>233</v>
      </c>
    </row>
    <row r="343" spans="1:47" x14ac:dyDescent="0.2">
      <c r="A343" s="29">
        <v>349.00000000000023</v>
      </c>
      <c r="B343">
        <v>120</v>
      </c>
      <c r="C343">
        <v>22.341999999999999</v>
      </c>
      <c r="D343" s="65" t="s">
        <v>148</v>
      </c>
      <c r="E343" s="3" t="s">
        <v>229</v>
      </c>
      <c r="F343" s="3" t="s">
        <v>74</v>
      </c>
      <c r="G343" s="3" t="s">
        <v>74</v>
      </c>
      <c r="I343" s="63">
        <v>44616</v>
      </c>
      <c r="J343" s="17" t="s">
        <v>238</v>
      </c>
      <c r="K343" s="17" t="s">
        <v>235</v>
      </c>
      <c r="L343" s="53">
        <v>224</v>
      </c>
      <c r="M343"/>
      <c r="N343">
        <v>231.38</v>
      </c>
      <c r="O343">
        <v>168.01</v>
      </c>
      <c r="P343">
        <v>177.47</v>
      </c>
      <c r="Q343">
        <v>36.57</v>
      </c>
      <c r="R343">
        <v>17.02</v>
      </c>
      <c r="S343">
        <v>113.14</v>
      </c>
      <c r="T343">
        <v>88.6</v>
      </c>
      <c r="U343">
        <v>6.23</v>
      </c>
      <c r="V343">
        <v>50.81</v>
      </c>
      <c r="W343">
        <v>67.349999999999994</v>
      </c>
      <c r="X343">
        <v>85.37</v>
      </c>
      <c r="Y343">
        <v>41.46</v>
      </c>
      <c r="Z343">
        <v>93.51</v>
      </c>
      <c r="AA343">
        <v>78.430000000000007</v>
      </c>
      <c r="AB343">
        <v>74.33</v>
      </c>
      <c r="AC343">
        <v>8.9700000000000006</v>
      </c>
      <c r="AD343">
        <v>54.38</v>
      </c>
      <c r="AE343">
        <v>26.85</v>
      </c>
      <c r="AF343">
        <v>31.07</v>
      </c>
      <c r="AG343">
        <v>30.14</v>
      </c>
      <c r="AH343">
        <v>33.82</v>
      </c>
      <c r="AI343">
        <v>1.367</v>
      </c>
      <c r="AJ343">
        <v>35.619999999999997</v>
      </c>
      <c r="AK343" t="s">
        <v>172</v>
      </c>
      <c r="AL343"/>
      <c r="AM343"/>
      <c r="AN343">
        <v>112</v>
      </c>
      <c r="AO343"/>
      <c r="AP343"/>
      <c r="AQ343"/>
      <c r="AR343"/>
      <c r="AS343"/>
      <c r="AT343" t="s">
        <v>146</v>
      </c>
      <c r="AU343" t="s">
        <v>146</v>
      </c>
    </row>
    <row r="344" spans="1:47" x14ac:dyDescent="0.2">
      <c r="A344" s="29">
        <v>350.00000000000142</v>
      </c>
      <c r="B344">
        <v>126</v>
      </c>
      <c r="C344">
        <v>22.343</v>
      </c>
      <c r="D344" s="65" t="s">
        <v>148</v>
      </c>
      <c r="E344" s="3" t="s">
        <v>229</v>
      </c>
      <c r="F344" s="3" t="s">
        <v>74</v>
      </c>
      <c r="G344" s="3" t="s">
        <v>74</v>
      </c>
      <c r="I344" s="63">
        <v>44616</v>
      </c>
      <c r="J344" s="17" t="s">
        <v>238</v>
      </c>
      <c r="K344" s="17" t="s">
        <v>235</v>
      </c>
      <c r="L344" s="53">
        <v>235.3</v>
      </c>
      <c r="M344"/>
      <c r="N344">
        <v>243.96</v>
      </c>
      <c r="O344">
        <v>168.93</v>
      </c>
      <c r="P344">
        <v>177.72</v>
      </c>
      <c r="Q344">
        <v>39.78</v>
      </c>
      <c r="R344">
        <v>17.29</v>
      </c>
      <c r="S344">
        <v>115.32</v>
      </c>
      <c r="T344">
        <v>88.34</v>
      </c>
      <c r="U344">
        <v>59.89</v>
      </c>
      <c r="V344">
        <v>50.6</v>
      </c>
      <c r="W344">
        <v>68.66</v>
      </c>
      <c r="X344">
        <v>88.96</v>
      </c>
      <c r="Y344">
        <v>42.91</v>
      </c>
      <c r="Z344">
        <v>95.03</v>
      </c>
      <c r="AA344">
        <v>77.98</v>
      </c>
      <c r="AB344">
        <v>74.59</v>
      </c>
      <c r="AC344">
        <v>8.6300000000000008</v>
      </c>
      <c r="AD344">
        <v>53.87</v>
      </c>
      <c r="AE344">
        <v>30.21</v>
      </c>
      <c r="AF344">
        <v>3.47</v>
      </c>
      <c r="AG344">
        <v>34.97</v>
      </c>
      <c r="AH344">
        <v>35.880000000000003</v>
      </c>
      <c r="AI344">
        <v>1.446</v>
      </c>
      <c r="AJ344">
        <v>31.98</v>
      </c>
      <c r="AK344" t="s">
        <v>172</v>
      </c>
      <c r="AL344"/>
      <c r="AM344"/>
      <c r="AN344">
        <v>127</v>
      </c>
      <c r="AO344"/>
      <c r="AP344"/>
      <c r="AQ344"/>
      <c r="AR344"/>
      <c r="AS344"/>
      <c r="AT344" t="s">
        <v>146</v>
      </c>
      <c r="AU344" t="s">
        <v>146</v>
      </c>
    </row>
    <row r="345" spans="1:47" x14ac:dyDescent="0.2">
      <c r="A345" s="29">
        <v>350.99999999999909</v>
      </c>
      <c r="B345">
        <v>128</v>
      </c>
      <c r="C345">
        <v>22.344000000000001</v>
      </c>
      <c r="D345" s="65" t="s">
        <v>148</v>
      </c>
      <c r="E345" s="3" t="s">
        <v>229</v>
      </c>
      <c r="F345" s="3" t="s">
        <v>74</v>
      </c>
      <c r="G345" s="3" t="s">
        <v>74</v>
      </c>
      <c r="I345" s="63">
        <v>44630</v>
      </c>
      <c r="J345" s="17" t="s">
        <v>238</v>
      </c>
      <c r="K345" s="17" t="s">
        <v>235</v>
      </c>
      <c r="L345" s="53">
        <v>240</v>
      </c>
      <c r="M345"/>
      <c r="N345">
        <v>248.45</v>
      </c>
      <c r="O345">
        <v>176.22</v>
      </c>
      <c r="P345">
        <v>186.01</v>
      </c>
      <c r="Q345">
        <v>37.979999999999997</v>
      </c>
      <c r="R345">
        <v>20.68</v>
      </c>
      <c r="S345">
        <v>120.39</v>
      </c>
      <c r="T345">
        <v>93.95</v>
      </c>
      <c r="U345">
        <v>55.11</v>
      </c>
      <c r="V345">
        <v>45.68</v>
      </c>
      <c r="W345">
        <v>62.69</v>
      </c>
      <c r="X345">
        <v>85.34</v>
      </c>
      <c r="Y345">
        <v>40.32</v>
      </c>
      <c r="Z345">
        <v>94.04</v>
      </c>
      <c r="AA345">
        <v>77.39</v>
      </c>
      <c r="AB345">
        <v>7.33</v>
      </c>
      <c r="AC345">
        <v>4.2300000000000004</v>
      </c>
      <c r="AD345">
        <v>53.95</v>
      </c>
      <c r="AE345">
        <v>30.16</v>
      </c>
      <c r="AF345">
        <v>34.43</v>
      </c>
      <c r="AG345">
        <v>34.43</v>
      </c>
      <c r="AH345">
        <v>39.26</v>
      </c>
      <c r="AI345">
        <v>1.349</v>
      </c>
      <c r="AJ345">
        <v>34.799999999999997</v>
      </c>
      <c r="AK345" t="s">
        <v>172</v>
      </c>
      <c r="AL345"/>
      <c r="AM345"/>
      <c r="AN345">
        <v>116</v>
      </c>
      <c r="AO345"/>
      <c r="AP345"/>
      <c r="AQ345"/>
      <c r="AR345"/>
      <c r="AS345"/>
      <c r="AT345" t="s">
        <v>146</v>
      </c>
      <c r="AU345" t="s">
        <v>146</v>
      </c>
    </row>
    <row r="346" spans="1:47" x14ac:dyDescent="0.2">
      <c r="A346" s="29">
        <v>352.00000000000034</v>
      </c>
      <c r="B346">
        <v>134</v>
      </c>
      <c r="C346">
        <v>22.344999999999999</v>
      </c>
      <c r="D346" s="65" t="s">
        <v>148</v>
      </c>
      <c r="E346" s="3" t="s">
        <v>229</v>
      </c>
      <c r="F346" s="3" t="s">
        <v>74</v>
      </c>
      <c r="G346" s="3" t="s">
        <v>74</v>
      </c>
      <c r="I346" s="63">
        <v>44630</v>
      </c>
      <c r="J346" s="17" t="s">
        <v>238</v>
      </c>
      <c r="K346" s="17" t="s">
        <v>235</v>
      </c>
      <c r="L346" s="53">
        <v>233</v>
      </c>
      <c r="M346"/>
      <c r="N346">
        <v>242.87</v>
      </c>
      <c r="O346">
        <v>173.22</v>
      </c>
      <c r="P346">
        <v>186.19</v>
      </c>
      <c r="Q346">
        <v>44.53</v>
      </c>
      <c r="R346">
        <v>18.440000000000001</v>
      </c>
      <c r="S346">
        <v>117.15</v>
      </c>
      <c r="T346">
        <v>95.07</v>
      </c>
      <c r="U346">
        <v>55.07</v>
      </c>
      <c r="V346">
        <v>46.01</v>
      </c>
      <c r="W346">
        <v>65.23</v>
      </c>
      <c r="X346">
        <v>81.569999999999993</v>
      </c>
      <c r="Y346">
        <v>37.729999999999997</v>
      </c>
      <c r="Z346">
        <v>91.87</v>
      </c>
      <c r="AA346">
        <v>77.39</v>
      </c>
      <c r="AB346">
        <v>69.040000000000006</v>
      </c>
      <c r="AC346">
        <v>5.32</v>
      </c>
      <c r="AD346">
        <v>5.28</v>
      </c>
      <c r="AE346">
        <v>28.76</v>
      </c>
      <c r="AF346">
        <v>31.1</v>
      </c>
      <c r="AG346">
        <v>27.89</v>
      </c>
      <c r="AH346">
        <v>37.29</v>
      </c>
      <c r="AI346">
        <v>1.4</v>
      </c>
      <c r="AJ346">
        <v>34.64</v>
      </c>
      <c r="AK346" t="s">
        <v>172</v>
      </c>
      <c r="AL346"/>
      <c r="AM346"/>
      <c r="AN346">
        <v>118</v>
      </c>
      <c r="AO346"/>
      <c r="AP346"/>
      <c r="AQ346"/>
      <c r="AR346"/>
      <c r="AS346"/>
      <c r="AT346" t="s">
        <v>146</v>
      </c>
      <c r="AU346" t="s">
        <v>146</v>
      </c>
    </row>
    <row r="347" spans="1:47" x14ac:dyDescent="0.2">
      <c r="A347" s="29">
        <v>353.00000000000153</v>
      </c>
      <c r="B347">
        <v>124</v>
      </c>
      <c r="C347">
        <v>22.346</v>
      </c>
      <c r="D347" s="65" t="s">
        <v>148</v>
      </c>
      <c r="E347" s="3" t="s">
        <v>229</v>
      </c>
      <c r="F347" s="3" t="s">
        <v>74</v>
      </c>
      <c r="G347" s="3" t="s">
        <v>74</v>
      </c>
      <c r="I347" s="63">
        <v>44616</v>
      </c>
      <c r="J347" s="17" t="s">
        <v>238</v>
      </c>
      <c r="K347" s="17" t="s">
        <v>235</v>
      </c>
      <c r="L347" s="53">
        <v>228</v>
      </c>
      <c r="M347"/>
      <c r="N347">
        <v>237.16</v>
      </c>
      <c r="O347">
        <v>160.66999999999999</v>
      </c>
      <c r="P347">
        <v>172.6</v>
      </c>
      <c r="Q347">
        <v>3.39</v>
      </c>
      <c r="R347">
        <v>15.75</v>
      </c>
      <c r="S347">
        <v>114.65</v>
      </c>
      <c r="T347">
        <v>90.05</v>
      </c>
      <c r="U347">
        <v>65.59</v>
      </c>
      <c r="V347">
        <v>45.5</v>
      </c>
      <c r="W347">
        <v>70.52</v>
      </c>
      <c r="X347">
        <v>86.65</v>
      </c>
      <c r="Y347">
        <v>40.14</v>
      </c>
      <c r="Z347">
        <v>93.94</v>
      </c>
      <c r="AA347">
        <v>78.319999999999993</v>
      </c>
      <c r="AB347">
        <v>74.459999999999994</v>
      </c>
      <c r="AC347">
        <v>14.43</v>
      </c>
      <c r="AD347">
        <v>54.74</v>
      </c>
      <c r="AE347">
        <v>24.9</v>
      </c>
      <c r="AF347">
        <v>37.340000000000003</v>
      </c>
      <c r="AG347">
        <v>28.28</v>
      </c>
      <c r="AH347">
        <v>35.840000000000003</v>
      </c>
      <c r="AI347">
        <v>1.2909999999999999</v>
      </c>
      <c r="AJ347">
        <v>33.08</v>
      </c>
      <c r="AK347" t="s">
        <v>172</v>
      </c>
      <c r="AL347"/>
      <c r="AM347"/>
      <c r="AN347">
        <v>110</v>
      </c>
      <c r="AO347"/>
      <c r="AP347"/>
      <c r="AQ347"/>
      <c r="AR347"/>
      <c r="AS347"/>
      <c r="AT347" t="s">
        <v>146</v>
      </c>
      <c r="AU347" t="s">
        <v>146</v>
      </c>
    </row>
    <row r="348" spans="1:47" x14ac:dyDescent="0.2">
      <c r="A348" s="29">
        <v>353.9999999999992</v>
      </c>
      <c r="B348">
        <v>167</v>
      </c>
      <c r="C348">
        <v>22.347000000000001</v>
      </c>
      <c r="D348" s="65" t="s">
        <v>148</v>
      </c>
      <c r="E348" s="3" t="s">
        <v>229</v>
      </c>
      <c r="F348" s="3" t="s">
        <v>74</v>
      </c>
      <c r="G348" s="3" t="s">
        <v>74</v>
      </c>
      <c r="I348" s="63">
        <v>44616</v>
      </c>
      <c r="J348" s="17" t="s">
        <v>238</v>
      </c>
      <c r="K348" s="17" t="s">
        <v>235</v>
      </c>
      <c r="L348" s="53">
        <v>228</v>
      </c>
      <c r="M348"/>
      <c r="N348">
        <v>234.13</v>
      </c>
      <c r="O348">
        <v>167.7</v>
      </c>
      <c r="P348">
        <v>181.72</v>
      </c>
      <c r="Q348">
        <v>43.3</v>
      </c>
      <c r="R348">
        <v>16.149999999999999</v>
      </c>
      <c r="S348">
        <v>113.09</v>
      </c>
      <c r="T348">
        <v>88.29</v>
      </c>
      <c r="U348">
        <v>56</v>
      </c>
      <c r="V348">
        <v>42.63</v>
      </c>
      <c r="W348">
        <v>63.9</v>
      </c>
      <c r="X348">
        <v>87.19</v>
      </c>
      <c r="Y348">
        <v>40.06</v>
      </c>
      <c r="Z348">
        <v>95.11</v>
      </c>
      <c r="AA348">
        <v>79.849999999999994</v>
      </c>
      <c r="AB348">
        <v>74.19</v>
      </c>
      <c r="AC348">
        <v>8.34</v>
      </c>
      <c r="AD348">
        <v>53.31</v>
      </c>
      <c r="AE348">
        <v>26.93</v>
      </c>
      <c r="AF348">
        <v>32.340000000000003</v>
      </c>
      <c r="AG348">
        <v>30.3</v>
      </c>
      <c r="AH348">
        <v>39.119999999999997</v>
      </c>
      <c r="AI348">
        <v>1.292</v>
      </c>
      <c r="AJ348">
        <v>34.07</v>
      </c>
      <c r="AK348" t="s">
        <v>172</v>
      </c>
      <c r="AL348"/>
      <c r="AM348"/>
      <c r="AN348">
        <v>123</v>
      </c>
      <c r="AO348"/>
      <c r="AP348"/>
      <c r="AQ348"/>
      <c r="AR348"/>
      <c r="AS348"/>
      <c r="AT348" t="s">
        <v>146</v>
      </c>
      <c r="AU348" t="s">
        <v>146</v>
      </c>
    </row>
    <row r="349" spans="1:47" x14ac:dyDescent="0.2">
      <c r="A349" s="29">
        <v>355.00000000000045</v>
      </c>
      <c r="B349" s="59">
        <v>35</v>
      </c>
      <c r="C349">
        <v>22.347999999999999</v>
      </c>
      <c r="D349" s="83" t="s">
        <v>200</v>
      </c>
      <c r="E349" s="3" t="s">
        <v>201</v>
      </c>
      <c r="F349" s="43">
        <v>241</v>
      </c>
      <c r="H349" s="43">
        <v>241</v>
      </c>
      <c r="I349" s="81">
        <v>44690</v>
      </c>
      <c r="J349" s="3" t="s">
        <v>142</v>
      </c>
      <c r="K349" s="3" t="s">
        <v>204</v>
      </c>
      <c r="L349" s="43">
        <v>274</v>
      </c>
      <c r="M349"/>
      <c r="N349">
        <v>271.04000000000002</v>
      </c>
      <c r="O349">
        <v>169.37</v>
      </c>
      <c r="P349">
        <v>177.76</v>
      </c>
      <c r="Q349">
        <v>31.35</v>
      </c>
      <c r="R349">
        <v>23.39</v>
      </c>
      <c r="S349">
        <v>115.18</v>
      </c>
      <c r="T349">
        <v>98.49</v>
      </c>
      <c r="U349">
        <v>64.430000000000007</v>
      </c>
      <c r="V349">
        <v>55.86</v>
      </c>
      <c r="W349">
        <v>74.33</v>
      </c>
      <c r="X349">
        <v>93.76</v>
      </c>
      <c r="Y349">
        <v>40.67</v>
      </c>
      <c r="Z349">
        <v>102.77</v>
      </c>
      <c r="AA349">
        <v>85.67</v>
      </c>
      <c r="AB349">
        <v>76.16</v>
      </c>
      <c r="AC349">
        <v>25.45</v>
      </c>
      <c r="AD349">
        <v>55.34</v>
      </c>
      <c r="AE349">
        <v>29.48</v>
      </c>
      <c r="AF349">
        <v>31.5</v>
      </c>
      <c r="AG349">
        <v>26.06</v>
      </c>
      <c r="AH349">
        <v>33.92</v>
      </c>
      <c r="AI349">
        <v>1.3009999999999999</v>
      </c>
      <c r="AJ349">
        <v>43.94</v>
      </c>
      <c r="AK349" t="s">
        <v>172</v>
      </c>
      <c r="AL349"/>
      <c r="AM349"/>
      <c r="AN349">
        <v>120</v>
      </c>
      <c r="AO349"/>
      <c r="AP349"/>
      <c r="AQ349"/>
      <c r="AR349"/>
      <c r="AS349"/>
      <c r="AT349" t="s">
        <v>146</v>
      </c>
      <c r="AU349" t="s">
        <v>146</v>
      </c>
    </row>
    <row r="350" spans="1:47" x14ac:dyDescent="0.2">
      <c r="A350" s="29">
        <v>356.00000000000165</v>
      </c>
      <c r="B350" s="59">
        <v>36</v>
      </c>
      <c r="C350">
        <v>22.349</v>
      </c>
      <c r="D350" s="83" t="s">
        <v>200</v>
      </c>
      <c r="E350" s="3" t="s">
        <v>201</v>
      </c>
      <c r="F350" s="43">
        <v>241</v>
      </c>
      <c r="H350" s="43">
        <v>241</v>
      </c>
      <c r="I350" s="81">
        <v>44690</v>
      </c>
      <c r="J350" s="3" t="s">
        <v>142</v>
      </c>
      <c r="K350" s="3" t="s">
        <v>204</v>
      </c>
      <c r="L350" s="43">
        <v>269</v>
      </c>
      <c r="M350"/>
      <c r="N350">
        <v>263.33</v>
      </c>
      <c r="O350">
        <v>176.15</v>
      </c>
      <c r="P350">
        <v>181.77</v>
      </c>
      <c r="Q350">
        <v>39.950000000000003</v>
      </c>
      <c r="R350">
        <v>24.56</v>
      </c>
      <c r="S350">
        <v>117.7</v>
      </c>
      <c r="T350">
        <v>98.59</v>
      </c>
      <c r="U350">
        <v>66.67</v>
      </c>
      <c r="V350">
        <v>57.45</v>
      </c>
      <c r="W350">
        <v>76.25</v>
      </c>
      <c r="X350">
        <v>96.59</v>
      </c>
      <c r="Y350">
        <v>40.450000000000003</v>
      </c>
      <c r="Z350">
        <v>102.98</v>
      </c>
      <c r="AA350">
        <v>84.4</v>
      </c>
      <c r="AB350">
        <v>78.819999999999993</v>
      </c>
      <c r="AC350">
        <v>13.11</v>
      </c>
      <c r="AD350">
        <v>52.28</v>
      </c>
      <c r="AE350">
        <v>27.52</v>
      </c>
      <c r="AF350">
        <v>32.69</v>
      </c>
      <c r="AG350">
        <v>26.85</v>
      </c>
      <c r="AH350">
        <v>36.020000000000003</v>
      </c>
      <c r="AI350">
        <v>1.518</v>
      </c>
      <c r="AJ350">
        <v>49.63</v>
      </c>
      <c r="AK350" t="s">
        <v>173</v>
      </c>
      <c r="AL350">
        <f>112-30</f>
        <v>82</v>
      </c>
      <c r="AM350">
        <v>30</v>
      </c>
      <c r="AN350"/>
      <c r="AO350"/>
      <c r="AP350"/>
      <c r="AQ350"/>
      <c r="AR350"/>
      <c r="AS350"/>
      <c r="AT350" t="s">
        <v>146</v>
      </c>
      <c r="AU350" t="s">
        <v>146</v>
      </c>
    </row>
    <row r="351" spans="1:47" x14ac:dyDescent="0.2">
      <c r="A351" s="29">
        <v>356.99999999999932</v>
      </c>
      <c r="B351">
        <v>88</v>
      </c>
      <c r="C351" s="5" t="s">
        <v>253</v>
      </c>
      <c r="D351" s="31" t="s">
        <v>140</v>
      </c>
      <c r="E351" s="3" t="s">
        <v>141</v>
      </c>
      <c r="F351" s="17" t="s">
        <v>62</v>
      </c>
      <c r="H351" s="17" t="s">
        <v>62</v>
      </c>
      <c r="I351" s="82">
        <v>44716</v>
      </c>
      <c r="J351" s="3" t="s">
        <v>142</v>
      </c>
      <c r="K351" s="3" t="s">
        <v>166</v>
      </c>
      <c r="M351" s="17">
        <v>228</v>
      </c>
      <c r="N351">
        <v>224.6</v>
      </c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>
        <v>1.29</v>
      </c>
      <c r="AJ351"/>
      <c r="AK351"/>
      <c r="AL351">
        <v>16</v>
      </c>
      <c r="AM351"/>
      <c r="AN351"/>
      <c r="AO351">
        <v>7.8</v>
      </c>
      <c r="AP351">
        <v>86.9</v>
      </c>
      <c r="AQ351">
        <v>65.3</v>
      </c>
      <c r="AR351">
        <v>43</v>
      </c>
      <c r="AS351">
        <v>18.600000000000001</v>
      </c>
      <c r="AT351" t="s">
        <v>147</v>
      </c>
      <c r="AU351"/>
    </row>
    <row r="352" spans="1:47" x14ac:dyDescent="0.2">
      <c r="A352" s="29">
        <v>358.00000000000057</v>
      </c>
      <c r="B352">
        <v>89</v>
      </c>
      <c r="C352">
        <v>22.350999999999999</v>
      </c>
      <c r="D352" s="31" t="s">
        <v>140</v>
      </c>
      <c r="E352" s="3" t="s">
        <v>141</v>
      </c>
      <c r="F352" s="17" t="s">
        <v>62</v>
      </c>
      <c r="H352" s="17" t="s">
        <v>62</v>
      </c>
      <c r="I352" s="82">
        <v>44717</v>
      </c>
      <c r="J352" s="3" t="s">
        <v>142</v>
      </c>
      <c r="K352" s="3" t="s">
        <v>166</v>
      </c>
      <c r="M352" s="17">
        <v>226.8</v>
      </c>
      <c r="N352">
        <v>226.4</v>
      </c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>
        <v>1.655</v>
      </c>
      <c r="AJ352"/>
      <c r="AK352"/>
      <c r="AL352">
        <v>3</v>
      </c>
      <c r="AM352"/>
      <c r="AN352"/>
      <c r="AO352">
        <v>15.8</v>
      </c>
      <c r="AP352">
        <v>82.8</v>
      </c>
      <c r="AQ352">
        <v>84.5</v>
      </c>
      <c r="AR352">
        <v>43.2</v>
      </c>
      <c r="AS352" s="3">
        <v>18.8</v>
      </c>
      <c r="AT352" t="s">
        <v>147</v>
      </c>
      <c r="AU352"/>
    </row>
    <row r="353" spans="1:47" x14ac:dyDescent="0.2">
      <c r="A353" s="29">
        <v>359.00000000000176</v>
      </c>
      <c r="B353">
        <v>90</v>
      </c>
      <c r="C353">
        <v>22.352</v>
      </c>
      <c r="D353" s="31" t="s">
        <v>140</v>
      </c>
      <c r="E353" s="3" t="s">
        <v>141</v>
      </c>
      <c r="F353" s="17" t="s">
        <v>62</v>
      </c>
      <c r="H353" s="17" t="s">
        <v>62</v>
      </c>
      <c r="I353" s="82">
        <v>44717</v>
      </c>
      <c r="J353" s="3" t="s">
        <v>142</v>
      </c>
      <c r="K353" s="3" t="s">
        <v>166</v>
      </c>
      <c r="M353" s="17">
        <v>227.8</v>
      </c>
      <c r="N353">
        <v>226</v>
      </c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>
        <v>1.528</v>
      </c>
      <c r="AJ353"/>
      <c r="AK353"/>
      <c r="AL353">
        <v>15</v>
      </c>
      <c r="AM353"/>
      <c r="AN353"/>
      <c r="AO353">
        <v>8.8000000000000007</v>
      </c>
      <c r="AP353">
        <v>79</v>
      </c>
      <c r="AQ353">
        <v>74.2</v>
      </c>
      <c r="AR353">
        <v>43.7</v>
      </c>
      <c r="AS353">
        <v>18.7</v>
      </c>
      <c r="AT353" t="s">
        <v>147</v>
      </c>
      <c r="AU353"/>
    </row>
    <row r="354" spans="1:47" x14ac:dyDescent="0.2">
      <c r="A354" s="29">
        <v>359.99999999999943</v>
      </c>
      <c r="B354" s="17">
        <v>209</v>
      </c>
      <c r="C354">
        <v>22.353000000000002</v>
      </c>
      <c r="D354" s="84" t="s">
        <v>151</v>
      </c>
      <c r="E354" s="3" t="s">
        <v>162</v>
      </c>
      <c r="F354" s="3" t="s">
        <v>88</v>
      </c>
      <c r="G354" s="3" t="s">
        <v>88</v>
      </c>
      <c r="I354" s="82">
        <v>44734</v>
      </c>
      <c r="J354" s="3" t="s">
        <v>142</v>
      </c>
      <c r="K354" s="3" t="s">
        <v>203</v>
      </c>
      <c r="L354" s="3">
        <v>227</v>
      </c>
      <c r="M354"/>
      <c r="N354" s="17">
        <v>222.7</v>
      </c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>
        <v>10</v>
      </c>
      <c r="AM354"/>
      <c r="AN354"/>
      <c r="AO354">
        <v>10.1</v>
      </c>
      <c r="AP354">
        <v>77.2</v>
      </c>
      <c r="AQ354">
        <v>72.900000000000006</v>
      </c>
      <c r="AR354">
        <v>49.8</v>
      </c>
      <c r="AS354">
        <v>21.5</v>
      </c>
      <c r="AT354" t="s">
        <v>147</v>
      </c>
      <c r="AU354"/>
    </row>
    <row r="355" spans="1:47" x14ac:dyDescent="0.2">
      <c r="A355" s="29">
        <v>361.00000000000068</v>
      </c>
      <c r="B355" s="17">
        <v>211</v>
      </c>
      <c r="C355">
        <v>2.3540000000000001</v>
      </c>
      <c r="D355" s="84" t="s">
        <v>151</v>
      </c>
      <c r="E355" s="3" t="s">
        <v>162</v>
      </c>
      <c r="F355" s="3" t="s">
        <v>88</v>
      </c>
      <c r="G355" s="3" t="s">
        <v>88</v>
      </c>
      <c r="I355" s="82">
        <v>44734</v>
      </c>
      <c r="J355" s="3" t="s">
        <v>142</v>
      </c>
      <c r="K355" s="3" t="s">
        <v>203</v>
      </c>
      <c r="L355" s="3">
        <v>233</v>
      </c>
      <c r="M355"/>
      <c r="N355" s="17">
        <v>229.4</v>
      </c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>
        <v>13</v>
      </c>
      <c r="AM355"/>
      <c r="AN355"/>
      <c r="AO355">
        <v>8.8000000000000007</v>
      </c>
      <c r="AP355">
        <v>72.900000000000006</v>
      </c>
      <c r="AQ355">
        <v>80.599999999999994</v>
      </c>
      <c r="AR355">
        <v>50.5</v>
      </c>
      <c r="AS355">
        <v>22</v>
      </c>
      <c r="AT355" t="s">
        <v>147</v>
      </c>
      <c r="AU355"/>
    </row>
    <row r="356" spans="1:47" x14ac:dyDescent="0.2">
      <c r="A356" s="29">
        <v>361.99999999999829</v>
      </c>
      <c r="B356" s="59">
        <v>40</v>
      </c>
      <c r="C356">
        <v>22.355</v>
      </c>
      <c r="D356" s="83" t="s">
        <v>200</v>
      </c>
      <c r="E356" s="3" t="s">
        <v>201</v>
      </c>
      <c r="F356" s="43">
        <v>241</v>
      </c>
      <c r="H356" s="43">
        <v>241</v>
      </c>
      <c r="I356" s="81">
        <v>44699</v>
      </c>
      <c r="J356" s="3" t="s">
        <v>142</v>
      </c>
      <c r="K356" s="81" t="s">
        <v>166</v>
      </c>
      <c r="L356" s="43">
        <v>230</v>
      </c>
      <c r="M356"/>
      <c r="N356">
        <v>224.5</v>
      </c>
      <c r="O356">
        <v>165.52</v>
      </c>
      <c r="P356">
        <v>172.05</v>
      </c>
      <c r="Q356">
        <v>35.39</v>
      </c>
      <c r="R356">
        <v>21.66</v>
      </c>
      <c r="S356">
        <v>113.87</v>
      </c>
      <c r="T356">
        <v>95.97</v>
      </c>
      <c r="U356">
        <v>66.11</v>
      </c>
      <c r="V356">
        <v>54.53</v>
      </c>
      <c r="W356">
        <v>75.48</v>
      </c>
      <c r="X356">
        <v>87.25</v>
      </c>
      <c r="Y356">
        <v>36.4</v>
      </c>
      <c r="Z356">
        <v>101.69</v>
      </c>
      <c r="AA356">
        <v>75.28</v>
      </c>
      <c r="AB356">
        <v>82.28</v>
      </c>
      <c r="AC356">
        <v>24.57</v>
      </c>
      <c r="AD356">
        <v>45.54</v>
      </c>
      <c r="AE356">
        <v>19.32</v>
      </c>
      <c r="AF356">
        <v>33.94</v>
      </c>
      <c r="AG356">
        <v>26.23</v>
      </c>
      <c r="AH356">
        <v>36.590000000000003</v>
      </c>
      <c r="AI356">
        <v>2.0659999999999998</v>
      </c>
      <c r="AJ356"/>
      <c r="AK356"/>
      <c r="AL356">
        <v>4</v>
      </c>
      <c r="AM356"/>
      <c r="AN356"/>
      <c r="AO356">
        <f>21.9-10.5</f>
        <v>11.399999999999999</v>
      </c>
      <c r="AP356">
        <f>98.1-10.5</f>
        <v>87.6</v>
      </c>
      <c r="AQ356">
        <f>66.7-10.6</f>
        <v>56.1</v>
      </c>
      <c r="AR356">
        <v>62.4</v>
      </c>
      <c r="AS356">
        <v>26.8</v>
      </c>
      <c r="AT356" t="s">
        <v>254</v>
      </c>
      <c r="AU356"/>
    </row>
    <row r="357" spans="1:47" x14ac:dyDescent="0.2">
      <c r="A357" s="29">
        <v>362.99999999999955</v>
      </c>
      <c r="B357" s="17" t="s">
        <v>255</v>
      </c>
      <c r="C357">
        <v>22.356000000000002</v>
      </c>
      <c r="D357" s="74" t="s">
        <v>179</v>
      </c>
      <c r="E357" t="s">
        <v>180</v>
      </c>
      <c r="F357">
        <v>8</v>
      </c>
      <c r="G357">
        <v>8</v>
      </c>
      <c r="H357" t="s">
        <v>256</v>
      </c>
      <c r="I357" s="56">
        <v>44684</v>
      </c>
      <c r="J357" s="17" t="s">
        <v>238</v>
      </c>
      <c r="K357" s="17" t="s">
        <v>203</v>
      </c>
      <c r="L357">
        <v>240</v>
      </c>
      <c r="M357"/>
      <c r="N357">
        <v>239.7</v>
      </c>
      <c r="O357">
        <v>214.97</v>
      </c>
      <c r="P357">
        <v>224.53</v>
      </c>
      <c r="Q357">
        <v>46.38</v>
      </c>
      <c r="R357">
        <v>28.28</v>
      </c>
      <c r="S357">
        <v>142.93</v>
      </c>
      <c r="T357">
        <v>113.96</v>
      </c>
      <c r="U357">
        <v>60.8</v>
      </c>
      <c r="V357">
        <v>47.56</v>
      </c>
      <c r="W357">
        <v>65.95</v>
      </c>
      <c r="X357">
        <v>84.48</v>
      </c>
      <c r="Y357">
        <v>4.33</v>
      </c>
      <c r="Z357">
        <v>89.99</v>
      </c>
      <c r="AA357">
        <v>72.459999999999994</v>
      </c>
      <c r="AB357">
        <v>60.92</v>
      </c>
      <c r="AC357">
        <v>4.42</v>
      </c>
      <c r="AD357">
        <v>51.02</v>
      </c>
      <c r="AE357">
        <v>32.96</v>
      </c>
      <c r="AF357">
        <v>38.64</v>
      </c>
      <c r="AG357">
        <v>37.15</v>
      </c>
      <c r="AH357">
        <v>44.16</v>
      </c>
      <c r="AI357">
        <v>1.476</v>
      </c>
      <c r="AJ357"/>
      <c r="AK357"/>
      <c r="AL357">
        <f>9+24</f>
        <v>33</v>
      </c>
      <c r="AM357"/>
      <c r="AN357"/>
      <c r="AO357">
        <f>21.4-10.5</f>
        <v>10.899999999999999</v>
      </c>
      <c r="AP357">
        <f>119-10.6</f>
        <v>108.4</v>
      </c>
      <c r="AQ357">
        <f>42.1-10.6</f>
        <v>31.5</v>
      </c>
      <c r="AR357">
        <v>53.8</v>
      </c>
      <c r="AS357">
        <v>23.6</v>
      </c>
      <c r="AT357" t="s">
        <v>254</v>
      </c>
      <c r="AU357"/>
    </row>
    <row r="358" spans="1:47" x14ac:dyDescent="0.2">
      <c r="A358" s="29">
        <v>364.0000000000008</v>
      </c>
      <c r="B358" s="59">
        <v>34</v>
      </c>
      <c r="C358">
        <v>22.356999999999999</v>
      </c>
      <c r="D358" s="83" t="s">
        <v>200</v>
      </c>
      <c r="E358" s="3" t="s">
        <v>201</v>
      </c>
      <c r="F358" s="43">
        <v>241</v>
      </c>
      <c r="H358" s="43">
        <v>241</v>
      </c>
      <c r="I358" s="81">
        <v>44689</v>
      </c>
      <c r="J358" s="3" t="s">
        <v>142</v>
      </c>
      <c r="K358" s="81" t="s">
        <v>166</v>
      </c>
      <c r="L358" s="43">
        <v>227</v>
      </c>
      <c r="M358"/>
      <c r="N358">
        <v>221.3</v>
      </c>
      <c r="O358">
        <v>163.85</v>
      </c>
      <c r="P358">
        <v>179.68</v>
      </c>
      <c r="Q358">
        <v>39.58</v>
      </c>
      <c r="R358">
        <v>23.76</v>
      </c>
      <c r="S358">
        <v>109.24</v>
      </c>
      <c r="T358">
        <v>89.83</v>
      </c>
      <c r="U358">
        <v>64.81</v>
      </c>
      <c r="V358">
        <v>53.9</v>
      </c>
      <c r="W358">
        <v>75.25</v>
      </c>
      <c r="X358">
        <v>84.83</v>
      </c>
      <c r="Y358">
        <v>34.85</v>
      </c>
      <c r="Z358">
        <v>96.32</v>
      </c>
      <c r="AA358">
        <v>72.569999999999993</v>
      </c>
      <c r="AB358">
        <v>72.16</v>
      </c>
      <c r="AC358">
        <v>28.43</v>
      </c>
      <c r="AD358">
        <v>49.28</v>
      </c>
      <c r="AE358">
        <v>21.53</v>
      </c>
      <c r="AF358">
        <v>33.83</v>
      </c>
      <c r="AG358">
        <v>24.88</v>
      </c>
      <c r="AH358">
        <v>39</v>
      </c>
      <c r="AI358">
        <v>1.7629999999999999</v>
      </c>
      <c r="AJ358"/>
      <c r="AK358"/>
      <c r="AL358">
        <v>47</v>
      </c>
      <c r="AM358"/>
      <c r="AN358"/>
      <c r="AO358">
        <v>14.2</v>
      </c>
      <c r="AP358">
        <f>97.9-10.4</f>
        <v>87.5</v>
      </c>
      <c r="AQ358">
        <f>20-10.4</f>
        <v>9.6</v>
      </c>
      <c r="AR358">
        <v>56.3</v>
      </c>
      <c r="AS358">
        <v>25.6</v>
      </c>
      <c r="AT358" t="s">
        <v>254</v>
      </c>
      <c r="AU358"/>
    </row>
    <row r="359" spans="1:47" x14ac:dyDescent="0.2">
      <c r="A359" s="29">
        <v>364.99999999999841</v>
      </c>
      <c r="B359" s="17" t="s">
        <v>257</v>
      </c>
      <c r="C359">
        <v>22.358000000000001</v>
      </c>
      <c r="D359" s="74" t="s">
        <v>179</v>
      </c>
      <c r="E359" t="s">
        <v>180</v>
      </c>
      <c r="F359" t="s">
        <v>181</v>
      </c>
      <c r="G359"/>
      <c r="H359" t="s">
        <v>199</v>
      </c>
      <c r="I359" s="56">
        <v>44702</v>
      </c>
      <c r="J359" s="17" t="s">
        <v>238</v>
      </c>
      <c r="K359" s="17" t="s">
        <v>203</v>
      </c>
      <c r="L359">
        <v>225</v>
      </c>
      <c r="M359"/>
      <c r="N359">
        <v>228.4</v>
      </c>
      <c r="O359">
        <v>192.33</v>
      </c>
      <c r="P359">
        <v>202.4</v>
      </c>
      <c r="Q359">
        <v>50.39</v>
      </c>
      <c r="R359">
        <v>23.41</v>
      </c>
      <c r="S359">
        <v>125.65</v>
      </c>
      <c r="T359">
        <v>101.43</v>
      </c>
      <c r="U359">
        <v>60.46</v>
      </c>
      <c r="V359">
        <v>40.950000000000003</v>
      </c>
      <c r="W359">
        <v>65.73</v>
      </c>
      <c r="X359">
        <v>84.67</v>
      </c>
      <c r="Y359">
        <v>34.369999999999997</v>
      </c>
      <c r="Z359">
        <v>92.63</v>
      </c>
      <c r="AA359">
        <v>71.94</v>
      </c>
      <c r="AB359">
        <v>65.290000000000006</v>
      </c>
      <c r="AC359">
        <v>14.7</v>
      </c>
      <c r="AD359">
        <v>48.06</v>
      </c>
      <c r="AE359">
        <v>34.82</v>
      </c>
      <c r="AF359">
        <v>36.17</v>
      </c>
      <c r="AG359">
        <v>32.130000000000003</v>
      </c>
      <c r="AH359">
        <v>39.53</v>
      </c>
      <c r="AI359">
        <v>1.454</v>
      </c>
      <c r="AJ359"/>
      <c r="AK359"/>
      <c r="AL359">
        <v>20</v>
      </c>
      <c r="AM359"/>
      <c r="AN359"/>
      <c r="AO359">
        <f>22.5-10.6</f>
        <v>11.9</v>
      </c>
      <c r="AP359">
        <f>113.5-10.6</f>
        <v>102.9</v>
      </c>
      <c r="AQ359">
        <f>50.1-10.9</f>
        <v>39.200000000000003</v>
      </c>
      <c r="AR359">
        <v>49.6</v>
      </c>
      <c r="AS359">
        <v>21.5</v>
      </c>
      <c r="AT359" t="s">
        <v>254</v>
      </c>
      <c r="AU359"/>
    </row>
    <row r="360" spans="1:47" x14ac:dyDescent="0.2">
      <c r="A360" s="29">
        <v>365.99999999999966</v>
      </c>
      <c r="B360" s="59">
        <v>37</v>
      </c>
      <c r="C360">
        <v>22.359000000000002</v>
      </c>
      <c r="D360" s="83" t="s">
        <v>200</v>
      </c>
      <c r="E360" s="3" t="s">
        <v>201</v>
      </c>
      <c r="F360" s="43">
        <v>241</v>
      </c>
      <c r="H360" s="43">
        <v>241</v>
      </c>
      <c r="I360" s="81">
        <v>44699</v>
      </c>
      <c r="J360" s="3" t="s">
        <v>142</v>
      </c>
      <c r="K360" s="81" t="s">
        <v>166</v>
      </c>
      <c r="L360" s="43">
        <v>228</v>
      </c>
      <c r="M360"/>
      <c r="N360">
        <v>224</v>
      </c>
      <c r="O360">
        <v>179.04</v>
      </c>
      <c r="P360">
        <v>183.78</v>
      </c>
      <c r="Q360">
        <v>43.41</v>
      </c>
      <c r="R360">
        <v>22.19</v>
      </c>
      <c r="S360">
        <v>115.24</v>
      </c>
      <c r="T360">
        <v>94.42</v>
      </c>
      <c r="U360">
        <v>68.42</v>
      </c>
      <c r="V360">
        <v>56.06</v>
      </c>
      <c r="W360">
        <v>78.55</v>
      </c>
      <c r="X360">
        <v>91.23</v>
      </c>
      <c r="Y360">
        <v>36.130000000000003</v>
      </c>
      <c r="Z360">
        <v>102.39</v>
      </c>
      <c r="AA360">
        <v>74.11</v>
      </c>
      <c r="AB360">
        <v>83.82</v>
      </c>
      <c r="AC360">
        <v>26.73</v>
      </c>
      <c r="AD360">
        <v>44.76</v>
      </c>
      <c r="AE360">
        <v>26.46</v>
      </c>
      <c r="AF360">
        <v>41.45</v>
      </c>
      <c r="AG360">
        <v>28.29</v>
      </c>
      <c r="AH360">
        <v>38.35</v>
      </c>
      <c r="AI360">
        <v>1.9379999999999999</v>
      </c>
      <c r="AJ360"/>
      <c r="AK360"/>
      <c r="AL360">
        <v>15</v>
      </c>
      <c r="AM360"/>
      <c r="AN360"/>
      <c r="AO360">
        <f>13.1-2.9</f>
        <v>10.199999999999999</v>
      </c>
      <c r="AP360">
        <f>100.8-11.8</f>
        <v>89</v>
      </c>
      <c r="AQ360">
        <f>49.6-10.2</f>
        <v>39.400000000000006</v>
      </c>
      <c r="AR360">
        <v>59.4</v>
      </c>
      <c r="AS360">
        <v>27</v>
      </c>
      <c r="AT360" t="s">
        <v>254</v>
      </c>
      <c r="AU360"/>
    </row>
    <row r="361" spans="1:47" x14ac:dyDescent="0.2">
      <c r="A361" s="29">
        <v>367.00000000000091</v>
      </c>
      <c r="B361" s="59">
        <v>39</v>
      </c>
      <c r="C361" s="5" t="s">
        <v>258</v>
      </c>
      <c r="D361" s="83" t="s">
        <v>200</v>
      </c>
      <c r="E361" s="3" t="s">
        <v>201</v>
      </c>
      <c r="F361" s="43">
        <v>241</v>
      </c>
      <c r="H361" s="43">
        <v>241</v>
      </c>
      <c r="I361" s="81">
        <v>44699</v>
      </c>
      <c r="J361" s="3" t="s">
        <v>142</v>
      </c>
      <c r="K361" s="81" t="s">
        <v>166</v>
      </c>
      <c r="L361" s="43">
        <v>243</v>
      </c>
      <c r="M361"/>
      <c r="N361">
        <v>235.5</v>
      </c>
      <c r="O361">
        <v>177.06</v>
      </c>
      <c r="P361">
        <v>191.37</v>
      </c>
      <c r="Q361">
        <v>44.54</v>
      </c>
      <c r="R361">
        <v>26.62</v>
      </c>
      <c r="S361">
        <v>119.16</v>
      </c>
      <c r="T361">
        <v>96.11</v>
      </c>
      <c r="U361">
        <v>65.459999999999994</v>
      </c>
      <c r="V361">
        <v>53.92</v>
      </c>
      <c r="W361">
        <v>77.510000000000005</v>
      </c>
      <c r="X361">
        <v>86.75</v>
      </c>
      <c r="Y361">
        <v>35.86</v>
      </c>
      <c r="Z361">
        <v>99.9</v>
      </c>
      <c r="AA361">
        <v>74.02</v>
      </c>
      <c r="AB361">
        <v>81.12</v>
      </c>
      <c r="AC361">
        <v>29.03</v>
      </c>
      <c r="AD361">
        <v>47.44</v>
      </c>
      <c r="AE361">
        <v>30.27</v>
      </c>
      <c r="AF361">
        <v>39.03</v>
      </c>
      <c r="AG361">
        <v>31.88</v>
      </c>
      <c r="AH361">
        <v>44.2</v>
      </c>
      <c r="AI361">
        <v>2.0390000000000001</v>
      </c>
      <c r="AJ361"/>
      <c r="AK361"/>
      <c r="AL361">
        <v>27</v>
      </c>
      <c r="AM361"/>
      <c r="AN361"/>
      <c r="AO361">
        <f>14.1-2.9</f>
        <v>11.2</v>
      </c>
      <c r="AP361">
        <f>(102.4-12)+(14.4-10.9)</f>
        <v>93.9</v>
      </c>
      <c r="AQ361">
        <f>44-12.4</f>
        <v>31.6</v>
      </c>
      <c r="AR361">
        <v>60.4</v>
      </c>
      <c r="AS361">
        <v>28.7</v>
      </c>
      <c r="AT361" t="s">
        <v>254</v>
      </c>
      <c r="AU361"/>
    </row>
    <row r="362" spans="1:47" x14ac:dyDescent="0.2">
      <c r="A362" s="29">
        <v>367.99999999999852</v>
      </c>
      <c r="B362" s="59">
        <v>38</v>
      </c>
      <c r="C362">
        <v>22.361000000000001</v>
      </c>
      <c r="D362" s="83" t="s">
        <v>200</v>
      </c>
      <c r="E362" s="3" t="s">
        <v>201</v>
      </c>
      <c r="F362" s="43">
        <v>241</v>
      </c>
      <c r="H362" s="43">
        <v>241</v>
      </c>
      <c r="I362" s="81">
        <v>44699</v>
      </c>
      <c r="J362" s="3" t="s">
        <v>142</v>
      </c>
      <c r="K362" s="81" t="s">
        <v>166</v>
      </c>
      <c r="L362" s="43">
        <v>232</v>
      </c>
      <c r="M362"/>
      <c r="N362">
        <v>234</v>
      </c>
      <c r="O362">
        <v>167.76</v>
      </c>
      <c r="P362">
        <v>183.21</v>
      </c>
      <c r="Q362">
        <v>35.79</v>
      </c>
      <c r="R362">
        <v>24.76</v>
      </c>
      <c r="S362">
        <v>115.53</v>
      </c>
      <c r="T362">
        <v>94.89</v>
      </c>
      <c r="U362">
        <v>71.540000000000006</v>
      </c>
      <c r="V362">
        <v>54.52</v>
      </c>
      <c r="W362">
        <v>77.92</v>
      </c>
      <c r="X362">
        <v>86.05</v>
      </c>
      <c r="Y362">
        <v>33.31</v>
      </c>
      <c r="Z362">
        <v>100.07</v>
      </c>
      <c r="AA362">
        <v>72.510000000000005</v>
      </c>
      <c r="AB362">
        <v>82.19</v>
      </c>
      <c r="AC362">
        <v>27.76</v>
      </c>
      <c r="AD362">
        <v>47.83</v>
      </c>
      <c r="AE362">
        <v>26.84</v>
      </c>
      <c r="AF362">
        <v>35.11</v>
      </c>
      <c r="AG362">
        <v>32.090000000000003</v>
      </c>
      <c r="AH362">
        <v>35.72</v>
      </c>
      <c r="AI362">
        <v>2.08</v>
      </c>
      <c r="AJ362"/>
      <c r="AK362"/>
      <c r="AL362">
        <v>30</v>
      </c>
      <c r="AM362"/>
      <c r="AN362"/>
      <c r="AO362">
        <f>17.6-2.8</f>
        <v>14.8</v>
      </c>
      <c r="AP362">
        <f>105.5-10.1</f>
        <v>95.4</v>
      </c>
      <c r="AQ362">
        <f>34.3-11.7</f>
        <v>22.599999999999998</v>
      </c>
      <c r="AR362">
        <v>62.8</v>
      </c>
      <c r="AS362">
        <v>28</v>
      </c>
      <c r="AT362" t="s">
        <v>254</v>
      </c>
      <c r="AU362"/>
    </row>
    <row r="363" spans="1:47" x14ac:dyDescent="0.2">
      <c r="A363" s="29">
        <v>368.99999999999977</v>
      </c>
      <c r="B363" s="17" t="s">
        <v>259</v>
      </c>
      <c r="C363">
        <v>22.361999999999998</v>
      </c>
      <c r="D363" s="74" t="s">
        <v>179</v>
      </c>
      <c r="E363" t="s">
        <v>180</v>
      </c>
      <c r="F363" t="s">
        <v>181</v>
      </c>
      <c r="G363"/>
      <c r="H363" t="s">
        <v>199</v>
      </c>
      <c r="I363" s="56">
        <v>44709</v>
      </c>
      <c r="J363" s="17" t="s">
        <v>238</v>
      </c>
      <c r="K363" s="17" t="s">
        <v>203</v>
      </c>
      <c r="L363">
        <v>205</v>
      </c>
      <c r="M363"/>
      <c r="N363">
        <v>206.2</v>
      </c>
      <c r="O363">
        <v>191.19</v>
      </c>
      <c r="P363">
        <v>203.39</v>
      </c>
      <c r="Q363">
        <v>52.37</v>
      </c>
      <c r="R363">
        <v>23.4</v>
      </c>
      <c r="S363">
        <v>119.62</v>
      </c>
      <c r="T363">
        <v>99.14</v>
      </c>
      <c r="U363">
        <v>59.43</v>
      </c>
      <c r="V363">
        <v>45.15</v>
      </c>
      <c r="W363">
        <v>66.459999999999994</v>
      </c>
      <c r="X363">
        <v>82.48</v>
      </c>
      <c r="Y363">
        <v>36.64</v>
      </c>
      <c r="Z363">
        <v>92.21</v>
      </c>
      <c r="AA363">
        <v>71.78</v>
      </c>
      <c r="AB363">
        <v>63.74</v>
      </c>
      <c r="AC363">
        <v>20.8</v>
      </c>
      <c r="AD363">
        <v>46.8</v>
      </c>
      <c r="AE363">
        <v>31.32</v>
      </c>
      <c r="AF363">
        <v>39.35</v>
      </c>
      <c r="AG363">
        <v>31.2</v>
      </c>
      <c r="AH363">
        <v>43.35</v>
      </c>
      <c r="AI363">
        <v>1.206</v>
      </c>
      <c r="AJ363"/>
      <c r="AK363"/>
      <c r="AL363">
        <v>15</v>
      </c>
      <c r="AM363"/>
      <c r="AN363"/>
      <c r="AO363">
        <f>18.2-2.9</f>
        <v>15.299999999999999</v>
      </c>
      <c r="AP363">
        <f>106.1-11.6</f>
        <v>94.5</v>
      </c>
      <c r="AQ363">
        <f>44-10.6</f>
        <v>33.4</v>
      </c>
      <c r="AR363">
        <v>40</v>
      </c>
      <c r="AS363">
        <v>17.100000000000001</v>
      </c>
      <c r="AT363" t="s">
        <v>254</v>
      </c>
      <c r="AU363"/>
    </row>
    <row r="364" spans="1:47" x14ac:dyDescent="0.2">
      <c r="A364" s="29">
        <v>370.00000000000102</v>
      </c>
      <c r="B364" s="17" t="s">
        <v>260</v>
      </c>
      <c r="C364">
        <v>22.363</v>
      </c>
      <c r="D364" s="74" t="s">
        <v>179</v>
      </c>
      <c r="E364" t="s">
        <v>180</v>
      </c>
      <c r="F364" t="s">
        <v>181</v>
      </c>
      <c r="G364"/>
      <c r="H364" t="s">
        <v>199</v>
      </c>
      <c r="I364" s="56">
        <v>44679</v>
      </c>
      <c r="J364" s="17" t="s">
        <v>238</v>
      </c>
      <c r="K364" s="17" t="s">
        <v>203</v>
      </c>
      <c r="L364">
        <v>215</v>
      </c>
      <c r="M364"/>
      <c r="N364">
        <v>219.3</v>
      </c>
      <c r="O364">
        <v>193.51</v>
      </c>
      <c r="P364">
        <v>206.16</v>
      </c>
      <c r="Q364">
        <v>57.33</v>
      </c>
      <c r="R364">
        <v>22.66</v>
      </c>
      <c r="S364">
        <v>126.43</v>
      </c>
      <c r="T364">
        <v>105.83</v>
      </c>
      <c r="U364">
        <v>55.15</v>
      </c>
      <c r="V364">
        <v>43.71</v>
      </c>
      <c r="W364">
        <v>65.58</v>
      </c>
      <c r="X364">
        <v>83.21</v>
      </c>
      <c r="Y364">
        <v>36.119999999999997</v>
      </c>
      <c r="Z364">
        <v>91.89</v>
      </c>
      <c r="AA364">
        <v>70.739999999999995</v>
      </c>
      <c r="AB364">
        <v>63.26</v>
      </c>
      <c r="AC364">
        <v>18</v>
      </c>
      <c r="AD364">
        <v>48.49</v>
      </c>
      <c r="AE364">
        <v>32.79</v>
      </c>
      <c r="AF364">
        <v>38.64</v>
      </c>
      <c r="AG364">
        <v>32.270000000000003</v>
      </c>
      <c r="AH364">
        <v>42.18</v>
      </c>
      <c r="AI364">
        <v>1.522</v>
      </c>
      <c r="AJ364"/>
      <c r="AK364"/>
      <c r="AL364">
        <v>27</v>
      </c>
      <c r="AM364"/>
      <c r="AN364"/>
      <c r="AO364">
        <f>21.3-10.5</f>
        <v>10.8</v>
      </c>
      <c r="AP364">
        <f>110-10.6</f>
        <v>99.4</v>
      </c>
      <c r="AQ364">
        <f>43.4-10.6</f>
        <v>32.799999999999997</v>
      </c>
      <c r="AR364">
        <v>46.4</v>
      </c>
      <c r="AS364">
        <v>20.2</v>
      </c>
      <c r="AT364" t="s">
        <v>254</v>
      </c>
      <c r="AU364"/>
    </row>
    <row r="365" spans="1:47" x14ac:dyDescent="0.2">
      <c r="A365" s="29">
        <v>370.99999999999864</v>
      </c>
      <c r="B365" s="59">
        <v>31</v>
      </c>
      <c r="C365">
        <v>22.364000000000001</v>
      </c>
      <c r="D365" s="83" t="s">
        <v>200</v>
      </c>
      <c r="E365" s="3" t="s">
        <v>201</v>
      </c>
      <c r="F365" s="43">
        <v>241</v>
      </c>
      <c r="H365" s="43">
        <v>241</v>
      </c>
      <c r="I365" s="81">
        <v>44645</v>
      </c>
      <c r="J365" s="3" t="s">
        <v>142</v>
      </c>
      <c r="K365" s="81" t="s">
        <v>166</v>
      </c>
      <c r="L365" s="43">
        <v>234</v>
      </c>
      <c r="M365"/>
      <c r="N365">
        <v>228.5</v>
      </c>
      <c r="O365">
        <v>206.63</v>
      </c>
      <c r="P365">
        <v>226.26</v>
      </c>
      <c r="Q365">
        <v>44.72</v>
      </c>
      <c r="R365">
        <v>39.520000000000003</v>
      </c>
      <c r="S365">
        <v>139.54</v>
      </c>
      <c r="T365">
        <v>112.79</v>
      </c>
      <c r="U365">
        <v>57.76</v>
      </c>
      <c r="V365">
        <v>47.07</v>
      </c>
      <c r="W365">
        <v>67.5</v>
      </c>
      <c r="X365">
        <v>78.37</v>
      </c>
      <c r="Y365">
        <v>33</v>
      </c>
      <c r="Z365">
        <v>88.22</v>
      </c>
      <c r="AA365">
        <v>64.2</v>
      </c>
      <c r="AB365">
        <v>72.209999999999994</v>
      </c>
      <c r="AC365">
        <v>28.5</v>
      </c>
      <c r="AD365">
        <v>45.91</v>
      </c>
      <c r="AE365">
        <v>36.54</v>
      </c>
      <c r="AF365">
        <v>40.659999999999997</v>
      </c>
      <c r="AG365">
        <v>33.909999999999997</v>
      </c>
      <c r="AH365">
        <v>42.64</v>
      </c>
      <c r="AI365">
        <v>1.9</v>
      </c>
      <c r="AJ365"/>
      <c r="AK365"/>
      <c r="AL365">
        <v>12</v>
      </c>
      <c r="AM365"/>
      <c r="AN365"/>
      <c r="AO365">
        <f>18.5-10.8</f>
        <v>7.6999999999999993</v>
      </c>
      <c r="AP365">
        <f>98.4-11</f>
        <v>87.4</v>
      </c>
      <c r="AQ365">
        <f>70.3-10.7</f>
        <v>59.599999999999994</v>
      </c>
      <c r="AR365">
        <v>59.1</v>
      </c>
      <c r="AS365">
        <v>25.8</v>
      </c>
      <c r="AT365" t="s">
        <v>254</v>
      </c>
      <c r="AU365"/>
    </row>
    <row r="366" spans="1:47" x14ac:dyDescent="0.2">
      <c r="A366" s="29">
        <v>371.99999999999989</v>
      </c>
      <c r="B366" s="59">
        <v>32</v>
      </c>
      <c r="C366">
        <v>22.364999999999998</v>
      </c>
      <c r="D366" s="83" t="s">
        <v>200</v>
      </c>
      <c r="E366" s="3" t="s">
        <v>201</v>
      </c>
      <c r="F366" s="43">
        <v>241</v>
      </c>
      <c r="H366" s="43">
        <v>241</v>
      </c>
      <c r="I366" s="81">
        <v>44645</v>
      </c>
      <c r="J366" s="3" t="s">
        <v>142</v>
      </c>
      <c r="K366" s="81" t="s">
        <v>166</v>
      </c>
      <c r="L366" s="43">
        <v>214</v>
      </c>
      <c r="M366"/>
      <c r="N366">
        <v>212.2</v>
      </c>
      <c r="O366">
        <v>168.66</v>
      </c>
      <c r="P366">
        <v>181.95</v>
      </c>
      <c r="Q366">
        <v>42.22</v>
      </c>
      <c r="R366">
        <v>27.42</v>
      </c>
      <c r="S366">
        <v>110.19</v>
      </c>
      <c r="T366">
        <v>89.86</v>
      </c>
      <c r="U366">
        <v>70.319999999999993</v>
      </c>
      <c r="V366">
        <v>55.5</v>
      </c>
      <c r="W366">
        <v>78.09</v>
      </c>
      <c r="X366">
        <v>85.67</v>
      </c>
      <c r="Y366">
        <v>34.590000000000003</v>
      </c>
      <c r="Z366">
        <v>96.02</v>
      </c>
      <c r="AA366">
        <v>68.849999999999994</v>
      </c>
      <c r="AB366">
        <v>74.569999999999993</v>
      </c>
      <c r="AC366">
        <v>25.97</v>
      </c>
      <c r="AD366">
        <v>46.28</v>
      </c>
      <c r="AE366">
        <v>28.07</v>
      </c>
      <c r="AF366">
        <v>36.299999999999997</v>
      </c>
      <c r="AG366">
        <v>29.4</v>
      </c>
      <c r="AH366">
        <v>41.16</v>
      </c>
      <c r="AI366">
        <v>1.94</v>
      </c>
      <c r="AJ366"/>
      <c r="AK366"/>
      <c r="AL366">
        <v>22</v>
      </c>
      <c r="AM366"/>
      <c r="AN366"/>
      <c r="AO366">
        <f>13.1-2.8</f>
        <v>10.3</v>
      </c>
      <c r="AP366">
        <f>97.9-11.9</f>
        <v>86</v>
      </c>
      <c r="AQ366">
        <f>40.7-12.8</f>
        <v>27.900000000000002</v>
      </c>
      <c r="AR366">
        <v>60.1</v>
      </c>
      <c r="AS366">
        <v>26</v>
      </c>
      <c r="AT366" t="s">
        <v>254</v>
      </c>
      <c r="AU366"/>
    </row>
    <row r="367" spans="1:47" x14ac:dyDescent="0.2">
      <c r="A367" s="29">
        <v>373.00000000000114</v>
      </c>
      <c r="B367" s="17">
        <v>210</v>
      </c>
      <c r="C367">
        <v>22.366</v>
      </c>
      <c r="D367" s="84" t="s">
        <v>151</v>
      </c>
      <c r="E367" s="3" t="s">
        <v>162</v>
      </c>
      <c r="F367" s="3" t="s">
        <v>88</v>
      </c>
      <c r="G367" s="3" t="s">
        <v>88</v>
      </c>
      <c r="I367" s="68">
        <v>44690</v>
      </c>
      <c r="J367" s="3" t="s">
        <v>142</v>
      </c>
      <c r="K367" s="3" t="s">
        <v>203</v>
      </c>
      <c r="L367" s="3">
        <v>245</v>
      </c>
      <c r="M367" s="17"/>
      <c r="N367">
        <v>243.3</v>
      </c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>
        <v>1.635</v>
      </c>
      <c r="AJ367"/>
      <c r="AK367"/>
      <c r="AL367">
        <v>9</v>
      </c>
      <c r="AM367"/>
      <c r="AN367"/>
      <c r="AO367">
        <f>20.3-10.9</f>
        <v>9.4</v>
      </c>
      <c r="AP367">
        <f>94.2-11.1</f>
        <v>83.100000000000009</v>
      </c>
      <c r="AQ367">
        <f>93.7-11.8</f>
        <v>81.900000000000006</v>
      </c>
      <c r="AR367">
        <v>57</v>
      </c>
      <c r="AS367">
        <v>24.9</v>
      </c>
      <c r="AT367" t="s">
        <v>254</v>
      </c>
      <c r="AU367"/>
    </row>
    <row r="368" spans="1:47" x14ac:dyDescent="0.2">
      <c r="A368" s="29">
        <v>373.99999999999875</v>
      </c>
      <c r="B368" s="18" t="s">
        <v>261</v>
      </c>
      <c r="C368">
        <v>22.367000000000001</v>
      </c>
      <c r="D368" s="85" t="s">
        <v>187</v>
      </c>
      <c r="E368" s="18" t="s">
        <v>188</v>
      </c>
      <c r="F368" s="14">
        <v>262</v>
      </c>
      <c r="G368" s="14">
        <v>262</v>
      </c>
      <c r="H368" s="14"/>
      <c r="I368" s="56">
        <v>44592</v>
      </c>
      <c r="J368" s="17" t="s">
        <v>238</v>
      </c>
      <c r="K368" s="17" t="s">
        <v>203</v>
      </c>
      <c r="L368">
        <v>189</v>
      </c>
      <c r="M368"/>
      <c r="N368">
        <v>152.19999999999999</v>
      </c>
      <c r="O368">
        <v>168.83</v>
      </c>
      <c r="P368">
        <v>185.19</v>
      </c>
      <c r="Q368">
        <v>49.99</v>
      </c>
      <c r="R368">
        <v>23.86</v>
      </c>
      <c r="S368">
        <v>108.36</v>
      </c>
      <c r="T368">
        <v>91.09</v>
      </c>
      <c r="U368">
        <v>61.34</v>
      </c>
      <c r="V368">
        <v>47.01</v>
      </c>
      <c r="W368">
        <v>64.61</v>
      </c>
      <c r="X368">
        <v>72.19</v>
      </c>
      <c r="Y368">
        <v>27.53</v>
      </c>
      <c r="Z368">
        <v>87.92</v>
      </c>
      <c r="AA368">
        <v>70.73</v>
      </c>
      <c r="AB368">
        <v>67.73</v>
      </c>
      <c r="AC368">
        <v>23.48</v>
      </c>
      <c r="AD368">
        <v>38.79</v>
      </c>
      <c r="AE368">
        <v>31.86</v>
      </c>
      <c r="AF368">
        <v>35.590000000000003</v>
      </c>
      <c r="AG368">
        <v>31.11</v>
      </c>
      <c r="AH368">
        <v>40.67</v>
      </c>
      <c r="AI368">
        <v>1.3460000000000001</v>
      </c>
      <c r="AJ368"/>
      <c r="AK368"/>
      <c r="AL368"/>
      <c r="AM368"/>
      <c r="AN368"/>
      <c r="AO368">
        <f>11.1-2.9</f>
        <v>8.1999999999999993</v>
      </c>
      <c r="AP368">
        <f>67.7-11.7</f>
        <v>56</v>
      </c>
      <c r="AQ368">
        <f>62.5-12.4</f>
        <v>50.1</v>
      </c>
      <c r="AR368">
        <v>32.9</v>
      </c>
      <c r="AS368">
        <v>14.4</v>
      </c>
      <c r="AT368" t="s">
        <v>254</v>
      </c>
      <c r="AU368"/>
    </row>
    <row r="369" spans="1:47" x14ac:dyDescent="0.2">
      <c r="A369" s="29">
        <v>375</v>
      </c>
      <c r="B369" s="17">
        <v>208</v>
      </c>
      <c r="C369">
        <v>22.367999999999999</v>
      </c>
      <c r="D369" s="84" t="s">
        <v>151</v>
      </c>
      <c r="E369" s="3" t="s">
        <v>162</v>
      </c>
      <c r="F369" s="3" t="s">
        <v>88</v>
      </c>
      <c r="G369" s="3" t="s">
        <v>88</v>
      </c>
      <c r="I369" s="68">
        <v>44690</v>
      </c>
      <c r="J369" s="3" t="s">
        <v>142</v>
      </c>
      <c r="K369" s="3" t="s">
        <v>203</v>
      </c>
      <c r="L369" s="3">
        <v>226</v>
      </c>
      <c r="M369" s="17"/>
      <c r="N369">
        <v>221.5</v>
      </c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>
        <v>1.6279999999999999</v>
      </c>
      <c r="AJ369"/>
      <c r="AK369"/>
      <c r="AL369">
        <v>13.5</v>
      </c>
      <c r="AM369"/>
      <c r="AN369"/>
      <c r="AO369">
        <f>20.4-10.8</f>
        <v>9.5999999999999979</v>
      </c>
      <c r="AP369">
        <f>86.2-11.1</f>
        <v>75.100000000000009</v>
      </c>
      <c r="AQ369">
        <f>81.7-11.4</f>
        <v>70.3</v>
      </c>
      <c r="AR369">
        <v>49.6</v>
      </c>
      <c r="AS369">
        <v>21.5</v>
      </c>
      <c r="AT369" t="s">
        <v>254</v>
      </c>
      <c r="AU369"/>
    </row>
    <row r="370" spans="1:47" x14ac:dyDescent="0.2">
      <c r="A370" s="29">
        <v>376.00000000000125</v>
      </c>
      <c r="B370">
        <v>222</v>
      </c>
      <c r="C370">
        <v>22.369</v>
      </c>
      <c r="D370" s="84" t="s">
        <v>151</v>
      </c>
      <c r="E370" s="3" t="s">
        <v>162</v>
      </c>
      <c r="F370" s="3" t="s">
        <v>88</v>
      </c>
      <c r="G370" s="3" t="s">
        <v>88</v>
      </c>
      <c r="I370" s="56">
        <v>44714</v>
      </c>
      <c r="J370" s="3" t="s">
        <v>142</v>
      </c>
      <c r="K370" s="3" t="s">
        <v>203</v>
      </c>
      <c r="L370" s="17">
        <v>238</v>
      </c>
      <c r="M370"/>
      <c r="N370">
        <v>238.2</v>
      </c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>
        <v>1.7809999999999999</v>
      </c>
      <c r="AJ370"/>
      <c r="AK370"/>
      <c r="AL370">
        <v>23</v>
      </c>
      <c r="AM370"/>
      <c r="AN370"/>
      <c r="AO370">
        <f>13.2-2.9</f>
        <v>10.299999999999999</v>
      </c>
      <c r="AP370">
        <f>92.6-12.5</f>
        <v>80.099999999999994</v>
      </c>
      <c r="AQ370">
        <f>70.1-11.7</f>
        <v>58.399999999999991</v>
      </c>
      <c r="AR370">
        <v>54.2</v>
      </c>
      <c r="AS370">
        <v>23.2</v>
      </c>
      <c r="AT370" t="s">
        <v>254</v>
      </c>
      <c r="AU370"/>
    </row>
    <row r="371" spans="1:47" x14ac:dyDescent="0.2">
      <c r="A371" s="29">
        <v>376.99999999999886</v>
      </c>
      <c r="B371">
        <v>204</v>
      </c>
      <c r="C371" s="5" t="s">
        <v>262</v>
      </c>
      <c r="D371" s="84" t="s">
        <v>151</v>
      </c>
      <c r="E371" s="3" t="s">
        <v>162</v>
      </c>
      <c r="F371" s="3" t="s">
        <v>88</v>
      </c>
      <c r="G371" s="3" t="s">
        <v>88</v>
      </c>
      <c r="I371" s="68">
        <v>44678</v>
      </c>
      <c r="J371" s="3" t="s">
        <v>142</v>
      </c>
      <c r="K371" s="3" t="s">
        <v>203</v>
      </c>
      <c r="L371" s="17">
        <v>235</v>
      </c>
      <c r="M371"/>
      <c r="N371">
        <v>238.2</v>
      </c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>
        <v>1.7210000000000001</v>
      </c>
      <c r="AJ371"/>
      <c r="AK371"/>
      <c r="AL371">
        <v>12</v>
      </c>
      <c r="AM371"/>
      <c r="AN371"/>
      <c r="AO371">
        <f>23-11.5</f>
        <v>11.5</v>
      </c>
      <c r="AP371">
        <f>85.8-11.8</f>
        <v>74</v>
      </c>
      <c r="AQ371">
        <f>98.4-12</f>
        <v>86.4</v>
      </c>
      <c r="AR371">
        <v>50.8</v>
      </c>
      <c r="AS371">
        <v>22.3</v>
      </c>
      <c r="AT371" t="s">
        <v>254</v>
      </c>
      <c r="AU371"/>
    </row>
    <row r="372" spans="1:47" x14ac:dyDescent="0.2">
      <c r="A372" s="29">
        <v>378.00000000000011</v>
      </c>
      <c r="B372">
        <v>228</v>
      </c>
      <c r="C372">
        <v>22.370999999999999</v>
      </c>
      <c r="D372" s="84" t="s">
        <v>151</v>
      </c>
      <c r="E372" s="3" t="s">
        <v>162</v>
      </c>
      <c r="F372" s="3" t="s">
        <v>88</v>
      </c>
      <c r="G372" s="3" t="s">
        <v>88</v>
      </c>
      <c r="I372" s="68">
        <v>44728</v>
      </c>
      <c r="J372" s="3" t="s">
        <v>142</v>
      </c>
      <c r="K372" s="3" t="s">
        <v>203</v>
      </c>
      <c r="L372" s="17">
        <v>244</v>
      </c>
      <c r="M372"/>
      <c r="N372">
        <v>242.7</v>
      </c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>
        <v>1.6579999999999999</v>
      </c>
      <c r="AJ372"/>
      <c r="AK372"/>
      <c r="AL372">
        <v>11</v>
      </c>
      <c r="AM372"/>
      <c r="AN372"/>
      <c r="AO372">
        <f>21-10.7</f>
        <v>10.3</v>
      </c>
      <c r="AP372">
        <f>106.4-10.9</f>
        <v>95.5</v>
      </c>
      <c r="AQ372">
        <f>82.9-12.4</f>
        <v>70.5</v>
      </c>
      <c r="AR372">
        <v>53</v>
      </c>
      <c r="AS372">
        <v>23.5</v>
      </c>
      <c r="AT372" t="s">
        <v>254</v>
      </c>
      <c r="AU372"/>
    </row>
    <row r="373" spans="1:47" x14ac:dyDescent="0.2">
      <c r="A373" s="29">
        <v>379.00000000000136</v>
      </c>
      <c r="B373">
        <v>219</v>
      </c>
      <c r="C373">
        <v>22.372</v>
      </c>
      <c r="D373" s="84" t="s">
        <v>151</v>
      </c>
      <c r="E373" s="3" t="s">
        <v>162</v>
      </c>
      <c r="F373" s="3" t="s">
        <v>88</v>
      </c>
      <c r="G373" s="3" t="s">
        <v>88</v>
      </c>
      <c r="I373" s="56">
        <v>44714</v>
      </c>
      <c r="J373" s="3" t="s">
        <v>142</v>
      </c>
      <c r="K373" s="3" t="s">
        <v>203</v>
      </c>
      <c r="L373" s="17">
        <v>243</v>
      </c>
      <c r="M373"/>
      <c r="N373">
        <v>245.9</v>
      </c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>
        <v>1.718</v>
      </c>
      <c r="AJ373"/>
      <c r="AK373"/>
      <c r="AL373">
        <v>29</v>
      </c>
      <c r="AM373"/>
      <c r="AN373"/>
      <c r="AO373">
        <f>20.9-10.8</f>
        <v>10.099999999999998</v>
      </c>
      <c r="AP373">
        <f>92-11.2</f>
        <v>80.8</v>
      </c>
      <c r="AQ373">
        <f>79.8-11.5</f>
        <v>68.3</v>
      </c>
      <c r="AR373">
        <v>53.8</v>
      </c>
      <c r="AS373">
        <v>23.6</v>
      </c>
      <c r="AT373" t="s">
        <v>254</v>
      </c>
      <c r="AU373"/>
    </row>
    <row r="374" spans="1:47" x14ac:dyDescent="0.2">
      <c r="A374" s="29">
        <v>379.99999999999898</v>
      </c>
      <c r="B374">
        <v>213</v>
      </c>
      <c r="C374">
        <v>22.373000000000001</v>
      </c>
      <c r="D374" s="84" t="s">
        <v>151</v>
      </c>
      <c r="E374" s="3" t="s">
        <v>162</v>
      </c>
      <c r="F374" s="3" t="s">
        <v>88</v>
      </c>
      <c r="G374" s="3" t="s">
        <v>88</v>
      </c>
      <c r="I374" s="80">
        <v>44704</v>
      </c>
      <c r="J374" s="3" t="s">
        <v>142</v>
      </c>
      <c r="K374" s="3" t="s">
        <v>203</v>
      </c>
      <c r="L374" s="17">
        <v>242</v>
      </c>
      <c r="M374"/>
      <c r="N374">
        <v>243.8</v>
      </c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>
        <v>1.7450000000000001</v>
      </c>
      <c r="AJ374"/>
      <c r="AK374"/>
      <c r="AL374">
        <v>9</v>
      </c>
      <c r="AM374"/>
      <c r="AN374"/>
      <c r="AO374">
        <f>11.9-2.9</f>
        <v>9</v>
      </c>
      <c r="AP374">
        <f>98.1-13.1</f>
        <v>85</v>
      </c>
      <c r="AQ374">
        <f>88.6-13.1</f>
        <v>75.5</v>
      </c>
      <c r="AR374">
        <v>56</v>
      </c>
      <c r="AS374">
        <v>23.9</v>
      </c>
      <c r="AT374" t="s">
        <v>254</v>
      </c>
      <c r="AU374"/>
    </row>
    <row r="375" spans="1:47" x14ac:dyDescent="0.2">
      <c r="A375" s="29">
        <v>381.00000000000023</v>
      </c>
      <c r="B375">
        <v>223</v>
      </c>
      <c r="C375">
        <v>22.373999999999999</v>
      </c>
      <c r="D375" s="84" t="s">
        <v>151</v>
      </c>
      <c r="E375" s="3" t="s">
        <v>162</v>
      </c>
      <c r="F375" s="3" t="s">
        <v>88</v>
      </c>
      <c r="G375" s="3" t="s">
        <v>88</v>
      </c>
      <c r="I375" s="56">
        <v>44714</v>
      </c>
      <c r="J375" s="3" t="s">
        <v>142</v>
      </c>
      <c r="K375" s="3" t="s">
        <v>203</v>
      </c>
      <c r="L375" s="17">
        <v>228</v>
      </c>
      <c r="M375"/>
      <c r="N375">
        <v>228.8</v>
      </c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>
        <v>1.508</v>
      </c>
      <c r="AJ375"/>
      <c r="AK375"/>
      <c r="AL375">
        <v>10</v>
      </c>
      <c r="AM375"/>
      <c r="AN375"/>
      <c r="AO375">
        <f>20.6-10.8</f>
        <v>9.8000000000000007</v>
      </c>
      <c r="AP375">
        <f>92.2-11.7</f>
        <v>80.5</v>
      </c>
      <c r="AQ375">
        <f>88.6-12.3</f>
        <v>76.3</v>
      </c>
      <c r="AR375">
        <v>48.9</v>
      </c>
      <c r="AS375">
        <v>21.2</v>
      </c>
      <c r="AT375" t="s">
        <v>254</v>
      </c>
      <c r="AU375"/>
    </row>
    <row r="376" spans="1:47" x14ac:dyDescent="0.2">
      <c r="A376" s="29">
        <v>382.00000000000148</v>
      </c>
      <c r="B376">
        <v>227</v>
      </c>
      <c r="C376">
        <v>22.375</v>
      </c>
      <c r="D376" s="84" t="s">
        <v>151</v>
      </c>
      <c r="E376" s="3" t="s">
        <v>162</v>
      </c>
      <c r="F376" s="3" t="s">
        <v>88</v>
      </c>
      <c r="G376" s="3" t="s">
        <v>88</v>
      </c>
      <c r="I376" s="68">
        <v>44728</v>
      </c>
      <c r="J376" s="3" t="s">
        <v>142</v>
      </c>
      <c r="K376" s="3" t="s">
        <v>203</v>
      </c>
      <c r="L376" s="17">
        <v>235</v>
      </c>
      <c r="M376"/>
      <c r="N376">
        <v>235.3</v>
      </c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>
        <v>1.8720000000000001</v>
      </c>
      <c r="AJ376"/>
      <c r="AK376"/>
      <c r="AL376">
        <v>7.5</v>
      </c>
      <c r="AM376"/>
      <c r="AN376"/>
      <c r="AO376">
        <f>15.8-2.9</f>
        <v>12.9</v>
      </c>
      <c r="AP376">
        <f>100.4-13.8</f>
        <v>86.600000000000009</v>
      </c>
      <c r="AQ376">
        <f>71.8-14.3</f>
        <v>57.5</v>
      </c>
      <c r="AR376">
        <v>57.6</v>
      </c>
      <c r="AS376">
        <v>24.1</v>
      </c>
      <c r="AT376" t="s">
        <v>254</v>
      </c>
      <c r="AU376"/>
    </row>
    <row r="377" spans="1:47" x14ac:dyDescent="0.2">
      <c r="A377" s="29">
        <v>382.99999999999909</v>
      </c>
      <c r="B377">
        <v>205</v>
      </c>
      <c r="C377">
        <v>22.376000000000001</v>
      </c>
      <c r="D377" s="84" t="s">
        <v>151</v>
      </c>
      <c r="E377" s="3" t="s">
        <v>162</v>
      </c>
      <c r="F377" s="3" t="s">
        <v>88</v>
      </c>
      <c r="G377" s="3" t="s">
        <v>88</v>
      </c>
      <c r="I377" s="68">
        <v>44678</v>
      </c>
      <c r="J377" s="3" t="s">
        <v>142</v>
      </c>
      <c r="K377" s="3" t="s">
        <v>203</v>
      </c>
      <c r="L377" s="17">
        <v>238</v>
      </c>
      <c r="M377"/>
      <c r="N377">
        <v>240.9</v>
      </c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>
        <v>1.8140000000000001</v>
      </c>
      <c r="AJ377"/>
      <c r="AK377"/>
      <c r="AL377">
        <v>13</v>
      </c>
      <c r="AM377"/>
      <c r="AN377"/>
      <c r="AO377">
        <f>20.2-11</f>
        <v>9.1999999999999993</v>
      </c>
      <c r="AP377">
        <f>85.7-11.4</f>
        <v>74.3</v>
      </c>
      <c r="AQ377">
        <f>98.6-10.3</f>
        <v>88.3</v>
      </c>
      <c r="AR377">
        <v>52.8</v>
      </c>
      <c r="AS377">
        <v>23.4</v>
      </c>
      <c r="AT377" t="s">
        <v>254</v>
      </c>
      <c r="AU377"/>
    </row>
    <row r="378" spans="1:47" x14ac:dyDescent="0.2">
      <c r="A378" s="29">
        <v>384.00000000000034</v>
      </c>
      <c r="B378">
        <v>215</v>
      </c>
      <c r="C378">
        <v>22.376999999999999</v>
      </c>
      <c r="D378" s="84" t="s">
        <v>151</v>
      </c>
      <c r="E378" s="3" t="s">
        <v>162</v>
      </c>
      <c r="F378" s="3" t="s">
        <v>88</v>
      </c>
      <c r="G378" s="3" t="s">
        <v>88</v>
      </c>
      <c r="I378" s="80">
        <v>44704</v>
      </c>
      <c r="J378" s="3" t="s">
        <v>142</v>
      </c>
      <c r="K378" s="3" t="s">
        <v>203</v>
      </c>
      <c r="L378" s="17">
        <v>246</v>
      </c>
      <c r="M378"/>
      <c r="N378">
        <v>249.2</v>
      </c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>
        <v>1.877</v>
      </c>
      <c r="AJ378"/>
      <c r="AK378"/>
      <c r="AL378">
        <v>16</v>
      </c>
      <c r="AM378"/>
      <c r="AN378"/>
      <c r="AO378">
        <v>10.3</v>
      </c>
      <c r="AP378">
        <v>79.7</v>
      </c>
      <c r="AQ378">
        <v>82.6</v>
      </c>
      <c r="AR378">
        <v>56.8</v>
      </c>
      <c r="AS378">
        <v>24.1</v>
      </c>
      <c r="AT378" t="s">
        <v>254</v>
      </c>
      <c r="AU378"/>
    </row>
    <row r="379" spans="1:47" x14ac:dyDescent="0.2">
      <c r="A379" s="29">
        <v>385.00000000000159</v>
      </c>
      <c r="B379">
        <v>206</v>
      </c>
      <c r="C379">
        <v>22.378</v>
      </c>
      <c r="D379" s="84" t="s">
        <v>151</v>
      </c>
      <c r="E379" s="3" t="s">
        <v>162</v>
      </c>
      <c r="F379" s="3" t="s">
        <v>88</v>
      </c>
      <c r="G379" s="3" t="s">
        <v>88</v>
      </c>
      <c r="I379" s="68">
        <v>44678</v>
      </c>
      <c r="J379" s="3" t="s">
        <v>142</v>
      </c>
      <c r="K379" s="3" t="s">
        <v>203</v>
      </c>
      <c r="L379" s="17">
        <v>232</v>
      </c>
      <c r="M379"/>
      <c r="N379">
        <v>236.8</v>
      </c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>
        <v>1.6479999999999999</v>
      </c>
      <c r="AJ379"/>
      <c r="AK379"/>
      <c r="AL379"/>
      <c r="AM379"/>
      <c r="AN379"/>
      <c r="AO379"/>
      <c r="AP379">
        <v>68.7</v>
      </c>
      <c r="AQ379">
        <f>113.7-12.1</f>
        <v>101.60000000000001</v>
      </c>
      <c r="AR379"/>
      <c r="AS379"/>
      <c r="AT379" t="s">
        <v>254</v>
      </c>
      <c r="AU379"/>
    </row>
    <row r="380" spans="1:47" x14ac:dyDescent="0.2">
      <c r="A380" s="29">
        <v>385.9999999999992</v>
      </c>
      <c r="B380">
        <v>230</v>
      </c>
      <c r="C380">
        <v>22.379000000000001</v>
      </c>
      <c r="D380" s="84" t="s">
        <v>151</v>
      </c>
      <c r="E380" s="3" t="s">
        <v>162</v>
      </c>
      <c r="F380" s="3" t="s">
        <v>88</v>
      </c>
      <c r="G380" s="3" t="s">
        <v>88</v>
      </c>
      <c r="I380" s="68">
        <v>44728</v>
      </c>
      <c r="J380" s="3" t="s">
        <v>142</v>
      </c>
      <c r="K380" s="3" t="s">
        <v>203</v>
      </c>
      <c r="L380" s="17">
        <v>240</v>
      </c>
      <c r="M380"/>
      <c r="N380">
        <v>240.9</v>
      </c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>
        <v>12</v>
      </c>
      <c r="AM380"/>
      <c r="AN380"/>
      <c r="AO380">
        <v>9.1999999999999993</v>
      </c>
      <c r="AP380">
        <v>94.8</v>
      </c>
      <c r="AQ380">
        <f>74.9-10.8</f>
        <v>64.100000000000009</v>
      </c>
      <c r="AR380"/>
      <c r="AS380"/>
      <c r="AT380" t="s">
        <v>254</v>
      </c>
      <c r="AU380"/>
    </row>
    <row r="381" spans="1:47" x14ac:dyDescent="0.2">
      <c r="A381" s="29">
        <v>387.00000000000045</v>
      </c>
      <c r="B381">
        <v>229</v>
      </c>
      <c r="C381" s="5" t="s">
        <v>263</v>
      </c>
      <c r="D381" s="84" t="s">
        <v>151</v>
      </c>
      <c r="E381" s="3" t="s">
        <v>162</v>
      </c>
      <c r="F381" s="3" t="s">
        <v>88</v>
      </c>
      <c r="G381" s="3" t="s">
        <v>88</v>
      </c>
      <c r="I381" s="68">
        <v>44728</v>
      </c>
      <c r="J381" s="3" t="s">
        <v>142</v>
      </c>
      <c r="K381" s="3" t="s">
        <v>203</v>
      </c>
      <c r="L381" s="17">
        <v>239</v>
      </c>
      <c r="M381"/>
      <c r="N381">
        <v>239.5</v>
      </c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>
        <v>1.748</v>
      </c>
      <c r="AJ381"/>
      <c r="AK381"/>
      <c r="AL381">
        <v>17</v>
      </c>
      <c r="AM381"/>
      <c r="AN381"/>
      <c r="AO381">
        <v>10.6</v>
      </c>
      <c r="AP381">
        <v>92.3</v>
      </c>
      <c r="AQ381">
        <v>63.4</v>
      </c>
      <c r="AR381">
        <v>52.9</v>
      </c>
      <c r="AS381">
        <v>22.9</v>
      </c>
      <c r="AT381" t="s">
        <v>254</v>
      </c>
      <c r="AU381"/>
    </row>
    <row r="382" spans="1:47" x14ac:dyDescent="0.2">
      <c r="A382" s="29">
        <v>388.00000000000171</v>
      </c>
      <c r="B382" s="59">
        <v>33</v>
      </c>
      <c r="C382">
        <v>22.381</v>
      </c>
      <c r="D382" s="83" t="s">
        <v>200</v>
      </c>
      <c r="E382" s="3" t="s">
        <v>201</v>
      </c>
      <c r="F382" s="43">
        <v>241</v>
      </c>
      <c r="H382" s="43">
        <v>241</v>
      </c>
      <c r="I382" s="81">
        <v>44687</v>
      </c>
      <c r="J382" s="3" t="s">
        <v>142</v>
      </c>
      <c r="K382" s="81" t="s">
        <v>166</v>
      </c>
      <c r="L382" s="43">
        <v>234</v>
      </c>
      <c r="M382"/>
      <c r="N382">
        <v>225.6</v>
      </c>
      <c r="O382">
        <v>205.63</v>
      </c>
      <c r="P382">
        <v>223.48</v>
      </c>
      <c r="Q382">
        <v>46.63</v>
      </c>
      <c r="R382">
        <v>33.08</v>
      </c>
      <c r="S382">
        <v>126.78</v>
      </c>
      <c r="T382">
        <v>100.61</v>
      </c>
      <c r="U382">
        <v>60.97</v>
      </c>
      <c r="V382">
        <v>48.18</v>
      </c>
      <c r="W382">
        <v>74.59</v>
      </c>
      <c r="X382">
        <v>89.36</v>
      </c>
      <c r="Y382">
        <v>37.049999999999997</v>
      </c>
      <c r="Z382">
        <v>97.33</v>
      </c>
      <c r="AA382">
        <v>71.8</v>
      </c>
      <c r="AB382">
        <v>82.39</v>
      </c>
      <c r="AC382">
        <v>32.020000000000003</v>
      </c>
      <c r="AD382">
        <v>43.85</v>
      </c>
      <c r="AE382">
        <v>31.89</v>
      </c>
      <c r="AF382">
        <v>40.21</v>
      </c>
      <c r="AG382">
        <v>33.43</v>
      </c>
      <c r="AH382">
        <v>42.18</v>
      </c>
      <c r="AI382">
        <v>1.4</v>
      </c>
      <c r="AJ382"/>
      <c r="AK382"/>
      <c r="AL382"/>
      <c r="AM382"/>
      <c r="AN382"/>
      <c r="AO382">
        <v>7.7</v>
      </c>
      <c r="AP382">
        <v>83.8</v>
      </c>
      <c r="AQ382">
        <v>75.099999999999994</v>
      </c>
      <c r="AR382">
        <v>55.3</v>
      </c>
      <c r="AS382">
        <v>24.4</v>
      </c>
      <c r="AT382" t="s">
        <v>254</v>
      </c>
      <c r="AU382"/>
    </row>
    <row r="383" spans="1:47" x14ac:dyDescent="0.2">
      <c r="A383" s="29">
        <v>388.99999999999932</v>
      </c>
      <c r="B383" s="18" t="s">
        <v>264</v>
      </c>
      <c r="C383">
        <v>22.382000000000001</v>
      </c>
      <c r="D383" s="85" t="s">
        <v>187</v>
      </c>
      <c r="E383" s="18" t="s">
        <v>188</v>
      </c>
      <c r="F383" s="14">
        <v>262</v>
      </c>
      <c r="G383" s="14">
        <v>262</v>
      </c>
      <c r="H383" s="14"/>
      <c r="I383" s="20">
        <v>44592</v>
      </c>
      <c r="J383" s="17" t="s">
        <v>238</v>
      </c>
      <c r="K383" s="17" t="s">
        <v>203</v>
      </c>
      <c r="L383" s="17">
        <v>191</v>
      </c>
      <c r="M383"/>
      <c r="N383">
        <v>151.9</v>
      </c>
      <c r="O383">
        <v>170.5</v>
      </c>
      <c r="P383">
        <v>186.69</v>
      </c>
      <c r="Q383">
        <v>49</v>
      </c>
      <c r="R383">
        <v>14.37</v>
      </c>
      <c r="S383">
        <v>112.82</v>
      </c>
      <c r="T383">
        <v>91.41</v>
      </c>
      <c r="U383">
        <v>59.65</v>
      </c>
      <c r="V383">
        <v>44.52</v>
      </c>
      <c r="W383">
        <v>62.61</v>
      </c>
      <c r="X383">
        <v>71.45</v>
      </c>
      <c r="Y383">
        <v>26.52</v>
      </c>
      <c r="Z383">
        <v>85.07</v>
      </c>
      <c r="AA383">
        <v>67.03</v>
      </c>
      <c r="AB383">
        <v>67.03</v>
      </c>
      <c r="AC383">
        <v>21.15</v>
      </c>
      <c r="AD383">
        <v>38.97</v>
      </c>
      <c r="AE383">
        <v>23.73</v>
      </c>
      <c r="AF383">
        <v>37.85</v>
      </c>
      <c r="AG383">
        <v>26.54</v>
      </c>
      <c r="AH383">
        <v>42.04</v>
      </c>
      <c r="AI383">
        <v>1.5049999999999999</v>
      </c>
      <c r="AJ383"/>
      <c r="AK383"/>
      <c r="AL383"/>
      <c r="AM383"/>
      <c r="AN383"/>
      <c r="AO383">
        <v>6.8</v>
      </c>
      <c r="AP383">
        <v>55.1</v>
      </c>
      <c r="AQ383">
        <v>51.7</v>
      </c>
      <c r="AR383">
        <v>34.200000000000003</v>
      </c>
      <c r="AS383">
        <v>15.2</v>
      </c>
      <c r="AT383" t="s">
        <v>254</v>
      </c>
      <c r="AU383"/>
    </row>
    <row r="384" spans="1:47" x14ac:dyDescent="0.2">
      <c r="A384" s="29">
        <v>390.00000000000057</v>
      </c>
      <c r="B384">
        <v>226</v>
      </c>
      <c r="C384">
        <v>22.382999999999999</v>
      </c>
      <c r="D384" s="84" t="s">
        <v>151</v>
      </c>
      <c r="E384" s="3" t="s">
        <v>162</v>
      </c>
      <c r="F384" s="3" t="s">
        <v>88</v>
      </c>
      <c r="G384" s="3" t="s">
        <v>88</v>
      </c>
      <c r="I384" s="68">
        <v>44728</v>
      </c>
      <c r="J384" s="17" t="s">
        <v>238</v>
      </c>
      <c r="K384" s="17" t="s">
        <v>203</v>
      </c>
      <c r="L384" s="17">
        <v>243</v>
      </c>
      <c r="M384"/>
      <c r="N384">
        <v>243.4</v>
      </c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>
        <v>1.881</v>
      </c>
      <c r="AJ384"/>
      <c r="AK384"/>
      <c r="AL384">
        <v>28</v>
      </c>
      <c r="AM384"/>
      <c r="AN384"/>
      <c r="AO384">
        <v>11.4</v>
      </c>
      <c r="AP384">
        <v>89.9</v>
      </c>
      <c r="AQ384">
        <v>57.8</v>
      </c>
      <c r="AR384">
        <v>54.1</v>
      </c>
      <c r="AS384">
        <v>23.7</v>
      </c>
      <c r="AT384" t="s">
        <v>254</v>
      </c>
      <c r="AU384"/>
    </row>
    <row r="385" spans="1:47" x14ac:dyDescent="0.2">
      <c r="A385" s="29">
        <v>390.99999999999824</v>
      </c>
      <c r="B385" s="18">
        <v>212</v>
      </c>
      <c r="C385">
        <v>22.384</v>
      </c>
      <c r="D385" s="66" t="s">
        <v>151</v>
      </c>
      <c r="E385" s="14" t="s">
        <v>162</v>
      </c>
      <c r="F385" s="3" t="s">
        <v>88</v>
      </c>
      <c r="G385" s="3" t="s">
        <v>88</v>
      </c>
      <c r="H385" s="14"/>
      <c r="I385" s="20">
        <v>44704</v>
      </c>
      <c r="J385" s="28" t="s">
        <v>238</v>
      </c>
      <c r="K385" s="28" t="s">
        <v>203</v>
      </c>
      <c r="L385" s="28">
        <v>235</v>
      </c>
      <c r="M385" s="18"/>
      <c r="N385" s="86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</row>
    <row r="386" spans="1:47" x14ac:dyDescent="0.2">
      <c r="A386" s="29">
        <v>391.99999999999943</v>
      </c>
      <c r="B386" s="18">
        <v>214</v>
      </c>
      <c r="C386">
        <v>22.385000000000002</v>
      </c>
      <c r="D386" s="66" t="s">
        <v>151</v>
      </c>
      <c r="E386" s="14" t="s">
        <v>162</v>
      </c>
      <c r="F386" s="3" t="s">
        <v>88</v>
      </c>
      <c r="G386" s="3" t="s">
        <v>88</v>
      </c>
      <c r="H386" s="14"/>
      <c r="I386" s="20">
        <v>44704</v>
      </c>
      <c r="J386" s="28" t="s">
        <v>238</v>
      </c>
      <c r="K386" s="28" t="s">
        <v>203</v>
      </c>
      <c r="L386" s="28">
        <v>238</v>
      </c>
      <c r="M386" s="18"/>
      <c r="N386" s="86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</row>
    <row r="387" spans="1:47" x14ac:dyDescent="0.2">
      <c r="A387" s="29">
        <v>393.00000000000068</v>
      </c>
      <c r="B387" s="18">
        <v>216</v>
      </c>
      <c r="C387">
        <v>22.385999999999999</v>
      </c>
      <c r="D387" s="66" t="s">
        <v>151</v>
      </c>
      <c r="E387" s="14" t="s">
        <v>162</v>
      </c>
      <c r="F387" s="3" t="s">
        <v>88</v>
      </c>
      <c r="G387" s="3" t="s">
        <v>88</v>
      </c>
      <c r="H387" s="14"/>
      <c r="I387" s="20">
        <v>44704</v>
      </c>
      <c r="J387" s="28" t="s">
        <v>238</v>
      </c>
      <c r="K387" s="28" t="s">
        <v>203</v>
      </c>
      <c r="L387" s="28">
        <v>242</v>
      </c>
      <c r="M387" s="18"/>
      <c r="N387" s="86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</row>
    <row r="388" spans="1:47" x14ac:dyDescent="0.2">
      <c r="A388" s="29">
        <v>393.99999999999835</v>
      </c>
      <c r="B388" s="18">
        <v>218</v>
      </c>
      <c r="C388">
        <v>22.387</v>
      </c>
      <c r="D388" s="66" t="s">
        <v>151</v>
      </c>
      <c r="E388" s="14" t="s">
        <v>162</v>
      </c>
      <c r="F388" s="3" t="s">
        <v>88</v>
      </c>
      <c r="G388" s="3" t="s">
        <v>88</v>
      </c>
      <c r="H388" s="14"/>
      <c r="I388" s="20">
        <v>44711</v>
      </c>
      <c r="J388" s="28" t="s">
        <v>238</v>
      </c>
      <c r="K388" s="28" t="s">
        <v>203</v>
      </c>
      <c r="L388" s="28">
        <v>244</v>
      </c>
      <c r="M388" s="18"/>
      <c r="N388" s="86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</row>
    <row r="389" spans="1:47" x14ac:dyDescent="0.2">
      <c r="A389" s="29">
        <v>394.99999999999955</v>
      </c>
      <c r="B389" s="18">
        <v>220</v>
      </c>
      <c r="C389">
        <v>22.388000000000002</v>
      </c>
      <c r="D389" s="66" t="s">
        <v>151</v>
      </c>
      <c r="E389" s="14" t="s">
        <v>162</v>
      </c>
      <c r="F389" s="3" t="s">
        <v>88</v>
      </c>
      <c r="G389" s="3" t="s">
        <v>88</v>
      </c>
      <c r="H389" s="14"/>
      <c r="I389" s="20">
        <v>44714</v>
      </c>
      <c r="J389" s="28" t="s">
        <v>238</v>
      </c>
      <c r="K389" s="28" t="s">
        <v>203</v>
      </c>
      <c r="L389" s="28">
        <v>245</v>
      </c>
      <c r="M389" s="18"/>
      <c r="N389" s="86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</row>
    <row r="390" spans="1:47" x14ac:dyDescent="0.2">
      <c r="A390" s="29">
        <v>396.0000000000008</v>
      </c>
      <c r="B390" s="18">
        <v>221</v>
      </c>
      <c r="C390">
        <v>22.388999999999999</v>
      </c>
      <c r="D390" s="66" t="s">
        <v>151</v>
      </c>
      <c r="E390" s="14" t="s">
        <v>162</v>
      </c>
      <c r="F390" s="3" t="s">
        <v>88</v>
      </c>
      <c r="G390" s="3" t="s">
        <v>88</v>
      </c>
      <c r="H390" s="14"/>
      <c r="I390" s="20">
        <v>44714</v>
      </c>
      <c r="J390" s="28" t="s">
        <v>238</v>
      </c>
      <c r="K390" s="28" t="s">
        <v>203</v>
      </c>
      <c r="L390" s="28">
        <v>228</v>
      </c>
      <c r="M390" s="18"/>
      <c r="N390" s="86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</row>
    <row r="391" spans="1:47" x14ac:dyDescent="0.2">
      <c r="A391" s="29">
        <v>396.99999999999847</v>
      </c>
      <c r="B391" s="18">
        <v>224</v>
      </c>
      <c r="C391" s="5" t="s">
        <v>265</v>
      </c>
      <c r="D391" s="66" t="s">
        <v>151</v>
      </c>
      <c r="E391" s="14" t="s">
        <v>162</v>
      </c>
      <c r="F391" s="3" t="s">
        <v>88</v>
      </c>
      <c r="G391" s="3" t="s">
        <v>88</v>
      </c>
      <c r="H391" s="14"/>
      <c r="I391" s="20">
        <v>44714</v>
      </c>
      <c r="J391" s="28" t="s">
        <v>238</v>
      </c>
      <c r="K391" s="28" t="s">
        <v>203</v>
      </c>
      <c r="L391" s="28">
        <v>242</v>
      </c>
      <c r="M391" s="18"/>
      <c r="N391" s="86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</row>
    <row r="392" spans="1:47" x14ac:dyDescent="0.2">
      <c r="A392" s="29">
        <v>397.99999999999966</v>
      </c>
      <c r="B392" s="18">
        <v>231</v>
      </c>
      <c r="C392">
        <v>22.390999999999998</v>
      </c>
      <c r="D392" s="66" t="s">
        <v>151</v>
      </c>
      <c r="E392" s="14" t="s">
        <v>162</v>
      </c>
      <c r="F392" s="3" t="s">
        <v>88</v>
      </c>
      <c r="G392" s="3" t="s">
        <v>88</v>
      </c>
      <c r="H392" s="14"/>
      <c r="I392" s="87">
        <v>44736</v>
      </c>
      <c r="J392" s="28" t="s">
        <v>238</v>
      </c>
      <c r="K392" s="28" t="s">
        <v>203</v>
      </c>
      <c r="L392" s="28">
        <v>238</v>
      </c>
      <c r="M392" s="18"/>
      <c r="N392" s="86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</row>
    <row r="393" spans="1:47" x14ac:dyDescent="0.2">
      <c r="A393" s="29">
        <v>399.00000000000091</v>
      </c>
      <c r="B393" s="18">
        <v>232</v>
      </c>
      <c r="C393">
        <v>22.391999999999999</v>
      </c>
      <c r="D393" s="66" t="s">
        <v>151</v>
      </c>
      <c r="E393" s="14" t="s">
        <v>162</v>
      </c>
      <c r="F393" s="3" t="s">
        <v>88</v>
      </c>
      <c r="G393" s="3" t="s">
        <v>88</v>
      </c>
      <c r="H393" s="14"/>
      <c r="I393" s="87">
        <v>44736</v>
      </c>
      <c r="J393" s="28" t="s">
        <v>238</v>
      </c>
      <c r="K393" s="28" t="s">
        <v>203</v>
      </c>
      <c r="L393" s="28">
        <v>234</v>
      </c>
      <c r="M393" s="18"/>
      <c r="N393" s="86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</row>
    <row r="394" spans="1:47" x14ac:dyDescent="0.2">
      <c r="A394" s="29">
        <v>399.99999999999858</v>
      </c>
      <c r="B394" s="18">
        <v>233</v>
      </c>
      <c r="C394">
        <v>22.393000000000001</v>
      </c>
      <c r="D394" s="66" t="s">
        <v>151</v>
      </c>
      <c r="E394" s="14" t="s">
        <v>162</v>
      </c>
      <c r="F394" s="3" t="s">
        <v>88</v>
      </c>
      <c r="G394" s="3" t="s">
        <v>88</v>
      </c>
      <c r="H394" s="14"/>
      <c r="I394" s="87">
        <v>44736</v>
      </c>
      <c r="J394" s="28" t="s">
        <v>238</v>
      </c>
      <c r="K394" s="28" t="s">
        <v>203</v>
      </c>
      <c r="L394" s="28">
        <v>235</v>
      </c>
      <c r="M394" s="18"/>
      <c r="N394" s="86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</row>
    <row r="395" spans="1:47" x14ac:dyDescent="0.2">
      <c r="A395" s="29">
        <v>400.99999999999977</v>
      </c>
      <c r="B395" s="18">
        <v>234</v>
      </c>
      <c r="C395">
        <v>22.393999999999998</v>
      </c>
      <c r="D395" s="66" t="s">
        <v>151</v>
      </c>
      <c r="E395" s="14" t="s">
        <v>162</v>
      </c>
      <c r="F395" s="3" t="s">
        <v>88</v>
      </c>
      <c r="G395" s="3" t="s">
        <v>88</v>
      </c>
      <c r="H395" s="14"/>
      <c r="I395" s="87">
        <v>44736</v>
      </c>
      <c r="J395" s="28" t="s">
        <v>238</v>
      </c>
      <c r="K395" s="28" t="s">
        <v>203</v>
      </c>
      <c r="L395" s="28">
        <v>237</v>
      </c>
      <c r="M395" s="18"/>
      <c r="N395" s="86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</row>
    <row r="396" spans="1:47" x14ac:dyDescent="0.2">
      <c r="A396" s="29">
        <v>402.00000000000102</v>
      </c>
      <c r="B396" s="18">
        <v>235</v>
      </c>
      <c r="C396">
        <v>22.395</v>
      </c>
      <c r="D396" s="66" t="s">
        <v>151</v>
      </c>
      <c r="E396" s="14" t="s">
        <v>162</v>
      </c>
      <c r="F396" s="3" t="s">
        <v>88</v>
      </c>
      <c r="G396" s="3" t="s">
        <v>88</v>
      </c>
      <c r="H396" s="14"/>
      <c r="I396" s="87">
        <v>44736</v>
      </c>
      <c r="J396" s="28" t="s">
        <v>238</v>
      </c>
      <c r="K396" s="28" t="s">
        <v>203</v>
      </c>
      <c r="L396" s="28">
        <v>233</v>
      </c>
      <c r="M396" s="18"/>
      <c r="N396" s="86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</row>
    <row r="397" spans="1:47" x14ac:dyDescent="0.2">
      <c r="A397" s="29">
        <v>402.99999999999869</v>
      </c>
      <c r="B397" s="18">
        <v>236</v>
      </c>
      <c r="C397">
        <v>22.396000000000001</v>
      </c>
      <c r="D397" s="66" t="s">
        <v>151</v>
      </c>
      <c r="E397" s="14" t="s">
        <v>162</v>
      </c>
      <c r="F397" s="3" t="s">
        <v>88</v>
      </c>
      <c r="G397" s="3" t="s">
        <v>88</v>
      </c>
      <c r="H397" s="14"/>
      <c r="I397" s="87">
        <v>44736</v>
      </c>
      <c r="J397" s="28" t="s">
        <v>238</v>
      </c>
      <c r="K397" s="28" t="s">
        <v>203</v>
      </c>
      <c r="L397" s="28">
        <v>260</v>
      </c>
      <c r="M397" s="18"/>
      <c r="N397" s="86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</row>
    <row r="398" spans="1:47" x14ac:dyDescent="0.2">
      <c r="A398" s="29">
        <v>403.99999999999989</v>
      </c>
      <c r="B398" s="17">
        <v>207</v>
      </c>
      <c r="C398" s="5">
        <v>22.396999999999998</v>
      </c>
      <c r="D398" s="66" t="s">
        <v>151</v>
      </c>
      <c r="F398" s="3" t="s">
        <v>88</v>
      </c>
      <c r="G398" s="3" t="s">
        <v>88</v>
      </c>
      <c r="I398" s="68">
        <v>44690</v>
      </c>
      <c r="J398" s="3" t="s">
        <v>142</v>
      </c>
      <c r="K398" s="3" t="s">
        <v>235</v>
      </c>
      <c r="L398" s="17"/>
      <c r="M398"/>
      <c r="N398" s="88">
        <v>305.87</v>
      </c>
      <c r="O398" s="72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>
        <v>1.476</v>
      </c>
      <c r="AJ398">
        <v>61.18</v>
      </c>
      <c r="AK398" t="s">
        <v>173</v>
      </c>
      <c r="AL398"/>
      <c r="AM398"/>
      <c r="AN398">
        <v>177</v>
      </c>
      <c r="AO398"/>
      <c r="AP398"/>
      <c r="AQ398"/>
      <c r="AR398"/>
      <c r="AS398"/>
      <c r="AT398" t="s">
        <v>146</v>
      </c>
      <c r="AU398" t="s">
        <v>233</v>
      </c>
    </row>
    <row r="399" spans="1:47" x14ac:dyDescent="0.2">
      <c r="A399" s="29">
        <v>405.00000000000114</v>
      </c>
      <c r="B399" s="17">
        <v>268</v>
      </c>
      <c r="C399">
        <v>22.398</v>
      </c>
      <c r="D399" s="64" t="s">
        <v>223</v>
      </c>
      <c r="E399" s="3" t="s">
        <v>236</v>
      </c>
      <c r="F399" t="s">
        <v>73</v>
      </c>
      <c r="G399" t="s">
        <v>73</v>
      </c>
      <c r="H399"/>
      <c r="I399" s="81">
        <v>44701</v>
      </c>
      <c r="J399" s="3" t="s">
        <v>142</v>
      </c>
      <c r="K399" s="3" t="s">
        <v>235</v>
      </c>
      <c r="L399" s="3">
        <v>317.5</v>
      </c>
      <c r="M399" s="71"/>
      <c r="N399" s="73">
        <v>319.82</v>
      </c>
      <c r="O399" s="72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>
        <v>1.647</v>
      </c>
      <c r="AJ399">
        <v>45.56</v>
      </c>
      <c r="AK399" t="s">
        <v>173</v>
      </c>
      <c r="AL399">
        <v>85</v>
      </c>
      <c r="AM399">
        <v>67</v>
      </c>
      <c r="AN399"/>
      <c r="AO399"/>
      <c r="AP399"/>
      <c r="AQ399"/>
      <c r="AR399"/>
      <c r="AS399"/>
      <c r="AT399" t="s">
        <v>146</v>
      </c>
      <c r="AU399" t="s">
        <v>233</v>
      </c>
    </row>
    <row r="400" spans="1:47" x14ac:dyDescent="0.2">
      <c r="A400" s="29">
        <v>405.99999999999881</v>
      </c>
      <c r="B400" s="17">
        <v>269</v>
      </c>
      <c r="C400" s="5">
        <v>22.399000000000001</v>
      </c>
      <c r="D400" s="64" t="s">
        <v>223</v>
      </c>
      <c r="E400" s="3" t="s">
        <v>236</v>
      </c>
      <c r="F400" t="s">
        <v>73</v>
      </c>
      <c r="G400" t="s">
        <v>73</v>
      </c>
      <c r="H400"/>
      <c r="I400" s="81">
        <v>44701</v>
      </c>
      <c r="J400" s="3" t="s">
        <v>142</v>
      </c>
      <c r="K400" s="3" t="s">
        <v>235</v>
      </c>
      <c r="L400" s="3">
        <v>281.2</v>
      </c>
      <c r="M400" s="71"/>
      <c r="N400" s="73">
        <v>282.69</v>
      </c>
      <c r="O400" s="72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>
        <v>1.4259999999999999</v>
      </c>
      <c r="AJ400">
        <v>46.48</v>
      </c>
      <c r="AK400" t="s">
        <v>173</v>
      </c>
      <c r="AL400">
        <v>29</v>
      </c>
      <c r="AM400">
        <v>97</v>
      </c>
      <c r="AN400"/>
      <c r="AO400"/>
      <c r="AP400"/>
      <c r="AQ400"/>
      <c r="AR400"/>
      <c r="AS400"/>
      <c r="AT400" t="s">
        <v>146</v>
      </c>
      <c r="AU400" t="s">
        <v>233</v>
      </c>
    </row>
    <row r="401" spans="1:47" x14ac:dyDescent="0.2">
      <c r="A401" s="29">
        <v>407</v>
      </c>
      <c r="B401" s="17">
        <v>270</v>
      </c>
      <c r="C401" s="5" t="s">
        <v>67</v>
      </c>
      <c r="D401" s="64" t="s">
        <v>223</v>
      </c>
      <c r="E401" s="3" t="s">
        <v>236</v>
      </c>
      <c r="F401" t="s">
        <v>73</v>
      </c>
      <c r="G401" t="s">
        <v>73</v>
      </c>
      <c r="H401"/>
      <c r="I401" s="81">
        <v>44701</v>
      </c>
      <c r="J401" s="3" t="s">
        <v>142</v>
      </c>
      <c r="K401" s="3" t="s">
        <v>235</v>
      </c>
      <c r="L401" s="3">
        <v>294.8</v>
      </c>
      <c r="M401" s="71"/>
      <c r="N401" s="73">
        <v>291.12</v>
      </c>
      <c r="O401" s="72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>
        <v>1.5780000000000001</v>
      </c>
      <c r="AJ401">
        <v>49.53</v>
      </c>
      <c r="AK401" t="s">
        <v>172</v>
      </c>
      <c r="AL401"/>
      <c r="AM401"/>
      <c r="AN401">
        <v>137</v>
      </c>
      <c r="AO401"/>
      <c r="AP401"/>
      <c r="AQ401"/>
      <c r="AR401"/>
      <c r="AS401"/>
      <c r="AT401" t="s">
        <v>146</v>
      </c>
      <c r="AU401" t="s">
        <v>233</v>
      </c>
    </row>
    <row r="402" spans="1:47" x14ac:dyDescent="0.2">
      <c r="A402" s="29">
        <v>408.00000000000125</v>
      </c>
      <c r="B402" s="17">
        <v>273</v>
      </c>
      <c r="C402" s="5">
        <v>22.401</v>
      </c>
      <c r="D402" s="64" t="s">
        <v>223</v>
      </c>
      <c r="E402" s="3" t="s">
        <v>236</v>
      </c>
      <c r="F402" t="s">
        <v>73</v>
      </c>
      <c r="G402" t="s">
        <v>73</v>
      </c>
      <c r="H402"/>
      <c r="I402" s="81">
        <v>44702</v>
      </c>
      <c r="J402" s="3" t="s">
        <v>142</v>
      </c>
      <c r="K402" s="3" t="s">
        <v>235</v>
      </c>
      <c r="L402" s="3">
        <v>263</v>
      </c>
      <c r="M402" s="71"/>
      <c r="N402" s="73">
        <v>263.62</v>
      </c>
      <c r="O402" s="72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>
        <v>1.446</v>
      </c>
      <c r="AJ402">
        <v>31.76</v>
      </c>
      <c r="AK402" t="s">
        <v>173</v>
      </c>
      <c r="AL402">
        <v>23</v>
      </c>
      <c r="AM402">
        <v>103</v>
      </c>
      <c r="AN402"/>
      <c r="AO402"/>
      <c r="AP402"/>
      <c r="AQ402"/>
      <c r="AR402"/>
      <c r="AS402"/>
      <c r="AT402" t="s">
        <v>146</v>
      </c>
      <c r="AU402" t="s">
        <v>233</v>
      </c>
    </row>
    <row r="403" spans="1:47" x14ac:dyDescent="0.2">
      <c r="A403" s="29">
        <v>408.99999999999892</v>
      </c>
      <c r="B403" s="17">
        <v>274</v>
      </c>
      <c r="C403" s="5">
        <v>22.402000000000001</v>
      </c>
      <c r="D403" s="64" t="s">
        <v>223</v>
      </c>
      <c r="E403" s="3" t="s">
        <v>236</v>
      </c>
      <c r="F403" t="s">
        <v>73</v>
      </c>
      <c r="G403" t="s">
        <v>73</v>
      </c>
      <c r="H403"/>
      <c r="I403" s="81">
        <v>44702</v>
      </c>
      <c r="J403" s="3" t="s">
        <v>142</v>
      </c>
      <c r="K403" s="3" t="s">
        <v>235</v>
      </c>
      <c r="L403" s="3">
        <v>317.5</v>
      </c>
      <c r="M403" s="71"/>
      <c r="N403" s="73">
        <v>316.74</v>
      </c>
      <c r="O403" s="72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>
        <v>1.67</v>
      </c>
      <c r="AJ403">
        <v>45.87</v>
      </c>
      <c r="AK403" t="s">
        <v>173</v>
      </c>
      <c r="AL403">
        <v>31</v>
      </c>
      <c r="AM403">
        <v>110</v>
      </c>
      <c r="AN403"/>
      <c r="AO403"/>
      <c r="AP403"/>
      <c r="AQ403"/>
      <c r="AR403"/>
      <c r="AS403"/>
      <c r="AT403" t="s">
        <v>146</v>
      </c>
      <c r="AU403" t="s">
        <v>233</v>
      </c>
    </row>
    <row r="404" spans="1:47" x14ac:dyDescent="0.2">
      <c r="A404" s="29">
        <v>410.00000000000011</v>
      </c>
      <c r="B404" s="17">
        <v>276</v>
      </c>
      <c r="C404">
        <v>22.402999999999999</v>
      </c>
      <c r="D404" s="64" t="s">
        <v>223</v>
      </c>
      <c r="E404" s="3" t="s">
        <v>236</v>
      </c>
      <c r="F404" t="s">
        <v>73</v>
      </c>
      <c r="G404" t="s">
        <v>73</v>
      </c>
      <c r="H404"/>
      <c r="I404" s="68">
        <v>44718</v>
      </c>
      <c r="J404" s="17" t="s">
        <v>238</v>
      </c>
      <c r="K404" s="17" t="s">
        <v>235</v>
      </c>
      <c r="L404" s="17">
        <v>290.3</v>
      </c>
      <c r="M404"/>
      <c r="N404" s="88">
        <v>288.44</v>
      </c>
      <c r="O404" s="72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>
        <v>1.552</v>
      </c>
      <c r="AJ404">
        <v>44.33</v>
      </c>
      <c r="AK404" t="s">
        <v>173</v>
      </c>
      <c r="AL404">
        <v>32</v>
      </c>
      <c r="AM404">
        <v>88</v>
      </c>
      <c r="AN404"/>
      <c r="AO404"/>
      <c r="AP404"/>
      <c r="AQ404"/>
      <c r="AR404"/>
      <c r="AS404"/>
      <c r="AT404" t="s">
        <v>146</v>
      </c>
      <c r="AU404" t="s">
        <v>233</v>
      </c>
    </row>
    <row r="405" spans="1:47" x14ac:dyDescent="0.2">
      <c r="A405" s="29">
        <v>411.00000000000136</v>
      </c>
      <c r="B405" s="17">
        <v>277</v>
      </c>
      <c r="C405" s="5">
        <v>22.404</v>
      </c>
      <c r="D405" s="64" t="s">
        <v>223</v>
      </c>
      <c r="E405" s="3" t="s">
        <v>236</v>
      </c>
      <c r="F405" t="s">
        <v>73</v>
      </c>
      <c r="G405" t="s">
        <v>73</v>
      </c>
      <c r="H405"/>
      <c r="I405" s="68">
        <v>44722</v>
      </c>
      <c r="J405" s="17" t="s">
        <v>238</v>
      </c>
      <c r="K405" s="17" t="s">
        <v>235</v>
      </c>
      <c r="L405" s="17">
        <v>290.3</v>
      </c>
      <c r="M405"/>
      <c r="N405" s="88">
        <v>299.33999999999997</v>
      </c>
      <c r="O405" s="72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>
        <v>1.669</v>
      </c>
      <c r="AJ405">
        <v>44.78</v>
      </c>
      <c r="AK405" t="s">
        <v>173</v>
      </c>
      <c r="AL405">
        <v>34</v>
      </c>
      <c r="AM405">
        <v>79</v>
      </c>
      <c r="AN405"/>
      <c r="AO405"/>
      <c r="AP405"/>
      <c r="AQ405"/>
      <c r="AR405"/>
      <c r="AS405"/>
      <c r="AT405" t="s">
        <v>146</v>
      </c>
      <c r="AU405" t="s">
        <v>233</v>
      </c>
    </row>
    <row r="406" spans="1:47" x14ac:dyDescent="0.2">
      <c r="A406" s="29">
        <v>411.99999999999903</v>
      </c>
      <c r="B406" s="17">
        <v>279</v>
      </c>
      <c r="C406">
        <v>22.405000000000001</v>
      </c>
      <c r="D406" s="64" t="s">
        <v>223</v>
      </c>
      <c r="E406" s="3" t="s">
        <v>236</v>
      </c>
      <c r="F406" t="s">
        <v>73</v>
      </c>
      <c r="G406" t="s">
        <v>73</v>
      </c>
      <c r="H406"/>
      <c r="I406" s="68">
        <v>44723</v>
      </c>
      <c r="J406" s="17" t="s">
        <v>238</v>
      </c>
      <c r="K406" s="17" t="s">
        <v>235</v>
      </c>
      <c r="L406" s="17">
        <v>299.39999999999998</v>
      </c>
      <c r="M406"/>
      <c r="N406" s="88">
        <v>286.27999999999997</v>
      </c>
      <c r="O406" s="72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>
        <v>1.4159999999999999</v>
      </c>
      <c r="AJ406">
        <v>46.46</v>
      </c>
      <c r="AK406" t="s">
        <v>172</v>
      </c>
      <c r="AL406"/>
      <c r="AM406"/>
      <c r="AN406">
        <v>132</v>
      </c>
      <c r="AO406"/>
      <c r="AP406"/>
      <c r="AQ406"/>
      <c r="AR406"/>
      <c r="AS406"/>
      <c r="AT406" t="s">
        <v>146</v>
      </c>
      <c r="AU406" t="s">
        <v>233</v>
      </c>
    </row>
    <row r="407" spans="1:47" x14ac:dyDescent="0.2">
      <c r="A407" s="29">
        <v>413.00000000000023</v>
      </c>
      <c r="B407" s="17">
        <v>280</v>
      </c>
      <c r="C407" s="5">
        <v>22.405999999999999</v>
      </c>
      <c r="D407" s="64" t="s">
        <v>223</v>
      </c>
      <c r="E407" s="3" t="s">
        <v>236</v>
      </c>
      <c r="F407" t="s">
        <v>73</v>
      </c>
      <c r="G407" t="s">
        <v>73</v>
      </c>
      <c r="H407"/>
      <c r="I407" s="68">
        <v>44732</v>
      </c>
      <c r="J407" s="17" t="s">
        <v>238</v>
      </c>
      <c r="K407" s="17" t="s">
        <v>235</v>
      </c>
      <c r="L407" s="17">
        <v>322.10000000000002</v>
      </c>
      <c r="M407"/>
      <c r="N407" s="88">
        <v>320.20999999999998</v>
      </c>
      <c r="O407" s="72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>
        <v>1.792</v>
      </c>
      <c r="AJ407">
        <v>49.31</v>
      </c>
      <c r="AK407" t="s">
        <v>173</v>
      </c>
      <c r="AL407">
        <v>60</v>
      </c>
      <c r="AM407">
        <v>60</v>
      </c>
      <c r="AN407"/>
      <c r="AO407"/>
      <c r="AP407"/>
      <c r="AQ407"/>
      <c r="AR407"/>
      <c r="AS407"/>
      <c r="AT407" t="s">
        <v>146</v>
      </c>
      <c r="AU407" t="s">
        <v>233</v>
      </c>
    </row>
    <row r="408" spans="1:47" x14ac:dyDescent="0.2">
      <c r="A408" s="29">
        <v>414.00000000000148</v>
      </c>
      <c r="B408" s="17">
        <v>281</v>
      </c>
      <c r="C408" s="5">
        <v>22.407</v>
      </c>
      <c r="D408" s="64" t="s">
        <v>223</v>
      </c>
      <c r="E408" s="3" t="s">
        <v>236</v>
      </c>
      <c r="F408" t="s">
        <v>73</v>
      </c>
      <c r="G408" t="s">
        <v>73</v>
      </c>
      <c r="H408"/>
      <c r="I408" s="68">
        <v>44732</v>
      </c>
      <c r="J408" s="17" t="s">
        <v>238</v>
      </c>
      <c r="K408" s="17" t="s">
        <v>235</v>
      </c>
      <c r="L408" s="17">
        <v>308.39999999999998</v>
      </c>
      <c r="M408"/>
      <c r="N408" s="88">
        <v>309.45</v>
      </c>
      <c r="O408" s="72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>
        <v>1.6819999999999999</v>
      </c>
      <c r="AJ408">
        <v>44.64</v>
      </c>
      <c r="AK408" t="s">
        <v>173</v>
      </c>
      <c r="AL408">
        <v>32</v>
      </c>
      <c r="AM408">
        <v>81</v>
      </c>
      <c r="AN408"/>
      <c r="AO408"/>
      <c r="AP408"/>
      <c r="AQ408"/>
      <c r="AR408"/>
      <c r="AS408"/>
      <c r="AT408" t="s">
        <v>146</v>
      </c>
      <c r="AU408" t="s">
        <v>233</v>
      </c>
    </row>
    <row r="409" spans="1:47" x14ac:dyDescent="0.2">
      <c r="A409" s="29">
        <v>414.99999999999915</v>
      </c>
      <c r="B409" s="17">
        <v>282</v>
      </c>
      <c r="C409">
        <v>22.408000000000001</v>
      </c>
      <c r="D409" s="64" t="s">
        <v>223</v>
      </c>
      <c r="E409" s="3" t="s">
        <v>236</v>
      </c>
      <c r="F409" t="s">
        <v>73</v>
      </c>
      <c r="G409" t="s">
        <v>73</v>
      </c>
      <c r="H409"/>
      <c r="I409" s="68">
        <v>44733</v>
      </c>
      <c r="J409" s="17" t="s">
        <v>238</v>
      </c>
      <c r="K409" s="17" t="s">
        <v>235</v>
      </c>
      <c r="L409" s="17">
        <v>299.39999999999998</v>
      </c>
      <c r="M409"/>
      <c r="N409" s="88">
        <v>298.99</v>
      </c>
      <c r="O409" s="72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>
        <v>1.514</v>
      </c>
      <c r="AJ409">
        <v>47.52</v>
      </c>
      <c r="AK409" t="s">
        <v>173</v>
      </c>
      <c r="AL409">
        <v>20</v>
      </c>
      <c r="AM409">
        <v>84</v>
      </c>
      <c r="AN409"/>
      <c r="AO409"/>
      <c r="AP409"/>
      <c r="AQ409"/>
      <c r="AR409"/>
      <c r="AS409"/>
      <c r="AT409" t="s">
        <v>146</v>
      </c>
      <c r="AU409" t="s">
        <v>233</v>
      </c>
    </row>
    <row r="410" spans="1:47" x14ac:dyDescent="0.2">
      <c r="A410" s="29">
        <v>416.00000000000034</v>
      </c>
      <c r="B410" s="17">
        <v>283</v>
      </c>
      <c r="C410" s="5">
        <v>22.408999999999999</v>
      </c>
      <c r="D410" s="64" t="s">
        <v>223</v>
      </c>
      <c r="E410" s="3" t="s">
        <v>236</v>
      </c>
      <c r="F410" t="s">
        <v>73</v>
      </c>
      <c r="G410" t="s">
        <v>73</v>
      </c>
      <c r="H410"/>
      <c r="I410" s="68">
        <v>44732</v>
      </c>
      <c r="J410" s="17" t="s">
        <v>238</v>
      </c>
      <c r="K410" s="17" t="s">
        <v>235</v>
      </c>
      <c r="L410" s="17">
        <v>303.89999999999998</v>
      </c>
      <c r="M410"/>
      <c r="N410" s="88">
        <v>303.2</v>
      </c>
      <c r="O410" s="72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>
        <v>1.62</v>
      </c>
      <c r="AJ410">
        <v>45.59</v>
      </c>
      <c r="AK410" t="s">
        <v>173</v>
      </c>
      <c r="AL410">
        <v>22</v>
      </c>
      <c r="AM410">
        <v>78</v>
      </c>
      <c r="AN410"/>
      <c r="AO410"/>
      <c r="AP410"/>
      <c r="AQ410"/>
      <c r="AR410"/>
      <c r="AS410"/>
      <c r="AT410" t="s">
        <v>146</v>
      </c>
      <c r="AU410" t="s">
        <v>233</v>
      </c>
    </row>
    <row r="411" spans="1:47" x14ac:dyDescent="0.2">
      <c r="A411" s="29">
        <v>417.00000000000159</v>
      </c>
      <c r="B411">
        <v>92</v>
      </c>
      <c r="C411" s="5" t="s">
        <v>59</v>
      </c>
      <c r="D411" s="31" t="s">
        <v>140</v>
      </c>
      <c r="E411" s="3" t="s">
        <v>141</v>
      </c>
      <c r="F411" s="17" t="s">
        <v>62</v>
      </c>
      <c r="G411" s="17" t="s">
        <v>62</v>
      </c>
      <c r="H411" s="17" t="s">
        <v>62</v>
      </c>
      <c r="I411" s="82">
        <v>44719</v>
      </c>
      <c r="J411" s="3" t="s">
        <v>142</v>
      </c>
      <c r="K411" s="3" t="s">
        <v>143</v>
      </c>
      <c r="L411"/>
      <c r="M411" s="3">
        <v>276</v>
      </c>
      <c r="N411" s="88">
        <v>277.70999999999998</v>
      </c>
      <c r="O411" s="72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>
        <v>1.21</v>
      </c>
      <c r="AJ411">
        <v>52.91</v>
      </c>
      <c r="AK411" t="s">
        <v>172</v>
      </c>
      <c r="AL411"/>
      <c r="AM411"/>
      <c r="AN411">
        <v>80</v>
      </c>
      <c r="AO411"/>
      <c r="AP411"/>
      <c r="AQ411"/>
      <c r="AR411"/>
      <c r="AS411"/>
      <c r="AT411" t="s">
        <v>146</v>
      </c>
      <c r="AU411" t="s">
        <v>233</v>
      </c>
    </row>
    <row r="412" spans="1:47" x14ac:dyDescent="0.2">
      <c r="A412" s="29">
        <v>417.99999999999926</v>
      </c>
      <c r="B412">
        <v>287</v>
      </c>
      <c r="C412">
        <v>22.411000000000001</v>
      </c>
      <c r="D412" s="64" t="s">
        <v>223</v>
      </c>
      <c r="E412" t="s">
        <v>224</v>
      </c>
      <c r="F412" t="s">
        <v>73</v>
      </c>
      <c r="G412" t="s">
        <v>73</v>
      </c>
      <c r="H412"/>
      <c r="I412" s="82"/>
      <c r="J412" s="3" t="s">
        <v>142</v>
      </c>
      <c r="K412" s="81" t="s">
        <v>204</v>
      </c>
      <c r="L412"/>
      <c r="N412" s="88">
        <v>301.38</v>
      </c>
      <c r="O412" s="72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>
        <v>1.6639999999999999</v>
      </c>
      <c r="AJ412">
        <v>45.49</v>
      </c>
      <c r="AK412" t="s">
        <v>266</v>
      </c>
      <c r="AL412">
        <v>64</v>
      </c>
      <c r="AM412">
        <v>0</v>
      </c>
      <c r="AN412">
        <v>0</v>
      </c>
      <c r="AO412"/>
      <c r="AP412"/>
      <c r="AQ412"/>
      <c r="AR412"/>
      <c r="AS412"/>
      <c r="AT412" t="s">
        <v>146</v>
      </c>
      <c r="AU412" t="s">
        <v>233</v>
      </c>
    </row>
    <row r="413" spans="1:47" x14ac:dyDescent="0.2">
      <c r="A413" s="29">
        <v>419.00000000000045</v>
      </c>
      <c r="B413">
        <v>288</v>
      </c>
      <c r="C413">
        <v>22.411999999999999</v>
      </c>
      <c r="D413" s="64" t="s">
        <v>223</v>
      </c>
      <c r="E413" t="s">
        <v>224</v>
      </c>
      <c r="F413" t="s">
        <v>73</v>
      </c>
      <c r="G413" t="s">
        <v>73</v>
      </c>
      <c r="H413"/>
      <c r="I413" s="82"/>
      <c r="J413" s="3" t="s">
        <v>142</v>
      </c>
      <c r="K413" s="81" t="s">
        <v>204</v>
      </c>
      <c r="L413"/>
      <c r="N413" s="88">
        <v>293.26</v>
      </c>
      <c r="O413" s="72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>
        <v>1.5309999999999999</v>
      </c>
      <c r="AJ413">
        <v>45.74</v>
      </c>
      <c r="AK413" t="s">
        <v>266</v>
      </c>
      <c r="AL413">
        <v>55</v>
      </c>
      <c r="AM413">
        <v>0</v>
      </c>
      <c r="AN413">
        <v>0</v>
      </c>
      <c r="AO413"/>
      <c r="AP413"/>
      <c r="AQ413"/>
      <c r="AR413"/>
      <c r="AS413"/>
      <c r="AT413" t="s">
        <v>146</v>
      </c>
      <c r="AU413" t="s">
        <v>233</v>
      </c>
    </row>
    <row r="414" spans="1:47" x14ac:dyDescent="0.2">
      <c r="A414" s="29">
        <v>420.00000000000171</v>
      </c>
      <c r="B414">
        <v>289</v>
      </c>
      <c r="C414">
        <v>22.413</v>
      </c>
      <c r="D414" s="64" t="s">
        <v>223</v>
      </c>
      <c r="E414" t="s">
        <v>224</v>
      </c>
      <c r="F414" t="s">
        <v>73</v>
      </c>
      <c r="G414" t="s">
        <v>73</v>
      </c>
      <c r="H414"/>
      <c r="I414" s="82"/>
      <c r="J414" s="3" t="s">
        <v>142</v>
      </c>
      <c r="K414" s="81" t="s">
        <v>204</v>
      </c>
      <c r="L414"/>
      <c r="N414" s="88">
        <v>331</v>
      </c>
      <c r="O414" s="72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>
        <v>1.8160000000000001</v>
      </c>
      <c r="AJ414">
        <v>46.73</v>
      </c>
      <c r="AK414" t="s">
        <v>266</v>
      </c>
      <c r="AL414">
        <v>71</v>
      </c>
      <c r="AM414">
        <v>0</v>
      </c>
      <c r="AN414">
        <v>0</v>
      </c>
      <c r="AO414"/>
      <c r="AP414"/>
      <c r="AQ414"/>
      <c r="AR414"/>
      <c r="AS414"/>
      <c r="AT414" t="s">
        <v>146</v>
      </c>
      <c r="AU414" t="s">
        <v>233</v>
      </c>
    </row>
    <row r="415" spans="1:47" x14ac:dyDescent="0.2">
      <c r="A415" s="29">
        <v>420.99999999999937</v>
      </c>
      <c r="B415">
        <v>290</v>
      </c>
      <c r="C415">
        <v>22.414000000000001</v>
      </c>
      <c r="D415" s="64" t="s">
        <v>223</v>
      </c>
      <c r="E415" t="s">
        <v>224</v>
      </c>
      <c r="F415" t="s">
        <v>73</v>
      </c>
      <c r="G415" t="s">
        <v>73</v>
      </c>
      <c r="H415"/>
      <c r="I415" s="82"/>
      <c r="J415" s="3" t="s">
        <v>142</v>
      </c>
      <c r="K415" s="81" t="s">
        <v>204</v>
      </c>
      <c r="L415"/>
      <c r="N415" s="88">
        <v>273.69</v>
      </c>
      <c r="O415" s="72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>
        <v>1.843</v>
      </c>
      <c r="AJ415">
        <v>8.2799999999999994</v>
      </c>
      <c r="AK415" t="s">
        <v>172</v>
      </c>
      <c r="AL415"/>
      <c r="AM415"/>
      <c r="AN415">
        <v>120</v>
      </c>
      <c r="AO415"/>
      <c r="AP415"/>
      <c r="AQ415"/>
      <c r="AR415"/>
      <c r="AS415"/>
      <c r="AT415" t="s">
        <v>146</v>
      </c>
      <c r="AU415" t="s">
        <v>233</v>
      </c>
    </row>
    <row r="416" spans="1:47" x14ac:dyDescent="0.2">
      <c r="A416" s="29">
        <v>422.00000000000057</v>
      </c>
      <c r="B416" s="17" t="s">
        <v>267</v>
      </c>
      <c r="C416">
        <v>22.414999999999999</v>
      </c>
      <c r="D416" s="74" t="s">
        <v>179</v>
      </c>
      <c r="E416" t="s">
        <v>180</v>
      </c>
      <c r="F416" t="s">
        <v>181</v>
      </c>
      <c r="G416"/>
      <c r="H416" t="s">
        <v>268</v>
      </c>
      <c r="I416" s="56">
        <v>44721</v>
      </c>
      <c r="J416" s="17" t="s">
        <v>238</v>
      </c>
      <c r="K416" s="17" t="s">
        <v>235</v>
      </c>
      <c r="L416">
        <v>240</v>
      </c>
      <c r="M416"/>
      <c r="N416" s="88">
        <v>229.25</v>
      </c>
      <c r="O416" s="72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>
        <v>0.86399999999999999</v>
      </c>
      <c r="AJ416">
        <v>31.63</v>
      </c>
      <c r="AK416" t="s">
        <v>172</v>
      </c>
      <c r="AL416"/>
      <c r="AM416"/>
      <c r="AN416">
        <v>104</v>
      </c>
      <c r="AO416"/>
      <c r="AP416"/>
      <c r="AQ416"/>
      <c r="AR416"/>
      <c r="AS416"/>
      <c r="AT416" t="s">
        <v>146</v>
      </c>
      <c r="AU416" t="s">
        <v>233</v>
      </c>
    </row>
    <row r="417" spans="1:47" x14ac:dyDescent="0.2">
      <c r="A417" s="29">
        <v>422.99999999999829</v>
      </c>
      <c r="B417" s="17" t="s">
        <v>269</v>
      </c>
      <c r="C417">
        <v>22.416</v>
      </c>
      <c r="D417" s="74" t="s">
        <v>179</v>
      </c>
      <c r="E417" t="s">
        <v>180</v>
      </c>
      <c r="F417" t="s">
        <v>181</v>
      </c>
      <c r="G417">
        <v>259</v>
      </c>
      <c r="H417"/>
      <c r="I417" s="56">
        <v>44721</v>
      </c>
      <c r="J417" s="17" t="s">
        <v>238</v>
      </c>
      <c r="K417" s="17" t="s">
        <v>235</v>
      </c>
      <c r="L417">
        <v>250</v>
      </c>
      <c r="M417"/>
      <c r="N417" s="88">
        <v>255.3</v>
      </c>
      <c r="O417" s="72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>
        <v>0.83</v>
      </c>
      <c r="AJ417">
        <v>39.21</v>
      </c>
      <c r="AK417" t="s">
        <v>172</v>
      </c>
      <c r="AL417"/>
      <c r="AM417"/>
      <c r="AN417">
        <v>99</v>
      </c>
      <c r="AO417"/>
      <c r="AP417"/>
      <c r="AQ417"/>
      <c r="AR417"/>
      <c r="AS417"/>
      <c r="AT417" t="s">
        <v>146</v>
      </c>
      <c r="AU417" t="s">
        <v>233</v>
      </c>
    </row>
    <row r="418" spans="1:47" x14ac:dyDescent="0.2">
      <c r="A418" s="29">
        <v>423.99999999999949</v>
      </c>
      <c r="B418" s="17" t="s">
        <v>270</v>
      </c>
      <c r="C418">
        <v>22.417000000000002</v>
      </c>
      <c r="D418" s="74" t="s">
        <v>179</v>
      </c>
      <c r="E418" t="s">
        <v>180</v>
      </c>
      <c r="F418" t="s">
        <v>181</v>
      </c>
      <c r="G418">
        <v>259</v>
      </c>
      <c r="H418"/>
      <c r="I418" s="56">
        <v>44721</v>
      </c>
      <c r="J418" s="17" t="s">
        <v>238</v>
      </c>
      <c r="K418" s="17" t="s">
        <v>235</v>
      </c>
      <c r="L418">
        <v>240</v>
      </c>
      <c r="M418"/>
      <c r="N418" s="88">
        <v>258.83999999999997</v>
      </c>
      <c r="O418" s="72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>
        <v>0.97599999999999998</v>
      </c>
      <c r="AJ418">
        <v>36.64</v>
      </c>
      <c r="AK418" t="s">
        <v>172</v>
      </c>
      <c r="AL418"/>
      <c r="AM418"/>
      <c r="AN418">
        <v>124</v>
      </c>
      <c r="AO418"/>
      <c r="AP418"/>
      <c r="AQ418"/>
      <c r="AR418"/>
      <c r="AS418"/>
      <c r="AT418" t="s">
        <v>146</v>
      </c>
      <c r="AU418" t="s">
        <v>233</v>
      </c>
    </row>
    <row r="419" spans="1:47" x14ac:dyDescent="0.2">
      <c r="A419" s="29">
        <v>425.00000000000068</v>
      </c>
      <c r="B419" s="17" t="s">
        <v>271</v>
      </c>
      <c r="C419">
        <v>22.417999999999999</v>
      </c>
      <c r="D419" s="74" t="s">
        <v>179</v>
      </c>
      <c r="E419" t="s">
        <v>180</v>
      </c>
      <c r="F419" t="s">
        <v>181</v>
      </c>
      <c r="G419"/>
      <c r="H419" t="s">
        <v>268</v>
      </c>
      <c r="I419" s="56">
        <v>44721</v>
      </c>
      <c r="J419" s="17" t="s">
        <v>238</v>
      </c>
      <c r="K419" s="17" t="s">
        <v>235</v>
      </c>
      <c r="L419">
        <v>235</v>
      </c>
      <c r="M419"/>
      <c r="N419" s="88">
        <v>207.9</v>
      </c>
      <c r="O419" s="72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>
        <v>0.85099999999999998</v>
      </c>
      <c r="AJ419"/>
      <c r="AK419"/>
      <c r="AL419"/>
      <c r="AM419"/>
      <c r="AN419"/>
      <c r="AO419"/>
      <c r="AP419"/>
      <c r="AQ419"/>
      <c r="AR419"/>
      <c r="AS419"/>
      <c r="AT419" t="s">
        <v>146</v>
      </c>
      <c r="AU419" t="s">
        <v>233</v>
      </c>
    </row>
    <row r="420" spans="1:47" x14ac:dyDescent="0.2">
      <c r="A420" s="29">
        <v>425.99999999999841</v>
      </c>
      <c r="B420" s="17" t="s">
        <v>272</v>
      </c>
      <c r="C420">
        <v>22.419</v>
      </c>
      <c r="D420" s="74" t="s">
        <v>179</v>
      </c>
      <c r="E420" t="s">
        <v>180</v>
      </c>
      <c r="F420" t="s">
        <v>181</v>
      </c>
      <c r="G420"/>
      <c r="H420"/>
      <c r="I420" s="56">
        <v>44722</v>
      </c>
      <c r="J420" s="17" t="s">
        <v>238</v>
      </c>
      <c r="K420" s="17" t="s">
        <v>235</v>
      </c>
      <c r="L420" s="89"/>
      <c r="M420"/>
      <c r="N420" s="72"/>
      <c r="O420" s="72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/>
      <c r="AJ420"/>
      <c r="AK420"/>
      <c r="AL420"/>
      <c r="AM420"/>
      <c r="AN420"/>
      <c r="AO420"/>
      <c r="AP420"/>
      <c r="AQ420"/>
      <c r="AR420"/>
      <c r="AS420"/>
      <c r="AT420" t="s">
        <v>146</v>
      </c>
      <c r="AU420" t="s">
        <v>233</v>
      </c>
    </row>
    <row r="421" spans="1:47" x14ac:dyDescent="0.2">
      <c r="A421" s="29">
        <v>426.9999999999996</v>
      </c>
      <c r="B421" s="18">
        <v>217</v>
      </c>
      <c r="C421" s="5" t="s">
        <v>84</v>
      </c>
      <c r="D421" s="66" t="s">
        <v>151</v>
      </c>
      <c r="E421" s="14" t="s">
        <v>162</v>
      </c>
      <c r="F421" s="3" t="s">
        <v>88</v>
      </c>
      <c r="G421" s="3" t="s">
        <v>88</v>
      </c>
      <c r="H421" s="14"/>
      <c r="I421" s="20">
        <v>44711</v>
      </c>
      <c r="J421" s="17" t="s">
        <v>238</v>
      </c>
      <c r="K421" s="17" t="s">
        <v>235</v>
      </c>
      <c r="L421" s="28">
        <v>307</v>
      </c>
      <c r="M421" s="18"/>
      <c r="N421" s="90">
        <v>314.79000000000002</v>
      </c>
      <c r="O421" s="72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18">
        <v>1.3759999999999999</v>
      </c>
      <c r="AJ421" s="18">
        <v>62.2</v>
      </c>
      <c r="AK421" s="18" t="s">
        <v>172</v>
      </c>
      <c r="AL421" s="18"/>
      <c r="AM421" s="18"/>
      <c r="AN421" s="18">
        <v>104</v>
      </c>
      <c r="AO421" s="18"/>
      <c r="AP421" s="18"/>
      <c r="AQ421" s="18"/>
      <c r="AR421" s="18"/>
      <c r="AS421" s="18"/>
      <c r="AT421" t="s">
        <v>146</v>
      </c>
      <c r="AU421" t="s">
        <v>233</v>
      </c>
    </row>
    <row r="422" spans="1:47" x14ac:dyDescent="0.2">
      <c r="A422" s="29">
        <v>428.0000000000008</v>
      </c>
      <c r="B422" s="17">
        <v>362</v>
      </c>
      <c r="C422">
        <v>22.420999999999999</v>
      </c>
      <c r="D422" s="78" t="s">
        <v>168</v>
      </c>
      <c r="E422" s="11" t="s">
        <v>232</v>
      </c>
      <c r="F422" s="17" t="s">
        <v>31</v>
      </c>
      <c r="G422" s="17" t="s">
        <v>31</v>
      </c>
      <c r="H422" s="11"/>
      <c r="I422" s="68">
        <v>44699</v>
      </c>
      <c r="J422" s="17" t="s">
        <v>238</v>
      </c>
      <c r="K422" s="17" t="s">
        <v>235</v>
      </c>
      <c r="L422" s="89"/>
      <c r="M422"/>
      <c r="N422" s="88">
        <v>232.54</v>
      </c>
      <c r="O422" s="72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>
        <v>1.2889999999999999</v>
      </c>
      <c r="AJ422">
        <v>35.520000000000003</v>
      </c>
      <c r="AK422" t="s">
        <v>172</v>
      </c>
      <c r="AL422"/>
      <c r="AM422"/>
      <c r="AN422">
        <v>107</v>
      </c>
      <c r="AO422"/>
      <c r="AP422"/>
      <c r="AQ422"/>
      <c r="AR422"/>
      <c r="AS422"/>
      <c r="AT422" t="s">
        <v>146</v>
      </c>
      <c r="AU422" t="s">
        <v>233</v>
      </c>
    </row>
    <row r="423" spans="1:47" x14ac:dyDescent="0.2">
      <c r="A423" s="29">
        <v>428.99999999999852</v>
      </c>
      <c r="B423" s="17">
        <v>364</v>
      </c>
      <c r="C423">
        <v>22.422000000000001</v>
      </c>
      <c r="D423" s="78" t="s">
        <v>168</v>
      </c>
      <c r="E423" s="11" t="s">
        <v>232</v>
      </c>
      <c r="F423" s="17" t="s">
        <v>31</v>
      </c>
      <c r="G423" s="17" t="s">
        <v>31</v>
      </c>
      <c r="H423" s="11"/>
      <c r="I423" s="68">
        <v>44699</v>
      </c>
      <c r="J423" s="17" t="s">
        <v>238</v>
      </c>
      <c r="K423" s="17" t="s">
        <v>235</v>
      </c>
      <c r="L423" s="89"/>
      <c r="M423"/>
      <c r="N423" s="88">
        <v>232.73</v>
      </c>
      <c r="O423" s="72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>
        <v>1.2270000000000001</v>
      </c>
      <c r="AJ423">
        <v>34.79</v>
      </c>
      <c r="AK423" t="s">
        <v>172</v>
      </c>
      <c r="AL423"/>
      <c r="AM423"/>
      <c r="AN423">
        <v>103</v>
      </c>
      <c r="AO423"/>
      <c r="AP423"/>
      <c r="AQ423"/>
      <c r="AR423"/>
      <c r="AS423"/>
      <c r="AT423" t="s">
        <v>146</v>
      </c>
      <c r="AU423" t="s">
        <v>233</v>
      </c>
    </row>
    <row r="424" spans="1:47" x14ac:dyDescent="0.2">
      <c r="A424" s="29">
        <v>429.99999999999972</v>
      </c>
      <c r="B424" s="17">
        <v>365</v>
      </c>
      <c r="C424">
        <v>22.422999999999998</v>
      </c>
      <c r="D424" s="78" t="s">
        <v>168</v>
      </c>
      <c r="E424" s="11" t="s">
        <v>232</v>
      </c>
      <c r="F424" s="17" t="s">
        <v>31</v>
      </c>
      <c r="G424" s="17" t="s">
        <v>31</v>
      </c>
      <c r="H424" s="11"/>
      <c r="I424" s="68">
        <v>44699</v>
      </c>
      <c r="J424" s="17" t="s">
        <v>238</v>
      </c>
      <c r="K424" s="17" t="s">
        <v>235</v>
      </c>
      <c r="L424" s="89"/>
      <c r="M424"/>
      <c r="N424" s="88">
        <v>227.62</v>
      </c>
      <c r="O424" s="72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>
        <v>1.1759999999999999</v>
      </c>
      <c r="AJ424">
        <v>35.03</v>
      </c>
      <c r="AK424" t="s">
        <v>172</v>
      </c>
      <c r="AL424"/>
      <c r="AM424"/>
      <c r="AN424">
        <v>107</v>
      </c>
      <c r="AO424"/>
      <c r="AP424"/>
      <c r="AQ424"/>
      <c r="AR424"/>
      <c r="AS424"/>
      <c r="AT424" t="s">
        <v>146</v>
      </c>
      <c r="AU424" t="s">
        <v>233</v>
      </c>
    </row>
    <row r="425" spans="1:47" x14ac:dyDescent="0.2">
      <c r="A425" s="29">
        <v>431.00000000000091</v>
      </c>
      <c r="B425" s="17">
        <v>379</v>
      </c>
      <c r="C425" s="11">
        <v>22.423999999999999</v>
      </c>
      <c r="D425" s="91" t="s">
        <v>168</v>
      </c>
      <c r="E425" s="17" t="s">
        <v>232</v>
      </c>
      <c r="F425" s="17" t="s">
        <v>31</v>
      </c>
      <c r="G425" s="17" t="s">
        <v>31</v>
      </c>
      <c r="H425" s="17"/>
      <c r="I425" s="68">
        <v>44708</v>
      </c>
      <c r="J425" s="17" t="s">
        <v>238</v>
      </c>
      <c r="K425" s="17" t="s">
        <v>235</v>
      </c>
      <c r="L425" s="89"/>
      <c r="M425"/>
      <c r="N425" s="88">
        <v>226.3</v>
      </c>
      <c r="O425" s="72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>
        <v>1.3360000000000001</v>
      </c>
      <c r="AJ425">
        <v>35.880000000000003</v>
      </c>
      <c r="AK425" t="s">
        <v>172</v>
      </c>
      <c r="AL425"/>
      <c r="AM425"/>
      <c r="AN425">
        <v>101</v>
      </c>
      <c r="AO425"/>
      <c r="AP425"/>
      <c r="AQ425"/>
      <c r="AR425"/>
      <c r="AS425"/>
      <c r="AT425" t="s">
        <v>146</v>
      </c>
      <c r="AU425" t="s">
        <v>233</v>
      </c>
    </row>
    <row r="426" spans="1:47" x14ac:dyDescent="0.2">
      <c r="A426" s="29">
        <v>431.99999999999864</v>
      </c>
      <c r="B426" s="17">
        <v>382</v>
      </c>
      <c r="C426">
        <v>22.425000000000001</v>
      </c>
      <c r="D426" s="78" t="s">
        <v>168</v>
      </c>
      <c r="E426" s="11" t="s">
        <v>232</v>
      </c>
      <c r="F426" s="17" t="s">
        <v>31</v>
      </c>
      <c r="G426" s="17" t="s">
        <v>31</v>
      </c>
      <c r="H426" s="11"/>
      <c r="I426" s="68">
        <v>44708</v>
      </c>
      <c r="J426" s="17" t="s">
        <v>238</v>
      </c>
      <c r="K426" s="17" t="s">
        <v>235</v>
      </c>
      <c r="L426" s="89"/>
      <c r="M426"/>
      <c r="N426" s="88">
        <v>227.38</v>
      </c>
      <c r="O426" s="72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>
        <v>1.32</v>
      </c>
      <c r="AJ426">
        <v>35.75</v>
      </c>
      <c r="AK426" t="s">
        <v>172</v>
      </c>
      <c r="AL426"/>
      <c r="AM426"/>
      <c r="AN426">
        <v>102</v>
      </c>
      <c r="AO426"/>
      <c r="AP426"/>
      <c r="AQ426"/>
      <c r="AR426"/>
      <c r="AS426"/>
      <c r="AT426" t="s">
        <v>146</v>
      </c>
      <c r="AU426" t="s">
        <v>233</v>
      </c>
    </row>
    <row r="427" spans="1:47" x14ac:dyDescent="0.2">
      <c r="A427" s="29">
        <v>432.99999999999983</v>
      </c>
      <c r="B427" s="17">
        <v>387</v>
      </c>
      <c r="C427">
        <v>22.425999999999998</v>
      </c>
      <c r="D427" s="78" t="s">
        <v>168</v>
      </c>
      <c r="E427" s="11" t="s">
        <v>232</v>
      </c>
      <c r="F427" s="17" t="s">
        <v>31</v>
      </c>
      <c r="G427" s="17" t="s">
        <v>31</v>
      </c>
      <c r="H427" s="11"/>
      <c r="I427" s="68">
        <v>44707</v>
      </c>
      <c r="J427" s="17" t="s">
        <v>238</v>
      </c>
      <c r="K427" s="17" t="s">
        <v>235</v>
      </c>
      <c r="L427" s="89"/>
      <c r="M427"/>
      <c r="N427" s="88">
        <v>224.74</v>
      </c>
      <c r="O427" s="72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>
        <v>1.242</v>
      </c>
      <c r="AJ427">
        <v>32.369999999999997</v>
      </c>
      <c r="AK427" t="s">
        <v>172</v>
      </c>
      <c r="AL427"/>
      <c r="AM427"/>
      <c r="AN427">
        <v>101</v>
      </c>
      <c r="AO427"/>
      <c r="AP427"/>
      <c r="AQ427"/>
      <c r="AR427"/>
      <c r="AS427"/>
      <c r="AT427" t="s">
        <v>146</v>
      </c>
      <c r="AU427" t="s">
        <v>233</v>
      </c>
    </row>
    <row r="428" spans="1:47" x14ac:dyDescent="0.2">
      <c r="A428" s="29">
        <v>434.00000000000102</v>
      </c>
      <c r="B428" s="59">
        <v>43</v>
      </c>
      <c r="C428">
        <v>22.427</v>
      </c>
      <c r="D428" s="83" t="s">
        <v>200</v>
      </c>
      <c r="E428" s="3" t="s">
        <v>201</v>
      </c>
      <c r="F428" s="43">
        <v>241</v>
      </c>
      <c r="H428" s="43">
        <v>241</v>
      </c>
      <c r="I428" s="81">
        <v>44711</v>
      </c>
      <c r="J428" s="3" t="s">
        <v>142</v>
      </c>
      <c r="K428" s="81" t="s">
        <v>204</v>
      </c>
      <c r="L428" s="59">
        <v>291</v>
      </c>
      <c r="M428"/>
      <c r="N428" s="88">
        <v>286.85000000000002</v>
      </c>
      <c r="O428">
        <v>175.48</v>
      </c>
      <c r="P428">
        <v>189.77</v>
      </c>
      <c r="Q428">
        <v>38.39</v>
      </c>
      <c r="R428">
        <v>23.66</v>
      </c>
      <c r="S428">
        <v>119.41</v>
      </c>
      <c r="T428">
        <v>94.78</v>
      </c>
      <c r="U428">
        <v>64.819999999999993</v>
      </c>
      <c r="V428">
        <v>56.48</v>
      </c>
      <c r="W428">
        <v>72.319999999999993</v>
      </c>
      <c r="X428">
        <v>93.4</v>
      </c>
      <c r="Y428">
        <v>38.32</v>
      </c>
      <c r="Z428">
        <v>103.68</v>
      </c>
      <c r="AA428">
        <v>83.12</v>
      </c>
      <c r="AB428">
        <v>79.48</v>
      </c>
      <c r="AC428">
        <v>17.579999999999998</v>
      </c>
      <c r="AD428">
        <v>55.77</v>
      </c>
      <c r="AE428">
        <v>28.53</v>
      </c>
      <c r="AF428">
        <v>35.5</v>
      </c>
      <c r="AG428">
        <v>31.46</v>
      </c>
      <c r="AH428">
        <v>36.49</v>
      </c>
      <c r="AI428">
        <v>1.6020000000000001</v>
      </c>
      <c r="AJ428">
        <v>54.49</v>
      </c>
      <c r="AK428" t="s">
        <v>172</v>
      </c>
      <c r="AL428"/>
      <c r="AM428"/>
      <c r="AN428">
        <v>115</v>
      </c>
      <c r="AO428"/>
      <c r="AP428"/>
      <c r="AQ428"/>
      <c r="AR428"/>
      <c r="AS428"/>
      <c r="AT428" t="s">
        <v>146</v>
      </c>
      <c r="AU428" t="s">
        <v>146</v>
      </c>
    </row>
    <row r="429" spans="1:47" x14ac:dyDescent="0.2">
      <c r="A429" s="29">
        <v>434.99999999999875</v>
      </c>
      <c r="B429" s="59">
        <v>44</v>
      </c>
      <c r="C429">
        <v>22.428000000000001</v>
      </c>
      <c r="D429" s="83" t="s">
        <v>200</v>
      </c>
      <c r="E429" s="3" t="s">
        <v>201</v>
      </c>
      <c r="F429" s="43">
        <v>241</v>
      </c>
      <c r="H429" s="43">
        <v>241</v>
      </c>
      <c r="I429" s="81">
        <v>44711</v>
      </c>
      <c r="J429" s="3" t="s">
        <v>142</v>
      </c>
      <c r="K429" s="81" t="s">
        <v>204</v>
      </c>
      <c r="L429" s="59">
        <v>319</v>
      </c>
      <c r="M429"/>
      <c r="N429" s="88">
        <v>316.88</v>
      </c>
      <c r="O429">
        <v>179.88</v>
      </c>
      <c r="P429">
        <v>186.74</v>
      </c>
      <c r="Q429">
        <v>40.07</v>
      </c>
      <c r="R429">
        <v>16.440000000000001</v>
      </c>
      <c r="S429">
        <v>127.61</v>
      </c>
      <c r="T429">
        <v>106.04</v>
      </c>
      <c r="U429">
        <v>70.12</v>
      </c>
      <c r="V429">
        <v>55.9</v>
      </c>
      <c r="W429">
        <v>72.84</v>
      </c>
      <c r="X429">
        <v>93.85</v>
      </c>
      <c r="Y429">
        <v>37.75</v>
      </c>
      <c r="Z429">
        <v>108.03</v>
      </c>
      <c r="AA429">
        <v>90.73</v>
      </c>
      <c r="AB429">
        <v>78.25</v>
      </c>
      <c r="AC429">
        <v>18</v>
      </c>
      <c r="AD429">
        <v>58.25</v>
      </c>
      <c r="AE429">
        <v>21.45</v>
      </c>
      <c r="AF429">
        <v>39.729999999999997</v>
      </c>
      <c r="AG429">
        <v>24.17</v>
      </c>
      <c r="AH429">
        <v>41.96</v>
      </c>
      <c r="AI429">
        <v>1.647</v>
      </c>
      <c r="AJ429">
        <v>46.04</v>
      </c>
      <c r="AK429" t="s">
        <v>172</v>
      </c>
      <c r="AL429"/>
      <c r="AM429"/>
      <c r="AN429">
        <v>144</v>
      </c>
      <c r="AO429"/>
      <c r="AP429"/>
      <c r="AQ429"/>
      <c r="AR429"/>
      <c r="AS429"/>
      <c r="AT429" t="s">
        <v>146</v>
      </c>
      <c r="AU429" t="s">
        <v>146</v>
      </c>
    </row>
    <row r="430" spans="1:47" x14ac:dyDescent="0.2">
      <c r="A430" s="29">
        <v>435.99999999999994</v>
      </c>
      <c r="B430" s="59">
        <v>46</v>
      </c>
      <c r="C430" s="5">
        <v>22.428999999999998</v>
      </c>
      <c r="D430" s="83" t="s">
        <v>200</v>
      </c>
      <c r="E430" s="3" t="s">
        <v>201</v>
      </c>
      <c r="F430" s="43">
        <v>241</v>
      </c>
      <c r="H430" s="43">
        <v>241</v>
      </c>
      <c r="I430" s="81">
        <v>44717</v>
      </c>
      <c r="J430" s="3" t="s">
        <v>142</v>
      </c>
      <c r="K430" s="81" t="s">
        <v>204</v>
      </c>
      <c r="L430" s="59">
        <v>292</v>
      </c>
      <c r="M430"/>
      <c r="N430" s="88">
        <v>287.83</v>
      </c>
      <c r="O430">
        <v>179.48</v>
      </c>
      <c r="P430">
        <v>198.01</v>
      </c>
      <c r="Q430">
        <v>40.24</v>
      </c>
      <c r="R430">
        <v>28.46</v>
      </c>
      <c r="S430">
        <v>122.33</v>
      </c>
      <c r="T430">
        <v>98.17</v>
      </c>
      <c r="U430">
        <v>68.69</v>
      </c>
      <c r="V430">
        <v>57.63</v>
      </c>
      <c r="W430">
        <v>74.599999999999994</v>
      </c>
      <c r="X430">
        <v>90.03</v>
      </c>
      <c r="Y430">
        <v>36.409999999999997</v>
      </c>
      <c r="Z430">
        <v>102.73</v>
      </c>
      <c r="AA430">
        <v>85.27</v>
      </c>
      <c r="AB430">
        <v>78.760000000000005</v>
      </c>
      <c r="AC430">
        <v>25.11</v>
      </c>
      <c r="AD430">
        <v>57.38</v>
      </c>
      <c r="AE430">
        <v>27.35</v>
      </c>
      <c r="AF430">
        <v>34.67</v>
      </c>
      <c r="AG430">
        <v>32.04</v>
      </c>
      <c r="AH430">
        <v>39.4</v>
      </c>
      <c r="AI430">
        <v>1.5620000000000001</v>
      </c>
      <c r="AJ430">
        <v>45.52</v>
      </c>
      <c r="AK430" t="s">
        <v>172</v>
      </c>
      <c r="AL430"/>
      <c r="AM430"/>
      <c r="AN430">
        <v>126</v>
      </c>
      <c r="AO430"/>
      <c r="AP430"/>
      <c r="AQ430"/>
      <c r="AR430"/>
      <c r="AS430"/>
      <c r="AT430" t="s">
        <v>146</v>
      </c>
      <c r="AU430" t="s">
        <v>146</v>
      </c>
    </row>
    <row r="431" spans="1:47" x14ac:dyDescent="0.2">
      <c r="A431" s="29">
        <v>437.00000000000114</v>
      </c>
      <c r="B431" s="59">
        <v>48</v>
      </c>
      <c r="C431" s="5" t="s">
        <v>273</v>
      </c>
      <c r="D431" s="83" t="s">
        <v>200</v>
      </c>
      <c r="E431" s="3" t="s">
        <v>201</v>
      </c>
      <c r="F431" s="43">
        <v>241</v>
      </c>
      <c r="H431" s="43">
        <v>241</v>
      </c>
      <c r="I431" s="56">
        <v>44721</v>
      </c>
      <c r="J431" s="3" t="s">
        <v>142</v>
      </c>
      <c r="K431" s="68" t="s">
        <v>204</v>
      </c>
      <c r="L431" s="59">
        <v>253</v>
      </c>
      <c r="M431"/>
      <c r="N431" s="88">
        <v>280.31</v>
      </c>
      <c r="O431">
        <v>180.33</v>
      </c>
      <c r="P431">
        <v>180.71</v>
      </c>
      <c r="Q431">
        <v>49.8</v>
      </c>
      <c r="R431">
        <v>12.39</v>
      </c>
      <c r="S431">
        <v>118.12</v>
      </c>
      <c r="T431">
        <v>98.81</v>
      </c>
      <c r="U431">
        <v>69.72</v>
      </c>
      <c r="V431">
        <v>53.29</v>
      </c>
      <c r="W431">
        <v>75.209999999999994</v>
      </c>
      <c r="X431">
        <v>96.48</v>
      </c>
      <c r="Y431">
        <v>37.15</v>
      </c>
      <c r="Z431">
        <v>106.11</v>
      </c>
      <c r="AA431">
        <v>89.03</v>
      </c>
      <c r="AB431">
        <v>81.56</v>
      </c>
      <c r="AC431">
        <v>9.76</v>
      </c>
      <c r="AD431">
        <v>53.01</v>
      </c>
      <c r="AE431">
        <v>23.8</v>
      </c>
      <c r="AF431">
        <v>40.81</v>
      </c>
      <c r="AG431">
        <v>18.829999999999998</v>
      </c>
      <c r="AH431">
        <v>45.12</v>
      </c>
      <c r="AI431">
        <v>1.4970000000000001</v>
      </c>
      <c r="AJ431">
        <v>55.01</v>
      </c>
      <c r="AK431" t="s">
        <v>172</v>
      </c>
      <c r="AL431"/>
      <c r="AM431"/>
      <c r="AN431">
        <v>126</v>
      </c>
      <c r="AO431"/>
      <c r="AP431"/>
      <c r="AQ431"/>
      <c r="AR431"/>
      <c r="AS431"/>
      <c r="AT431" t="s">
        <v>146</v>
      </c>
      <c r="AU431" t="s">
        <v>146</v>
      </c>
    </row>
    <row r="432" spans="1:47" x14ac:dyDescent="0.2">
      <c r="A432" s="29">
        <v>437.99999999999886</v>
      </c>
      <c r="B432" s="59">
        <v>53</v>
      </c>
      <c r="C432">
        <v>22.431000000000001</v>
      </c>
      <c r="D432" s="83" t="s">
        <v>200</v>
      </c>
      <c r="E432" s="3" t="s">
        <v>201</v>
      </c>
      <c r="F432" s="43">
        <v>241</v>
      </c>
      <c r="H432" s="43">
        <v>241</v>
      </c>
      <c r="I432" s="56">
        <v>44728</v>
      </c>
      <c r="J432" s="3" t="s">
        <v>142</v>
      </c>
      <c r="K432" s="68" t="s">
        <v>204</v>
      </c>
      <c r="L432" s="59">
        <v>286</v>
      </c>
      <c r="M432"/>
      <c r="N432" s="88">
        <v>279.94</v>
      </c>
      <c r="O432">
        <v>185.81</v>
      </c>
      <c r="P432">
        <v>193.53</v>
      </c>
      <c r="Q432">
        <v>40.15</v>
      </c>
      <c r="R432">
        <v>28.27</v>
      </c>
      <c r="S432">
        <v>124.76</v>
      </c>
      <c r="T432">
        <v>99.56</v>
      </c>
      <c r="U432">
        <v>64.87</v>
      </c>
      <c r="V432">
        <v>55.1</v>
      </c>
      <c r="W432">
        <v>72.78</v>
      </c>
      <c r="X432">
        <v>93.83</v>
      </c>
      <c r="Y432">
        <v>34.1</v>
      </c>
      <c r="Z432">
        <v>104.62</v>
      </c>
      <c r="AA432">
        <v>85.96</v>
      </c>
      <c r="AB432">
        <v>74.819999999999993</v>
      </c>
      <c r="AC432">
        <v>16.64</v>
      </c>
      <c r="AD432">
        <v>52.82</v>
      </c>
      <c r="AE432">
        <v>28.03</v>
      </c>
      <c r="AF432">
        <v>38.06</v>
      </c>
      <c r="AG432">
        <v>29.53</v>
      </c>
      <c r="AH432">
        <v>37.28</v>
      </c>
      <c r="AI432">
        <v>1.605</v>
      </c>
      <c r="AJ432">
        <v>53.12</v>
      </c>
      <c r="AK432" t="s">
        <v>173</v>
      </c>
      <c r="AL432"/>
      <c r="AM432">
        <v>65</v>
      </c>
      <c r="AN432">
        <v>42</v>
      </c>
      <c r="AO432"/>
      <c r="AP432"/>
      <c r="AQ432"/>
      <c r="AR432"/>
      <c r="AS432"/>
      <c r="AT432" t="s">
        <v>146</v>
      </c>
      <c r="AU432" t="s">
        <v>146</v>
      </c>
    </row>
    <row r="433" spans="1:47" x14ac:dyDescent="0.2">
      <c r="A433" s="29">
        <v>439.00000000000006</v>
      </c>
      <c r="B433" s="59">
        <v>390</v>
      </c>
      <c r="C433" s="11">
        <v>22.431999999999999</v>
      </c>
      <c r="D433" s="91" t="s">
        <v>168</v>
      </c>
      <c r="E433" s="17" t="s">
        <v>232</v>
      </c>
      <c r="F433" s="17" t="s">
        <v>31</v>
      </c>
      <c r="G433" s="17" t="s">
        <v>31</v>
      </c>
      <c r="H433" s="17"/>
      <c r="I433" s="68">
        <v>44719</v>
      </c>
      <c r="J433" s="3" t="s">
        <v>142</v>
      </c>
      <c r="K433" s="68" t="s">
        <v>204</v>
      </c>
      <c r="L433" s="59"/>
      <c r="M433"/>
      <c r="N433" s="88">
        <v>219.49</v>
      </c>
      <c r="O433" s="72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>
        <v>1.2649999999999999</v>
      </c>
      <c r="AJ433">
        <v>34.909999999999997</v>
      </c>
      <c r="AK433" t="s">
        <v>172</v>
      </c>
      <c r="AL433"/>
      <c r="AM433"/>
      <c r="AN433">
        <v>103</v>
      </c>
      <c r="AO433"/>
      <c r="AP433"/>
      <c r="AQ433"/>
      <c r="AR433"/>
      <c r="AS433"/>
      <c r="AT433" t="s">
        <v>146</v>
      </c>
      <c r="AU433" t="s">
        <v>233</v>
      </c>
    </row>
    <row r="434" spans="1:47" x14ac:dyDescent="0.2">
      <c r="A434" s="29">
        <v>440.00000000000125</v>
      </c>
      <c r="B434" s="59">
        <v>400</v>
      </c>
      <c r="C434">
        <v>22.433</v>
      </c>
      <c r="D434" s="78" t="s">
        <v>168</v>
      </c>
      <c r="E434" s="17" t="s">
        <v>232</v>
      </c>
      <c r="F434" s="17" t="s">
        <v>31</v>
      </c>
      <c r="G434" s="17" t="s">
        <v>31</v>
      </c>
      <c r="H434" s="17"/>
      <c r="I434" s="68">
        <v>44735</v>
      </c>
      <c r="J434" s="3" t="s">
        <v>142</v>
      </c>
      <c r="K434" s="68" t="s">
        <v>204</v>
      </c>
      <c r="L434" s="59"/>
      <c r="M434"/>
      <c r="N434" s="88">
        <v>216.66</v>
      </c>
      <c r="O434" s="72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>
        <v>1.1950000000000001</v>
      </c>
      <c r="AJ434">
        <v>34.56</v>
      </c>
      <c r="AK434" t="s">
        <v>172</v>
      </c>
      <c r="AL434"/>
      <c r="AM434"/>
      <c r="AN434">
        <v>86</v>
      </c>
      <c r="AO434"/>
      <c r="AP434"/>
      <c r="AQ434"/>
      <c r="AR434"/>
      <c r="AS434"/>
      <c r="AT434" t="s">
        <v>146</v>
      </c>
      <c r="AU434" t="s">
        <v>233</v>
      </c>
    </row>
    <row r="435" spans="1:47" x14ac:dyDescent="0.2">
      <c r="A435" s="29">
        <v>440.99999999999898</v>
      </c>
      <c r="B435" s="59">
        <v>393</v>
      </c>
      <c r="C435">
        <v>22.434000000000001</v>
      </c>
      <c r="D435" s="78" t="s">
        <v>168</v>
      </c>
      <c r="E435" s="9" t="s">
        <v>169</v>
      </c>
      <c r="F435" s="3" t="s">
        <v>170</v>
      </c>
      <c r="G435" s="9"/>
      <c r="H435" s="18" t="s">
        <v>177</v>
      </c>
      <c r="I435" s="68">
        <v>44721</v>
      </c>
      <c r="J435" s="3" t="s">
        <v>142</v>
      </c>
      <c r="K435" s="68" t="s">
        <v>204</v>
      </c>
      <c r="L435" s="59"/>
      <c r="M435"/>
      <c r="N435" s="88">
        <v>310.04000000000002</v>
      </c>
      <c r="O435" s="72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>
        <v>1.26</v>
      </c>
      <c r="AJ435">
        <v>55.1</v>
      </c>
      <c r="AK435" t="s">
        <v>172</v>
      </c>
      <c r="AL435"/>
      <c r="AM435"/>
      <c r="AN435">
        <v>130</v>
      </c>
      <c r="AO435"/>
      <c r="AP435"/>
      <c r="AQ435"/>
      <c r="AR435"/>
      <c r="AS435"/>
      <c r="AT435" t="s">
        <v>146</v>
      </c>
      <c r="AU435" t="s">
        <v>233</v>
      </c>
    </row>
    <row r="436" spans="1:47" x14ac:dyDescent="0.2">
      <c r="A436" s="29">
        <v>442.00000000000017</v>
      </c>
      <c r="B436" s="59">
        <v>399</v>
      </c>
      <c r="C436">
        <v>22.434999999999999</v>
      </c>
      <c r="D436" s="78" t="s">
        <v>168</v>
      </c>
      <c r="E436" s="17" t="s">
        <v>232</v>
      </c>
      <c r="F436" s="17" t="s">
        <v>31</v>
      </c>
      <c r="G436" s="17" t="s">
        <v>31</v>
      </c>
      <c r="H436" s="17"/>
      <c r="I436" s="68">
        <v>44735</v>
      </c>
      <c r="J436" s="3" t="s">
        <v>142</v>
      </c>
      <c r="K436" s="68" t="s">
        <v>204</v>
      </c>
      <c r="L436" s="59"/>
      <c r="M436"/>
      <c r="N436" s="88">
        <v>217.96</v>
      </c>
      <c r="O436" s="72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>
        <v>1.288</v>
      </c>
      <c r="AJ436">
        <v>34.07</v>
      </c>
      <c r="AK436" t="s">
        <v>172</v>
      </c>
      <c r="AL436"/>
      <c r="AM436"/>
      <c r="AN436">
        <v>93</v>
      </c>
      <c r="AO436"/>
      <c r="AP436"/>
      <c r="AQ436"/>
      <c r="AR436"/>
      <c r="AS436"/>
      <c r="AT436" t="s">
        <v>146</v>
      </c>
      <c r="AU436" t="s">
        <v>233</v>
      </c>
    </row>
    <row r="437" spans="1:47" x14ac:dyDescent="0.2">
      <c r="A437" s="29">
        <v>443.00000000000136</v>
      </c>
      <c r="B437" s="59">
        <v>392</v>
      </c>
      <c r="C437" s="11">
        <v>22.436</v>
      </c>
      <c r="D437" s="91" t="s">
        <v>168</v>
      </c>
      <c r="E437" s="17" t="s">
        <v>169</v>
      </c>
      <c r="F437" s="3" t="s">
        <v>170</v>
      </c>
      <c r="G437" t="s">
        <v>30</v>
      </c>
      <c r="H437" s="17"/>
      <c r="I437" s="68">
        <v>44721</v>
      </c>
      <c r="J437" s="3" t="s">
        <v>142</v>
      </c>
      <c r="K437" s="68" t="s">
        <v>204</v>
      </c>
      <c r="L437" s="59"/>
      <c r="M437"/>
      <c r="N437" s="88">
        <v>310.89999999999998</v>
      </c>
      <c r="O437" s="72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>
        <v>1.2949999999999999</v>
      </c>
      <c r="AJ437">
        <v>54.79</v>
      </c>
      <c r="AK437" t="s">
        <v>172</v>
      </c>
      <c r="AL437"/>
      <c r="AM437"/>
      <c r="AN437">
        <v>132</v>
      </c>
      <c r="AO437"/>
      <c r="AP437"/>
      <c r="AQ437"/>
      <c r="AR437"/>
      <c r="AS437"/>
      <c r="AT437" t="s">
        <v>146</v>
      </c>
      <c r="AU437" t="s">
        <v>233</v>
      </c>
    </row>
    <row r="438" spans="1:47" x14ac:dyDescent="0.2">
      <c r="A438" s="29">
        <v>443.99999999999909</v>
      </c>
      <c r="B438" s="59">
        <v>371</v>
      </c>
      <c r="C438">
        <v>22.437000000000001</v>
      </c>
      <c r="D438" s="78" t="s">
        <v>168</v>
      </c>
      <c r="E438" s="17" t="s">
        <v>169</v>
      </c>
      <c r="F438" s="3" t="s">
        <v>170</v>
      </c>
      <c r="G438" t="s">
        <v>30</v>
      </c>
      <c r="H438" s="17"/>
      <c r="I438" s="68">
        <v>44700</v>
      </c>
      <c r="J438" s="3" t="s">
        <v>142</v>
      </c>
      <c r="K438" s="68" t="s">
        <v>204</v>
      </c>
      <c r="L438" s="59"/>
      <c r="M438"/>
      <c r="N438" s="88">
        <v>292.10000000000002</v>
      </c>
      <c r="O438" s="72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>
        <v>1.242</v>
      </c>
      <c r="AJ438">
        <v>53.44</v>
      </c>
      <c r="AK438" t="s">
        <v>172</v>
      </c>
      <c r="AL438"/>
      <c r="AM438"/>
      <c r="AN438">
        <v>127</v>
      </c>
      <c r="AO438"/>
      <c r="AP438"/>
      <c r="AQ438"/>
      <c r="AR438"/>
      <c r="AS438"/>
      <c r="AT438" t="s">
        <v>146</v>
      </c>
      <c r="AU438" t="s">
        <v>233</v>
      </c>
    </row>
    <row r="439" spans="1:47" x14ac:dyDescent="0.2">
      <c r="A439" s="29">
        <v>445.00000000000028</v>
      </c>
      <c r="B439" s="59">
        <v>373</v>
      </c>
      <c r="C439">
        <v>22.437999999999999</v>
      </c>
      <c r="D439" s="78" t="s">
        <v>168</v>
      </c>
      <c r="E439" s="17" t="s">
        <v>169</v>
      </c>
      <c r="F439" s="3" t="s">
        <v>170</v>
      </c>
      <c r="G439" t="s">
        <v>30</v>
      </c>
      <c r="H439" s="17"/>
      <c r="I439" s="68">
        <v>44708</v>
      </c>
      <c r="J439" s="3" t="s">
        <v>142</v>
      </c>
      <c r="K439" s="68" t="s">
        <v>204</v>
      </c>
      <c r="L439" s="59"/>
      <c r="M439"/>
      <c r="N439" s="88">
        <v>288.98</v>
      </c>
      <c r="O439" s="72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>
        <v>1.17</v>
      </c>
      <c r="AJ439">
        <v>50.15</v>
      </c>
      <c r="AK439" t="s">
        <v>172</v>
      </c>
      <c r="AL439"/>
      <c r="AM439"/>
      <c r="AN439">
        <v>126</v>
      </c>
      <c r="AO439"/>
      <c r="AP439"/>
      <c r="AQ439"/>
      <c r="AR439"/>
      <c r="AS439"/>
      <c r="AT439" t="s">
        <v>146</v>
      </c>
      <c r="AU439" t="s">
        <v>233</v>
      </c>
    </row>
    <row r="440" spans="1:47" x14ac:dyDescent="0.2">
      <c r="A440" s="29">
        <v>446.00000000000148</v>
      </c>
      <c r="B440" s="59">
        <v>375</v>
      </c>
      <c r="C440">
        <v>22.439</v>
      </c>
      <c r="D440" s="78" t="s">
        <v>168</v>
      </c>
      <c r="E440" s="9" t="s">
        <v>169</v>
      </c>
      <c r="F440" s="3" t="s">
        <v>170</v>
      </c>
      <c r="G440"/>
      <c r="H440" t="s">
        <v>30</v>
      </c>
      <c r="I440" s="68">
        <v>44710</v>
      </c>
      <c r="J440" s="3" t="s">
        <v>142</v>
      </c>
      <c r="K440" s="68" t="s">
        <v>204</v>
      </c>
      <c r="L440" s="59"/>
      <c r="M440"/>
      <c r="N440" s="88">
        <v>308.45</v>
      </c>
      <c r="O440" s="72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>
        <v>1.2549999999999999</v>
      </c>
      <c r="AJ440">
        <v>51.98</v>
      </c>
      <c r="AK440" t="s">
        <v>172</v>
      </c>
      <c r="AL440"/>
      <c r="AM440"/>
      <c r="AN440">
        <v>149</v>
      </c>
      <c r="AO440"/>
      <c r="AP440"/>
      <c r="AQ440"/>
      <c r="AR440"/>
      <c r="AS440"/>
      <c r="AT440" t="s">
        <v>146</v>
      </c>
      <c r="AU440" t="s">
        <v>233</v>
      </c>
    </row>
    <row r="441" spans="1:47" x14ac:dyDescent="0.2">
      <c r="A441" s="29">
        <v>446.9999999999992</v>
      </c>
      <c r="B441" s="59">
        <v>396</v>
      </c>
      <c r="C441" s="5" t="s">
        <v>20</v>
      </c>
      <c r="D441" s="78" t="s">
        <v>168</v>
      </c>
      <c r="E441" s="16" t="s">
        <v>169</v>
      </c>
      <c r="F441" s="3" t="s">
        <v>170</v>
      </c>
      <c r="G441" t="s">
        <v>30</v>
      </c>
      <c r="H441" s="16"/>
      <c r="I441" s="68">
        <v>44721</v>
      </c>
      <c r="J441" s="3" t="s">
        <v>142</v>
      </c>
      <c r="K441" s="68" t="s">
        <v>204</v>
      </c>
      <c r="L441" s="59"/>
      <c r="M441"/>
      <c r="N441" s="88">
        <v>314.69</v>
      </c>
      <c r="O441" s="72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>
        <v>1.2330000000000001</v>
      </c>
      <c r="AJ441">
        <v>54.14</v>
      </c>
      <c r="AK441" t="s">
        <v>172</v>
      </c>
      <c r="AL441"/>
      <c r="AM441"/>
      <c r="AN441">
        <v>144</v>
      </c>
      <c r="AO441"/>
      <c r="AP441"/>
      <c r="AQ441"/>
      <c r="AR441"/>
      <c r="AS441"/>
      <c r="AT441" t="s">
        <v>146</v>
      </c>
      <c r="AU441" t="s">
        <v>233</v>
      </c>
    </row>
    <row r="442" spans="1:47" x14ac:dyDescent="0.2">
      <c r="A442" s="29">
        <v>448.0000000000004</v>
      </c>
      <c r="B442" s="59">
        <v>350</v>
      </c>
      <c r="C442">
        <v>22.440999999999999</v>
      </c>
      <c r="D442" s="78" t="s">
        <v>168</v>
      </c>
      <c r="E442" s="16" t="s">
        <v>169</v>
      </c>
      <c r="F442" s="3" t="s">
        <v>170</v>
      </c>
      <c r="G442" t="s">
        <v>30</v>
      </c>
      <c r="H442" s="16"/>
      <c r="I442" s="68">
        <v>44685</v>
      </c>
      <c r="J442" s="3" t="s">
        <v>142</v>
      </c>
      <c r="K442" s="68" t="s">
        <v>204</v>
      </c>
      <c r="L442" s="59"/>
      <c r="M442"/>
      <c r="N442" s="88">
        <v>303.66000000000003</v>
      </c>
      <c r="O442" s="72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>
        <v>1.2110000000000001</v>
      </c>
      <c r="AJ442">
        <v>52.43</v>
      </c>
      <c r="AK442" t="s">
        <v>172</v>
      </c>
      <c r="AL442"/>
      <c r="AM442"/>
      <c r="AN442">
        <v>127</v>
      </c>
      <c r="AO442"/>
      <c r="AP442"/>
      <c r="AQ442"/>
      <c r="AR442"/>
      <c r="AS442"/>
      <c r="AT442" t="s">
        <v>146</v>
      </c>
      <c r="AU442" t="s">
        <v>233</v>
      </c>
    </row>
    <row r="443" spans="1:47" x14ac:dyDescent="0.2">
      <c r="A443" s="29">
        <v>449.00000000000159</v>
      </c>
      <c r="B443">
        <v>91</v>
      </c>
      <c r="C443">
        <v>22.442</v>
      </c>
      <c r="D443" s="31" t="s">
        <v>140</v>
      </c>
      <c r="E443" s="3" t="s">
        <v>141</v>
      </c>
      <c r="F443" s="17" t="s">
        <v>62</v>
      </c>
      <c r="H443" s="17" t="s">
        <v>62</v>
      </c>
      <c r="I443" s="82">
        <v>44717</v>
      </c>
      <c r="J443" s="3" t="s">
        <v>142</v>
      </c>
      <c r="K443" s="3" t="s">
        <v>166</v>
      </c>
      <c r="M443" s="17">
        <v>225.8</v>
      </c>
      <c r="N443" s="88">
        <v>228.6</v>
      </c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>
        <v>1.631</v>
      </c>
      <c r="AJ443"/>
      <c r="AK443"/>
      <c r="AL443" s="61"/>
      <c r="AM443"/>
      <c r="AN443"/>
      <c r="AO443">
        <v>8.8000000000000007</v>
      </c>
      <c r="AP443">
        <v>63.3</v>
      </c>
      <c r="AQ443">
        <v>108.8</v>
      </c>
      <c r="AR443">
        <v>43.6</v>
      </c>
      <c r="AS443">
        <v>18.600000000000001</v>
      </c>
      <c r="AT443"/>
      <c r="AU443"/>
    </row>
    <row r="444" spans="1:47" x14ac:dyDescent="0.2">
      <c r="A444" s="29">
        <v>449.99999999999932</v>
      </c>
      <c r="B444">
        <v>87</v>
      </c>
      <c r="C444">
        <v>22.443000000000001</v>
      </c>
      <c r="D444" s="31" t="s">
        <v>140</v>
      </c>
      <c r="E444" s="3" t="s">
        <v>141</v>
      </c>
      <c r="F444" s="17" t="s">
        <v>62</v>
      </c>
      <c r="H444" s="17" t="s">
        <v>62</v>
      </c>
      <c r="I444" s="82">
        <v>44704</v>
      </c>
      <c r="J444" s="3" t="s">
        <v>142</v>
      </c>
      <c r="K444" s="3" t="s">
        <v>166</v>
      </c>
      <c r="L444" s="3">
        <v>228.1</v>
      </c>
      <c r="M444" s="17"/>
      <c r="N444" s="92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>
        <v>1.5680000000000001</v>
      </c>
      <c r="AJ444"/>
      <c r="AK444"/>
      <c r="AL444"/>
      <c r="AM444"/>
      <c r="AN444"/>
      <c r="AO444">
        <v>15.5</v>
      </c>
      <c r="AP444" s="61"/>
      <c r="AQ444" s="61"/>
      <c r="AR444">
        <v>43.7</v>
      </c>
      <c r="AS444">
        <v>18.2</v>
      </c>
      <c r="AT444"/>
      <c r="AU444"/>
    </row>
    <row r="445" spans="1:47" x14ac:dyDescent="0.2">
      <c r="A445" s="29">
        <v>451.00000000000051</v>
      </c>
      <c r="B445">
        <v>97</v>
      </c>
      <c r="C445">
        <v>22.443999999999999</v>
      </c>
      <c r="D445" s="31" t="s">
        <v>140</v>
      </c>
      <c r="E445" s="3" t="s">
        <v>141</v>
      </c>
      <c r="F445" s="17" t="s">
        <v>62</v>
      </c>
      <c r="H445" s="17" t="s">
        <v>62</v>
      </c>
      <c r="I445" s="82">
        <v>44733</v>
      </c>
      <c r="J445" s="3" t="s">
        <v>142</v>
      </c>
      <c r="K445" s="3" t="s">
        <v>166</v>
      </c>
      <c r="M445" s="17">
        <v>244.9</v>
      </c>
      <c r="N445" s="88">
        <v>256.3</v>
      </c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>
        <v>1.4770000000000001</v>
      </c>
      <c r="AJ445"/>
      <c r="AK445"/>
      <c r="AL445">
        <v>15</v>
      </c>
      <c r="AM445"/>
      <c r="AN445"/>
      <c r="AO445">
        <v>9.5</v>
      </c>
      <c r="AP445">
        <v>66.5</v>
      </c>
      <c r="AQ445">
        <v>110.2</v>
      </c>
      <c r="AR445">
        <v>50.4</v>
      </c>
      <c r="AS445">
        <v>22.2</v>
      </c>
      <c r="AT445"/>
      <c r="AU445"/>
    </row>
    <row r="446" spans="1:47" x14ac:dyDescent="0.2">
      <c r="A446" s="29">
        <v>452.00000000000171</v>
      </c>
      <c r="B446">
        <v>296</v>
      </c>
      <c r="C446">
        <v>22.445</v>
      </c>
      <c r="D446" s="78" t="s">
        <v>168</v>
      </c>
      <c r="E446" s="3" t="s">
        <v>232</v>
      </c>
      <c r="F446" s="17" t="s">
        <v>31</v>
      </c>
      <c r="I446" s="68">
        <v>44624</v>
      </c>
      <c r="J446" s="3" t="s">
        <v>142</v>
      </c>
      <c r="K446" s="3" t="s">
        <v>166</v>
      </c>
      <c r="N446" s="3">
        <v>179.2</v>
      </c>
      <c r="O446">
        <v>158.37</v>
      </c>
      <c r="P446">
        <v>166.36</v>
      </c>
      <c r="Q446">
        <v>38.79</v>
      </c>
      <c r="R446">
        <v>12.66</v>
      </c>
      <c r="S446">
        <v>111.79</v>
      </c>
      <c r="T446">
        <v>90.5</v>
      </c>
      <c r="U446">
        <v>63.4</v>
      </c>
      <c r="V446">
        <v>47.77</v>
      </c>
      <c r="W446">
        <v>68.91</v>
      </c>
      <c r="X446">
        <v>76.47</v>
      </c>
      <c r="Y446">
        <v>36</v>
      </c>
      <c r="Z446">
        <v>88.31</v>
      </c>
      <c r="AA446">
        <v>70.97</v>
      </c>
      <c r="AB446">
        <v>66.72</v>
      </c>
      <c r="AC446">
        <v>20.64</v>
      </c>
      <c r="AD446">
        <v>44.84</v>
      </c>
      <c r="AE446">
        <v>26.52</v>
      </c>
      <c r="AF446">
        <v>37.89</v>
      </c>
      <c r="AG446">
        <v>30.54</v>
      </c>
      <c r="AH446">
        <v>34.119999999999997</v>
      </c>
      <c r="AI446" s="3">
        <v>1.5660000000000001</v>
      </c>
      <c r="AL446" s="3">
        <v>14</v>
      </c>
      <c r="AO446" s="3">
        <v>10.1</v>
      </c>
      <c r="AP446" s="3">
        <v>85.6</v>
      </c>
      <c r="AQ446" s="3">
        <v>20.100000000000001</v>
      </c>
      <c r="AR446" s="3">
        <v>46</v>
      </c>
      <c r="AS446" s="3">
        <v>19.8</v>
      </c>
      <c r="AT446" s="3" t="s">
        <v>147</v>
      </c>
      <c r="AU446" s="3" t="s">
        <v>147</v>
      </c>
    </row>
    <row r="447" spans="1:47" x14ac:dyDescent="0.2">
      <c r="A447" s="29">
        <v>452.99999999999943</v>
      </c>
      <c r="B447">
        <v>388</v>
      </c>
      <c r="C447">
        <v>22.446000000000002</v>
      </c>
      <c r="D447" s="78" t="s">
        <v>168</v>
      </c>
      <c r="E447" s="3" t="s">
        <v>232</v>
      </c>
      <c r="F447" s="17" t="s">
        <v>31</v>
      </c>
      <c r="I447" s="68">
        <v>44719</v>
      </c>
      <c r="J447" s="3" t="s">
        <v>142</v>
      </c>
      <c r="K447" s="3" t="s">
        <v>166</v>
      </c>
      <c r="N447" s="3">
        <v>185.1</v>
      </c>
      <c r="O447">
        <v>158.41</v>
      </c>
      <c r="P447">
        <v>170.97</v>
      </c>
      <c r="Q447">
        <v>43.15</v>
      </c>
      <c r="R447">
        <v>11.6</v>
      </c>
      <c r="S447">
        <v>107.89</v>
      </c>
      <c r="T447">
        <v>89.47</v>
      </c>
      <c r="U447">
        <v>61.48</v>
      </c>
      <c r="V447">
        <v>46.08</v>
      </c>
      <c r="W447">
        <v>66.66</v>
      </c>
      <c r="X447">
        <v>83.16</v>
      </c>
      <c r="Y447">
        <v>36.64</v>
      </c>
      <c r="Z447">
        <v>93.68</v>
      </c>
      <c r="AA447">
        <v>71.569999999999993</v>
      </c>
      <c r="AB447">
        <v>72.150000000000006</v>
      </c>
      <c r="AC447">
        <v>22.2</v>
      </c>
      <c r="AD447">
        <v>45.47</v>
      </c>
      <c r="AE447">
        <v>25.84</v>
      </c>
      <c r="AF447">
        <v>36.65</v>
      </c>
      <c r="AG447">
        <v>31.88</v>
      </c>
      <c r="AH447">
        <v>36.4</v>
      </c>
      <c r="AI447" s="3">
        <v>1.6839999999999999</v>
      </c>
      <c r="AL447" s="3">
        <v>14</v>
      </c>
      <c r="AO447" s="3">
        <v>8.8000000000000007</v>
      </c>
      <c r="AP447" s="3">
        <v>80.900000000000006</v>
      </c>
      <c r="AQ447" s="3">
        <v>33.4</v>
      </c>
      <c r="AR447" s="3">
        <v>42.7</v>
      </c>
      <c r="AS447" s="3">
        <v>18.2</v>
      </c>
      <c r="AT447" s="3" t="s">
        <v>147</v>
      </c>
      <c r="AU447" s="3" t="s">
        <v>147</v>
      </c>
    </row>
    <row r="448" spans="1:47" x14ac:dyDescent="0.2">
      <c r="A448" s="29">
        <v>454.00000000000063</v>
      </c>
      <c r="B448">
        <v>247</v>
      </c>
      <c r="C448">
        <v>22.446999999999999</v>
      </c>
      <c r="D448" s="78" t="s">
        <v>168</v>
      </c>
      <c r="E448" s="3" t="s">
        <v>169</v>
      </c>
      <c r="F448" s="17" t="s">
        <v>170</v>
      </c>
      <c r="H448" s="3" t="s">
        <v>234</v>
      </c>
      <c r="I448" s="93">
        <v>44547</v>
      </c>
      <c r="J448" s="3" t="s">
        <v>142</v>
      </c>
      <c r="K448" s="3" t="s">
        <v>166</v>
      </c>
      <c r="N448" s="3">
        <v>237.1</v>
      </c>
      <c r="O448">
        <v>166.11</v>
      </c>
      <c r="P448">
        <v>181.96</v>
      </c>
      <c r="Q448">
        <v>34.96</v>
      </c>
      <c r="R448">
        <v>15.27</v>
      </c>
      <c r="S448">
        <v>123.59</v>
      </c>
      <c r="T448">
        <v>93.93</v>
      </c>
      <c r="U448">
        <v>71.14</v>
      </c>
      <c r="V448">
        <v>55.63</v>
      </c>
      <c r="W448">
        <v>74.7</v>
      </c>
      <c r="X448">
        <v>87.54</v>
      </c>
      <c r="Y448">
        <v>41.69</v>
      </c>
      <c r="Z448">
        <v>97.1</v>
      </c>
      <c r="AA448">
        <v>81.06</v>
      </c>
      <c r="AB448">
        <v>82.17</v>
      </c>
      <c r="AC448">
        <v>25.52</v>
      </c>
      <c r="AD448">
        <v>49.17</v>
      </c>
      <c r="AE448">
        <v>28.29</v>
      </c>
      <c r="AF448">
        <v>39.79</v>
      </c>
      <c r="AG448">
        <v>34.4</v>
      </c>
      <c r="AH448">
        <v>41.53</v>
      </c>
      <c r="AI448" s="3">
        <v>1.6719999999999999</v>
      </c>
      <c r="AO448" s="3">
        <v>8.6999999999999993</v>
      </c>
      <c r="AP448" s="3">
        <v>78.900000000000006</v>
      </c>
      <c r="AQ448" s="3">
        <v>94.2</v>
      </c>
      <c r="AR448" s="3">
        <v>51</v>
      </c>
      <c r="AS448" s="3">
        <v>21.9</v>
      </c>
      <c r="AT448" s="3" t="s">
        <v>147</v>
      </c>
      <c r="AU448" s="3" t="s">
        <v>147</v>
      </c>
    </row>
    <row r="449" spans="1:48" x14ac:dyDescent="0.2">
      <c r="A449" s="29">
        <v>454.99999999999829</v>
      </c>
      <c r="B449">
        <v>269</v>
      </c>
      <c r="C449">
        <v>22.448</v>
      </c>
      <c r="D449" s="78" t="s">
        <v>168</v>
      </c>
      <c r="E449" s="3" t="s">
        <v>169</v>
      </c>
      <c r="F449" s="17" t="s">
        <v>170</v>
      </c>
      <c r="H449" s="3" t="s">
        <v>234</v>
      </c>
      <c r="I449" s="93">
        <v>44547</v>
      </c>
      <c r="J449" s="3" t="s">
        <v>142</v>
      </c>
      <c r="K449" s="3" t="s">
        <v>166</v>
      </c>
      <c r="N449" s="3">
        <v>229.9</v>
      </c>
      <c r="O449">
        <v>161.63999999999999</v>
      </c>
      <c r="P449">
        <v>168.44</v>
      </c>
      <c r="Q449">
        <v>32.049999999999997</v>
      </c>
      <c r="R449">
        <v>8.2899999999999991</v>
      </c>
      <c r="S449">
        <v>121.87</v>
      </c>
      <c r="T449">
        <v>94.42</v>
      </c>
      <c r="U449">
        <v>75.48</v>
      </c>
      <c r="V449">
        <v>56.32</v>
      </c>
      <c r="W449">
        <v>75.64</v>
      </c>
      <c r="X449">
        <v>87.97</v>
      </c>
      <c r="Y449">
        <v>43.03</v>
      </c>
      <c r="Z449">
        <v>97.51</v>
      </c>
      <c r="AA449">
        <v>83.3</v>
      </c>
      <c r="AB449">
        <v>82.05</v>
      </c>
      <c r="AC449">
        <v>20.77</v>
      </c>
      <c r="AD449">
        <v>48.25</v>
      </c>
      <c r="AE449">
        <v>27.44</v>
      </c>
      <c r="AF449">
        <v>43.46</v>
      </c>
      <c r="AG449">
        <v>29.48</v>
      </c>
      <c r="AH449">
        <v>43.14</v>
      </c>
      <c r="AI449" s="3">
        <v>1.5329999999999999</v>
      </c>
      <c r="AL449" s="3">
        <v>42</v>
      </c>
      <c r="AO449" s="3">
        <v>8.3000000000000007</v>
      </c>
      <c r="AP449" s="3">
        <v>73.8</v>
      </c>
      <c r="AQ449" s="3">
        <v>50</v>
      </c>
      <c r="AR449" s="3">
        <v>51</v>
      </c>
      <c r="AS449" s="3">
        <v>22.1</v>
      </c>
      <c r="AT449" s="3" t="s">
        <v>147</v>
      </c>
      <c r="AU449" s="3" t="s">
        <v>147</v>
      </c>
    </row>
    <row r="450" spans="1:48" x14ac:dyDescent="0.2">
      <c r="A450" s="29">
        <v>455.99999999999955</v>
      </c>
      <c r="B450">
        <v>363</v>
      </c>
      <c r="C450">
        <v>22.449000000000002</v>
      </c>
      <c r="D450" s="78" t="s">
        <v>168</v>
      </c>
      <c r="E450" s="3" t="s">
        <v>232</v>
      </c>
      <c r="F450" s="17" t="s">
        <v>31</v>
      </c>
      <c r="G450" s="17" t="s">
        <v>31</v>
      </c>
      <c r="I450" s="68">
        <v>44699</v>
      </c>
      <c r="J450" s="3" t="s">
        <v>142</v>
      </c>
      <c r="K450" s="3" t="s">
        <v>166</v>
      </c>
      <c r="N450" s="3">
        <v>184.3</v>
      </c>
      <c r="O450">
        <v>161.5</v>
      </c>
      <c r="P450">
        <v>170.57</v>
      </c>
      <c r="Q450">
        <v>40.18</v>
      </c>
      <c r="R450">
        <v>12.34</v>
      </c>
      <c r="S450">
        <v>109.41</v>
      </c>
      <c r="T450">
        <v>90.38</v>
      </c>
      <c r="U450">
        <v>66.33</v>
      </c>
      <c r="V450">
        <v>49.24</v>
      </c>
      <c r="W450">
        <v>67.83</v>
      </c>
      <c r="X450">
        <v>78.58</v>
      </c>
      <c r="Y450">
        <v>37.01</v>
      </c>
      <c r="Z450">
        <v>90.12</v>
      </c>
      <c r="AA450">
        <v>68.64</v>
      </c>
      <c r="AB450">
        <v>74.23</v>
      </c>
      <c r="AC450">
        <v>21.67</v>
      </c>
      <c r="AD450">
        <v>46.5</v>
      </c>
      <c r="AE450">
        <v>28.42</v>
      </c>
      <c r="AF450">
        <v>39.29</v>
      </c>
      <c r="AG450">
        <v>33.380000000000003</v>
      </c>
      <c r="AH450">
        <v>37.26</v>
      </c>
      <c r="AI450" s="3">
        <v>1.4319999999999999</v>
      </c>
      <c r="AL450" s="3">
        <v>12</v>
      </c>
      <c r="AO450" s="3">
        <v>7.2</v>
      </c>
      <c r="AP450" s="3">
        <v>73.2</v>
      </c>
      <c r="AQ450" s="3">
        <v>46.7</v>
      </c>
      <c r="AR450" s="3">
        <v>41.5</v>
      </c>
      <c r="AS450" s="3">
        <v>17.600000000000001</v>
      </c>
      <c r="AT450" s="3" t="s">
        <v>147</v>
      </c>
      <c r="AU450" s="3" t="s">
        <v>147</v>
      </c>
    </row>
    <row r="451" spans="1:48" x14ac:dyDescent="0.2">
      <c r="A451" s="29">
        <v>457.00000000000074</v>
      </c>
      <c r="B451">
        <v>261</v>
      </c>
      <c r="C451" s="5" t="s">
        <v>274</v>
      </c>
      <c r="D451" s="78" t="s">
        <v>168</v>
      </c>
      <c r="E451" s="3" t="s">
        <v>169</v>
      </c>
      <c r="F451" s="17" t="s">
        <v>170</v>
      </c>
      <c r="G451" s="3" t="s">
        <v>29</v>
      </c>
      <c r="I451" s="93">
        <v>44539</v>
      </c>
      <c r="J451" s="3" t="s">
        <v>142</v>
      </c>
      <c r="K451" s="3" t="s">
        <v>166</v>
      </c>
      <c r="N451" s="3">
        <v>241.7</v>
      </c>
      <c r="O451">
        <v>166.54</v>
      </c>
      <c r="P451">
        <v>178.87</v>
      </c>
      <c r="Q451">
        <v>31.73</v>
      </c>
      <c r="R451">
        <v>16.559999999999999</v>
      </c>
      <c r="S451">
        <v>120.95</v>
      </c>
      <c r="T451">
        <v>95.47</v>
      </c>
      <c r="U451">
        <v>72.13</v>
      </c>
      <c r="V451">
        <v>55.51</v>
      </c>
      <c r="W451">
        <v>72.98</v>
      </c>
      <c r="X451">
        <v>86.38</v>
      </c>
      <c r="Y451">
        <v>42.95</v>
      </c>
      <c r="Z451">
        <v>98.89</v>
      </c>
      <c r="AA451">
        <v>82.67</v>
      </c>
      <c r="AB451">
        <v>84.62</v>
      </c>
      <c r="AC451">
        <v>29.09</v>
      </c>
      <c r="AD451">
        <v>48.61</v>
      </c>
      <c r="AE451">
        <v>30.49</v>
      </c>
      <c r="AF451">
        <v>38.49</v>
      </c>
      <c r="AG451">
        <v>35.43</v>
      </c>
      <c r="AH451">
        <v>40.840000000000003</v>
      </c>
      <c r="AI451" s="3">
        <v>1.4790000000000001</v>
      </c>
      <c r="AL451" s="3">
        <v>41</v>
      </c>
      <c r="AO451" s="3">
        <v>8</v>
      </c>
      <c r="AP451" s="3">
        <v>80.2</v>
      </c>
      <c r="AQ451" s="3">
        <v>57.9</v>
      </c>
      <c r="AR451" s="3">
        <v>50.3</v>
      </c>
      <c r="AS451" s="3">
        <v>21.8</v>
      </c>
      <c r="AT451" s="3" t="s">
        <v>147</v>
      </c>
      <c r="AU451" s="3" t="s">
        <v>147</v>
      </c>
    </row>
    <row r="452" spans="1:48" x14ac:dyDescent="0.2">
      <c r="A452" s="29">
        <v>457.99999999999841</v>
      </c>
      <c r="B452">
        <v>314</v>
      </c>
      <c r="C452">
        <v>22.451000000000001</v>
      </c>
      <c r="D452" s="78" t="s">
        <v>168</v>
      </c>
      <c r="E452" s="3" t="s">
        <v>232</v>
      </c>
      <c r="F452" s="17" t="s">
        <v>31</v>
      </c>
      <c r="G452" s="17" t="s">
        <v>31</v>
      </c>
      <c r="I452" s="68">
        <v>44647</v>
      </c>
      <c r="J452" s="3" t="s">
        <v>142</v>
      </c>
      <c r="K452" s="3" t="s">
        <v>166</v>
      </c>
      <c r="N452" s="3">
        <v>165.9</v>
      </c>
      <c r="O452">
        <v>153.65</v>
      </c>
      <c r="P452">
        <v>165.13</v>
      </c>
      <c r="Q452">
        <v>37.53</v>
      </c>
      <c r="R452">
        <v>13.03</v>
      </c>
      <c r="S452">
        <v>106.28</v>
      </c>
      <c r="T452">
        <v>84.57</v>
      </c>
      <c r="U452">
        <v>64.47</v>
      </c>
      <c r="V452">
        <v>47.25</v>
      </c>
      <c r="W452">
        <v>68.44</v>
      </c>
      <c r="X452">
        <v>79.8</v>
      </c>
      <c r="Y452">
        <v>38.15</v>
      </c>
      <c r="Z452">
        <v>88.7</v>
      </c>
      <c r="AA452">
        <v>70.150000000000006</v>
      </c>
      <c r="AB452">
        <v>69.260000000000005</v>
      </c>
      <c r="AC452">
        <v>20.54</v>
      </c>
      <c r="AD452">
        <v>43.52</v>
      </c>
      <c r="AE452">
        <v>32.14</v>
      </c>
      <c r="AF452">
        <v>36.35</v>
      </c>
      <c r="AG452">
        <v>37.159999999999997</v>
      </c>
      <c r="AH452">
        <v>34.630000000000003</v>
      </c>
      <c r="AI452" s="3">
        <v>1.4490000000000001</v>
      </c>
      <c r="AL452" s="3">
        <v>5</v>
      </c>
      <c r="AO452" s="3">
        <v>8.3000000000000007</v>
      </c>
      <c r="AP452" s="3">
        <v>89.6</v>
      </c>
      <c r="AQ452" s="3">
        <v>19.899999999999999</v>
      </c>
      <c r="AR452" s="3">
        <v>40</v>
      </c>
      <c r="AS452" s="3">
        <v>17.2</v>
      </c>
      <c r="AT452" s="3" t="s">
        <v>147</v>
      </c>
      <c r="AU452" s="3" t="s">
        <v>147</v>
      </c>
    </row>
    <row r="453" spans="1:48" x14ac:dyDescent="0.2">
      <c r="A453" s="29">
        <v>458.99999999999966</v>
      </c>
      <c r="B453">
        <v>263</v>
      </c>
      <c r="C453">
        <v>22.452000000000002</v>
      </c>
      <c r="D453" s="78" t="s">
        <v>168</v>
      </c>
      <c r="E453" s="3" t="s">
        <v>169</v>
      </c>
      <c r="F453" s="17" t="s">
        <v>170</v>
      </c>
      <c r="G453" s="3" t="s">
        <v>29</v>
      </c>
      <c r="I453" s="93">
        <v>44539</v>
      </c>
      <c r="J453" s="3" t="s">
        <v>142</v>
      </c>
      <c r="K453" s="3" t="s">
        <v>166</v>
      </c>
      <c r="N453" s="3">
        <v>268.2</v>
      </c>
      <c r="O453">
        <v>172.79</v>
      </c>
      <c r="P453">
        <v>183.01</v>
      </c>
      <c r="Q453">
        <v>33.380000000000003</v>
      </c>
      <c r="R453">
        <v>17.88</v>
      </c>
      <c r="S453">
        <v>126.15</v>
      </c>
      <c r="T453">
        <v>95.55</v>
      </c>
      <c r="U453">
        <v>73.84</v>
      </c>
      <c r="V453">
        <v>53.69</v>
      </c>
      <c r="W453">
        <v>74.61</v>
      </c>
      <c r="X453">
        <v>91.32</v>
      </c>
      <c r="Y453">
        <v>45.93</v>
      </c>
      <c r="Z453">
        <v>99.86</v>
      </c>
      <c r="AA453">
        <v>84.44</v>
      </c>
      <c r="AB453">
        <v>81.75</v>
      </c>
      <c r="AC453">
        <v>24.96</v>
      </c>
      <c r="AD453">
        <v>51.43</v>
      </c>
      <c r="AE453">
        <v>32.5</v>
      </c>
      <c r="AF453">
        <v>43.78</v>
      </c>
      <c r="AG453">
        <v>34.22</v>
      </c>
      <c r="AH453">
        <v>45.79</v>
      </c>
      <c r="AI453" s="3">
        <v>1.7509999999999999</v>
      </c>
      <c r="AL453" s="3">
        <v>53</v>
      </c>
      <c r="AO453" s="3">
        <v>9</v>
      </c>
      <c r="AP453" s="3">
        <v>85.4</v>
      </c>
      <c r="AQ453" s="3">
        <v>59.5</v>
      </c>
      <c r="AR453" s="3">
        <v>56.6</v>
      </c>
      <c r="AS453" s="3">
        <v>24.9</v>
      </c>
      <c r="AT453" s="3" t="s">
        <v>147</v>
      </c>
      <c r="AU453" s="3" t="s">
        <v>147</v>
      </c>
    </row>
    <row r="454" spans="1:48" x14ac:dyDescent="0.2">
      <c r="A454" s="29">
        <v>460.00000000000085</v>
      </c>
      <c r="B454">
        <v>262</v>
      </c>
      <c r="C454">
        <v>22.452999999999999</v>
      </c>
      <c r="D454" s="78" t="s">
        <v>168</v>
      </c>
      <c r="E454" s="3" t="s">
        <v>169</v>
      </c>
      <c r="F454" s="17" t="s">
        <v>170</v>
      </c>
      <c r="G454" s="3" t="s">
        <v>29</v>
      </c>
      <c r="I454" s="93">
        <v>44539</v>
      </c>
      <c r="J454" s="3" t="s">
        <v>142</v>
      </c>
      <c r="K454" s="3" t="s">
        <v>166</v>
      </c>
      <c r="N454" s="3">
        <v>246.6</v>
      </c>
      <c r="O454">
        <v>160.43</v>
      </c>
      <c r="P454">
        <v>174.47</v>
      </c>
      <c r="Q454">
        <v>33.61</v>
      </c>
      <c r="R454">
        <v>14.17</v>
      </c>
      <c r="S454">
        <v>117.91</v>
      </c>
      <c r="T454">
        <v>91.3</v>
      </c>
      <c r="U454">
        <v>73.12</v>
      </c>
      <c r="V454">
        <v>56.63</v>
      </c>
      <c r="W454">
        <v>75.209999999999994</v>
      </c>
      <c r="X454">
        <v>88.29</v>
      </c>
      <c r="Y454">
        <v>47.68</v>
      </c>
      <c r="Z454">
        <v>100.7</v>
      </c>
      <c r="AA454">
        <v>83.7</v>
      </c>
      <c r="AB454">
        <v>81.91</v>
      </c>
      <c r="AC454">
        <v>23.54</v>
      </c>
      <c r="AD454">
        <v>48.54</v>
      </c>
      <c r="AE454">
        <v>26.7</v>
      </c>
      <c r="AF454">
        <v>41.85</v>
      </c>
      <c r="AG454">
        <v>30.38</v>
      </c>
      <c r="AH454">
        <v>46.15</v>
      </c>
      <c r="AI454" s="3">
        <v>1.7549999999999999</v>
      </c>
      <c r="AL454" s="3">
        <v>39</v>
      </c>
      <c r="AO454" s="3">
        <v>9.6999999999999993</v>
      </c>
      <c r="AP454" s="3">
        <v>76.5</v>
      </c>
      <c r="AQ454" s="3">
        <v>64.8</v>
      </c>
      <c r="AR454" s="3">
        <v>52.8</v>
      </c>
      <c r="AS454" s="3">
        <v>23</v>
      </c>
      <c r="AT454" s="3" t="s">
        <v>147</v>
      </c>
      <c r="AU454" s="3" t="s">
        <v>147</v>
      </c>
    </row>
    <row r="455" spans="1:48" x14ac:dyDescent="0.2">
      <c r="A455" s="29">
        <v>460.99999999999852</v>
      </c>
      <c r="B455">
        <v>358</v>
      </c>
      <c r="C455">
        <v>22.454000000000001</v>
      </c>
      <c r="D455" s="78" t="s">
        <v>168</v>
      </c>
      <c r="E455" s="3" t="s">
        <v>232</v>
      </c>
      <c r="F455" s="17" t="s">
        <v>31</v>
      </c>
      <c r="G455" s="17" t="s">
        <v>31</v>
      </c>
      <c r="I455" s="68">
        <v>44686</v>
      </c>
      <c r="J455" s="3" t="s">
        <v>142</v>
      </c>
      <c r="K455" s="3" t="s">
        <v>166</v>
      </c>
      <c r="N455" s="3">
        <v>182.6</v>
      </c>
      <c r="O455">
        <v>164.86</v>
      </c>
      <c r="P455">
        <v>170.82</v>
      </c>
      <c r="Q455">
        <v>40.68</v>
      </c>
      <c r="R455">
        <v>13.6</v>
      </c>
      <c r="S455">
        <v>110.16</v>
      </c>
      <c r="T455">
        <v>90.7</v>
      </c>
      <c r="U455">
        <v>64.19</v>
      </c>
      <c r="V455">
        <v>48.73</v>
      </c>
      <c r="W455">
        <v>66.66</v>
      </c>
      <c r="X455">
        <v>83.54</v>
      </c>
      <c r="Y455">
        <v>37.33</v>
      </c>
      <c r="Z455">
        <v>93.33</v>
      </c>
      <c r="AA455">
        <v>71.58</v>
      </c>
      <c r="AB455">
        <v>73.349999999999994</v>
      </c>
      <c r="AC455">
        <v>21.1</v>
      </c>
      <c r="AD455">
        <v>44.66</v>
      </c>
      <c r="AE455">
        <v>28.84</v>
      </c>
      <c r="AF455">
        <v>39.340000000000003</v>
      </c>
      <c r="AG455">
        <v>29.67</v>
      </c>
      <c r="AH455">
        <v>33.229999999999997</v>
      </c>
      <c r="AI455" s="3">
        <v>1.4019999999999999</v>
      </c>
      <c r="AL455" s="3">
        <v>11</v>
      </c>
      <c r="AO455" s="3">
        <v>7.6</v>
      </c>
      <c r="AP455" s="3">
        <v>71</v>
      </c>
      <c r="AQ455" s="3">
        <v>49.4</v>
      </c>
      <c r="AR455" s="3">
        <v>40.4</v>
      </c>
      <c r="AS455" s="3">
        <v>17.2</v>
      </c>
      <c r="AT455" s="3" t="s">
        <v>147</v>
      </c>
      <c r="AU455" s="3" t="s">
        <v>147</v>
      </c>
    </row>
    <row r="456" spans="1:48" x14ac:dyDescent="0.2">
      <c r="A456" s="29">
        <v>461.99999999999977</v>
      </c>
      <c r="B456">
        <v>408</v>
      </c>
      <c r="C456">
        <v>22.454999999999998</v>
      </c>
      <c r="D456" s="78" t="s">
        <v>168</v>
      </c>
      <c r="E456" s="3" t="s">
        <v>232</v>
      </c>
      <c r="F456" s="17" t="s">
        <v>31</v>
      </c>
      <c r="G456" s="17" t="s">
        <v>31</v>
      </c>
      <c r="I456" s="68">
        <v>44747</v>
      </c>
      <c r="J456" s="3" t="s">
        <v>142</v>
      </c>
      <c r="K456" s="3" t="s">
        <v>166</v>
      </c>
      <c r="N456" s="3">
        <v>145.5</v>
      </c>
      <c r="O456">
        <v>142.65</v>
      </c>
      <c r="P456">
        <v>154.46</v>
      </c>
      <c r="Q456">
        <v>36.01</v>
      </c>
      <c r="R456">
        <v>11.24</v>
      </c>
      <c r="S456">
        <v>96.91</v>
      </c>
      <c r="T456">
        <v>80.290000000000006</v>
      </c>
      <c r="U456">
        <v>61.11</v>
      </c>
      <c r="V456">
        <v>50.24</v>
      </c>
      <c r="W456">
        <v>65.94</v>
      </c>
      <c r="X456">
        <v>79.66</v>
      </c>
      <c r="Y456">
        <v>34.92</v>
      </c>
      <c r="Z456">
        <v>90.41</v>
      </c>
      <c r="AA456">
        <v>69.58</v>
      </c>
      <c r="AB456">
        <v>69.09</v>
      </c>
      <c r="AC456">
        <v>27.7</v>
      </c>
      <c r="AD456">
        <v>41.47</v>
      </c>
      <c r="AE456">
        <v>25.96</v>
      </c>
      <c r="AF456">
        <v>29.55</v>
      </c>
      <c r="AG456">
        <v>29.35</v>
      </c>
      <c r="AH456">
        <v>28.34</v>
      </c>
      <c r="AI456" s="3">
        <v>1.3460000000000001</v>
      </c>
      <c r="AL456" s="3">
        <v>3</v>
      </c>
      <c r="AO456" s="3">
        <v>6.9</v>
      </c>
      <c r="AP456" s="3">
        <v>69.2</v>
      </c>
      <c r="AQ456" s="3">
        <v>30.4</v>
      </c>
      <c r="AR456" s="3">
        <v>32.9</v>
      </c>
      <c r="AS456" s="3">
        <v>14.1</v>
      </c>
      <c r="AT456" s="3" t="s">
        <v>147</v>
      </c>
      <c r="AU456" s="3" t="s">
        <v>147</v>
      </c>
    </row>
    <row r="457" spans="1:48" x14ac:dyDescent="0.2">
      <c r="A457" s="29">
        <v>463.00000000000097</v>
      </c>
      <c r="B457">
        <v>401</v>
      </c>
      <c r="C457">
        <v>22.456</v>
      </c>
      <c r="D457" s="78" t="s">
        <v>168</v>
      </c>
      <c r="E457" s="3" t="s">
        <v>232</v>
      </c>
      <c r="F457" s="17" t="s">
        <v>31</v>
      </c>
      <c r="G457" s="17" t="s">
        <v>31</v>
      </c>
      <c r="I457" s="68">
        <v>44735</v>
      </c>
      <c r="J457" s="3" t="s">
        <v>142</v>
      </c>
      <c r="K457" s="3" t="s">
        <v>166</v>
      </c>
      <c r="N457" s="3">
        <v>178.6</v>
      </c>
      <c r="O457">
        <v>162.51</v>
      </c>
      <c r="P457">
        <v>171.68</v>
      </c>
      <c r="Q457">
        <v>41.9</v>
      </c>
      <c r="R457">
        <v>12.29</v>
      </c>
      <c r="S457">
        <v>110.66</v>
      </c>
      <c r="T457">
        <v>91.13</v>
      </c>
      <c r="U457">
        <v>66.45</v>
      </c>
      <c r="V457">
        <v>47.53</v>
      </c>
      <c r="W457">
        <v>69.31</v>
      </c>
      <c r="X457">
        <v>82.28</v>
      </c>
      <c r="Y457">
        <v>34.9</v>
      </c>
      <c r="Z457">
        <v>92.28</v>
      </c>
      <c r="AA457">
        <v>72.040000000000006</v>
      </c>
      <c r="AB457">
        <v>72.52</v>
      </c>
      <c r="AC457">
        <v>21.44</v>
      </c>
      <c r="AD457">
        <v>45.13</v>
      </c>
      <c r="AE457">
        <v>30.66</v>
      </c>
      <c r="AF457">
        <v>39.75</v>
      </c>
      <c r="AG457">
        <v>33.43</v>
      </c>
      <c r="AH457">
        <v>41.79</v>
      </c>
      <c r="AI457" s="3">
        <v>1.589</v>
      </c>
      <c r="AL457" s="3">
        <v>15</v>
      </c>
      <c r="AO457" s="3">
        <v>7.2</v>
      </c>
      <c r="AP457" s="3">
        <v>74.599999999999994</v>
      </c>
      <c r="AQ457" s="3">
        <v>37.9</v>
      </c>
      <c r="AR457" s="3">
        <v>40</v>
      </c>
      <c r="AS457" s="3">
        <v>17.5</v>
      </c>
      <c r="AT457" s="3" t="s">
        <v>147</v>
      </c>
      <c r="AU457" s="3" t="s">
        <v>147</v>
      </c>
    </row>
    <row r="458" spans="1:48" x14ac:dyDescent="0.2">
      <c r="A458" s="29">
        <v>463.99999999999864</v>
      </c>
      <c r="B458">
        <v>337</v>
      </c>
      <c r="C458">
        <v>22.457000000000001</v>
      </c>
      <c r="D458" s="78" t="s">
        <v>168</v>
      </c>
      <c r="E458" s="3" t="s">
        <v>232</v>
      </c>
      <c r="F458" s="17" t="s">
        <v>31</v>
      </c>
      <c r="G458" s="17" t="s">
        <v>31</v>
      </c>
      <c r="I458" s="94"/>
      <c r="J458" s="3" t="s">
        <v>142</v>
      </c>
      <c r="K458" s="3" t="s">
        <v>166</v>
      </c>
      <c r="N458" s="3">
        <v>199.1</v>
      </c>
      <c r="O458">
        <v>166.45</v>
      </c>
      <c r="P458">
        <v>179.03</v>
      </c>
      <c r="Q458">
        <v>41.22</v>
      </c>
      <c r="R458">
        <v>13.73</v>
      </c>
      <c r="S458">
        <v>116.26</v>
      </c>
      <c r="T458">
        <v>93.69</v>
      </c>
      <c r="U458">
        <v>68.63</v>
      </c>
      <c r="V458">
        <v>47.92</v>
      </c>
      <c r="W458">
        <v>71.819999999999993</v>
      </c>
      <c r="X458">
        <v>83.08</v>
      </c>
      <c r="Y458">
        <v>37.19</v>
      </c>
      <c r="Z458">
        <v>93.53</v>
      </c>
      <c r="AA458">
        <v>72.45</v>
      </c>
      <c r="AB458">
        <v>75.819999999999993</v>
      </c>
      <c r="AC458">
        <v>17.510000000000002</v>
      </c>
      <c r="AD458">
        <v>45.66</v>
      </c>
      <c r="AE458">
        <v>31.24</v>
      </c>
      <c r="AF458">
        <v>38.590000000000003</v>
      </c>
      <c r="AG458">
        <v>39.64</v>
      </c>
      <c r="AH458">
        <v>38.21</v>
      </c>
      <c r="AI458" s="3">
        <v>1.698</v>
      </c>
      <c r="AL458" s="3">
        <v>15</v>
      </c>
      <c r="AO458" s="3">
        <v>7.8</v>
      </c>
      <c r="AP458" s="3">
        <v>76.400000000000006</v>
      </c>
      <c r="AQ458" s="3">
        <v>45.7</v>
      </c>
      <c r="AR458" s="3">
        <v>49.5</v>
      </c>
      <c r="AS458" s="3">
        <v>21.3</v>
      </c>
      <c r="AT458" s="3" t="s">
        <v>147</v>
      </c>
      <c r="AU458" s="3" t="s">
        <v>147</v>
      </c>
    </row>
    <row r="459" spans="1:48" x14ac:dyDescent="0.2">
      <c r="A459" s="29">
        <v>464.99999999999989</v>
      </c>
      <c r="B459">
        <v>240</v>
      </c>
      <c r="C459">
        <v>22.457999999999998</v>
      </c>
      <c r="D459" s="78" t="s">
        <v>168</v>
      </c>
      <c r="E459" s="3" t="s">
        <v>232</v>
      </c>
      <c r="H459" s="3" t="s">
        <v>275</v>
      </c>
      <c r="I459" s="93">
        <v>44529</v>
      </c>
      <c r="J459" s="3" t="s">
        <v>142</v>
      </c>
      <c r="K459" s="3" t="s">
        <v>276</v>
      </c>
      <c r="N459" s="3">
        <v>226.7</v>
      </c>
      <c r="O459">
        <v>197.09</v>
      </c>
      <c r="P459">
        <v>200.88</v>
      </c>
      <c r="Q459">
        <v>43.82</v>
      </c>
      <c r="R459">
        <v>25.03</v>
      </c>
      <c r="S459">
        <v>128.81</v>
      </c>
      <c r="T459">
        <v>98.82</v>
      </c>
      <c r="U459">
        <v>72.7</v>
      </c>
      <c r="V459">
        <v>48.92</v>
      </c>
      <c r="W459">
        <v>75.19</v>
      </c>
      <c r="X459">
        <v>97.58</v>
      </c>
      <c r="Y459">
        <v>40.32</v>
      </c>
      <c r="Z459">
        <v>101.15</v>
      </c>
      <c r="AA459">
        <v>78.42</v>
      </c>
      <c r="AB459">
        <v>77.459999999999994</v>
      </c>
      <c r="AC459">
        <v>8.8699999999999992</v>
      </c>
      <c r="AD459">
        <v>45.45</v>
      </c>
      <c r="AE459">
        <v>34.35</v>
      </c>
      <c r="AF459">
        <v>45.28</v>
      </c>
      <c r="AG459">
        <v>41.36</v>
      </c>
      <c r="AH459">
        <v>46.78</v>
      </c>
      <c r="AI459" s="3">
        <v>1.194</v>
      </c>
      <c r="AO459" s="3">
        <v>10.1</v>
      </c>
      <c r="AP459" s="3">
        <v>44</v>
      </c>
      <c r="AR459" s="3">
        <v>41.5</v>
      </c>
      <c r="AS459" s="3">
        <v>17.899999999999999</v>
      </c>
      <c r="AT459" s="3" t="s">
        <v>147</v>
      </c>
      <c r="AU459" s="3" t="s">
        <v>147</v>
      </c>
    </row>
    <row r="460" spans="1:48" x14ac:dyDescent="0.2">
      <c r="A460" s="29">
        <v>466.00000000000108</v>
      </c>
      <c r="B460">
        <v>241</v>
      </c>
      <c r="C460">
        <v>22.459</v>
      </c>
      <c r="D460" s="78" t="s">
        <v>168</v>
      </c>
      <c r="E460" s="3" t="s">
        <v>232</v>
      </c>
      <c r="F460" s="3" t="s">
        <v>251</v>
      </c>
      <c r="G460" s="3" t="s">
        <v>32</v>
      </c>
      <c r="I460" s="93">
        <v>44532</v>
      </c>
      <c r="J460" s="3" t="s">
        <v>142</v>
      </c>
      <c r="K460" s="3" t="s">
        <v>166</v>
      </c>
      <c r="N460" s="3">
        <v>222.6</v>
      </c>
      <c r="O460">
        <v>200.96</v>
      </c>
      <c r="P460">
        <v>206.41</v>
      </c>
      <c r="Q460">
        <v>44.71</v>
      </c>
      <c r="R460">
        <v>25.79</v>
      </c>
      <c r="S460">
        <v>130.4</v>
      </c>
      <c r="T460">
        <v>101.17</v>
      </c>
      <c r="U460">
        <v>69.31</v>
      </c>
      <c r="V460">
        <v>49.27</v>
      </c>
      <c r="W460">
        <v>73.260000000000005</v>
      </c>
      <c r="X460">
        <v>96.73</v>
      </c>
      <c r="Y460">
        <v>42.74</v>
      </c>
      <c r="Z460">
        <v>103</v>
      </c>
      <c r="AA460">
        <v>81.459999999999994</v>
      </c>
      <c r="AB460">
        <v>76.55</v>
      </c>
      <c r="AC460">
        <v>12.09</v>
      </c>
      <c r="AD460">
        <v>41.06</v>
      </c>
      <c r="AE460">
        <v>33.630000000000003</v>
      </c>
      <c r="AF460">
        <v>46.28</v>
      </c>
      <c r="AG460">
        <v>37.44</v>
      </c>
      <c r="AH460">
        <v>46.59</v>
      </c>
      <c r="AI460" s="3">
        <v>1.3049999999999999</v>
      </c>
      <c r="AL460" s="3">
        <v>18.5</v>
      </c>
      <c r="AO460" s="3">
        <v>10.6</v>
      </c>
      <c r="AP460" s="3">
        <v>82.2</v>
      </c>
      <c r="AQ460" s="3">
        <v>64.2</v>
      </c>
      <c r="AR460" s="3">
        <v>44.7</v>
      </c>
      <c r="AS460" s="3">
        <v>19</v>
      </c>
      <c r="AT460" s="3" t="s">
        <v>147</v>
      </c>
      <c r="AU460" s="3" t="s">
        <v>147</v>
      </c>
    </row>
    <row r="461" spans="1:48" x14ac:dyDescent="0.2">
      <c r="A461" s="29">
        <v>466.99999999999875</v>
      </c>
      <c r="B461">
        <v>264</v>
      </c>
      <c r="C461" s="5" t="s">
        <v>277</v>
      </c>
      <c r="D461" s="78" t="s">
        <v>168</v>
      </c>
      <c r="E461" s="3" t="s">
        <v>169</v>
      </c>
      <c r="F461" s="17" t="s">
        <v>170</v>
      </c>
      <c r="G461" s="3" t="s">
        <v>29</v>
      </c>
      <c r="I461" s="93">
        <v>44539</v>
      </c>
      <c r="J461" s="3" t="s">
        <v>142</v>
      </c>
      <c r="K461" s="3" t="s">
        <v>166</v>
      </c>
      <c r="N461" s="3">
        <v>229.9</v>
      </c>
      <c r="O461">
        <v>168.25</v>
      </c>
      <c r="P461">
        <v>173.89</v>
      </c>
      <c r="Q461">
        <v>34.67</v>
      </c>
      <c r="R461">
        <v>14.33</v>
      </c>
      <c r="S461">
        <v>121.59</v>
      </c>
      <c r="T461">
        <v>92.97</v>
      </c>
      <c r="U461">
        <v>74.52</v>
      </c>
      <c r="V461">
        <v>56.28</v>
      </c>
      <c r="W461">
        <v>74.430000000000007</v>
      </c>
      <c r="X461">
        <v>87.64</v>
      </c>
      <c r="Y461">
        <v>43.22</v>
      </c>
      <c r="Z461">
        <v>98.65</v>
      </c>
      <c r="AA461">
        <v>83.16</v>
      </c>
      <c r="AB461">
        <v>82.84</v>
      </c>
      <c r="AC461">
        <v>17.37</v>
      </c>
      <c r="AD461">
        <v>48.7</v>
      </c>
      <c r="AE461">
        <v>32.119999999999997</v>
      </c>
      <c r="AF461">
        <v>46.03</v>
      </c>
      <c r="AG461">
        <v>32.409999999999997</v>
      </c>
      <c r="AH461">
        <v>45.4</v>
      </c>
      <c r="AI461" s="3">
        <v>1.7150000000000001</v>
      </c>
      <c r="AL461" s="3">
        <v>45</v>
      </c>
      <c r="AO461" s="3">
        <v>10.3</v>
      </c>
      <c r="AP461" s="3">
        <v>71.5</v>
      </c>
      <c r="AQ461" s="3">
        <v>49.4</v>
      </c>
      <c r="AR461" s="3">
        <v>49.6</v>
      </c>
      <c r="AS461" s="3">
        <v>22.1</v>
      </c>
      <c r="AT461" s="3" t="s">
        <v>147</v>
      </c>
      <c r="AU461" s="3" t="s">
        <v>147</v>
      </c>
    </row>
    <row r="462" spans="1:48" x14ac:dyDescent="0.2">
      <c r="A462" s="29">
        <v>468</v>
      </c>
      <c r="B462" s="59">
        <v>45</v>
      </c>
      <c r="C462">
        <v>22.460999999999999</v>
      </c>
      <c r="D462" s="83" t="s">
        <v>200</v>
      </c>
      <c r="E462" s="3" t="s">
        <v>201</v>
      </c>
      <c r="F462" s="43">
        <v>241</v>
      </c>
      <c r="H462" s="43">
        <v>241</v>
      </c>
      <c r="I462" s="81">
        <v>44717</v>
      </c>
      <c r="J462" s="3" t="s">
        <v>142</v>
      </c>
      <c r="K462" s="3" t="s">
        <v>166</v>
      </c>
      <c r="L462" s="59">
        <v>255</v>
      </c>
      <c r="M462"/>
      <c r="N462">
        <v>255.2</v>
      </c>
      <c r="O462">
        <v>175.33</v>
      </c>
      <c r="P462">
        <v>193.48</v>
      </c>
      <c r="Q462">
        <v>41.27</v>
      </c>
      <c r="R462">
        <v>24.37</v>
      </c>
      <c r="S462">
        <v>124.14</v>
      </c>
      <c r="T462">
        <v>96.02</v>
      </c>
      <c r="U462">
        <v>71.62</v>
      </c>
      <c r="V462">
        <v>59.58</v>
      </c>
      <c r="W462">
        <v>74.67</v>
      </c>
      <c r="X462">
        <v>92.18</v>
      </c>
      <c r="Y462">
        <v>37.72</v>
      </c>
      <c r="Z462">
        <v>103.09</v>
      </c>
      <c r="AA462">
        <v>79.569999999999993</v>
      </c>
      <c r="AB462">
        <v>81.16</v>
      </c>
      <c r="AC462">
        <v>18.03</v>
      </c>
      <c r="AD462">
        <v>50.8</v>
      </c>
      <c r="AE462">
        <v>27.67</v>
      </c>
      <c r="AF462">
        <v>38.590000000000003</v>
      </c>
      <c r="AG462">
        <v>29.46</v>
      </c>
      <c r="AH462">
        <v>41.71</v>
      </c>
      <c r="AI462" s="3">
        <v>1.92</v>
      </c>
      <c r="AJ462"/>
      <c r="AK462"/>
      <c r="AL462" s="3">
        <v>44</v>
      </c>
      <c r="AM462"/>
      <c r="AN462"/>
      <c r="AO462" s="3">
        <v>12.7</v>
      </c>
      <c r="AP462" s="3">
        <v>83.4</v>
      </c>
      <c r="AQ462" s="3">
        <v>40.1</v>
      </c>
      <c r="AR462" s="3">
        <v>67.8</v>
      </c>
      <c r="AS462" s="3">
        <v>29</v>
      </c>
      <c r="AT462" t="s">
        <v>278</v>
      </c>
      <c r="AU462" t="s">
        <v>146</v>
      </c>
    </row>
    <row r="463" spans="1:48" x14ac:dyDescent="0.2">
      <c r="A463" s="29">
        <v>469.00000000000119</v>
      </c>
      <c r="B463" s="17" t="s">
        <v>279</v>
      </c>
      <c r="C463">
        <v>22.462</v>
      </c>
      <c r="D463" s="74" t="s">
        <v>179</v>
      </c>
      <c r="E463" t="s">
        <v>180</v>
      </c>
      <c r="F463" t="s">
        <v>181</v>
      </c>
      <c r="G463"/>
      <c r="H463" t="s">
        <v>280</v>
      </c>
      <c r="I463" s="56">
        <v>44741</v>
      </c>
      <c r="J463" s="3" t="s">
        <v>142</v>
      </c>
      <c r="K463" s="3" t="s">
        <v>166</v>
      </c>
      <c r="L463">
        <v>210</v>
      </c>
      <c r="M463"/>
      <c r="N463" s="88">
        <v>211.4</v>
      </c>
      <c r="O463">
        <v>176.31</v>
      </c>
      <c r="P463">
        <v>191.19</v>
      </c>
      <c r="Q463">
        <v>33.92</v>
      </c>
      <c r="R463">
        <v>26.29</v>
      </c>
      <c r="S463">
        <v>122.59</v>
      </c>
      <c r="T463">
        <v>102.54</v>
      </c>
      <c r="U463">
        <v>60.69</v>
      </c>
      <c r="V463">
        <v>44.26</v>
      </c>
      <c r="W463">
        <v>71.349999999999994</v>
      </c>
      <c r="X463">
        <v>82.31</v>
      </c>
      <c r="Y463">
        <v>34.28</v>
      </c>
      <c r="Z463">
        <v>89.93</v>
      </c>
      <c r="AA463">
        <v>72.900000000000006</v>
      </c>
      <c r="AB463">
        <v>70.94</v>
      </c>
      <c r="AC463">
        <v>17.63</v>
      </c>
      <c r="AD463">
        <v>45.13</v>
      </c>
      <c r="AE463">
        <v>32.31</v>
      </c>
      <c r="AF463">
        <v>36.74</v>
      </c>
      <c r="AG463">
        <v>35.340000000000003</v>
      </c>
      <c r="AH463">
        <v>38.81</v>
      </c>
      <c r="AI463" s="3">
        <v>0.92200000000000004</v>
      </c>
      <c r="AJ463"/>
      <c r="AK463"/>
      <c r="AL463" s="3">
        <v>21</v>
      </c>
      <c r="AM463"/>
      <c r="AN463"/>
      <c r="AO463" s="3">
        <v>12.7</v>
      </c>
      <c r="AP463" s="3">
        <v>62.4</v>
      </c>
      <c r="AQ463" s="3">
        <v>72.7</v>
      </c>
      <c r="AR463" s="3">
        <v>35.9</v>
      </c>
      <c r="AS463" s="3">
        <v>15.7</v>
      </c>
      <c r="AT463" t="s">
        <v>278</v>
      </c>
      <c r="AU463" s="3" t="s">
        <v>147</v>
      </c>
      <c r="AV463"/>
    </row>
    <row r="464" spans="1:48" x14ac:dyDescent="0.2">
      <c r="A464" s="29">
        <v>469.99999999999886</v>
      </c>
      <c r="B464" s="17" t="s">
        <v>281</v>
      </c>
      <c r="C464">
        <v>22.463000000000001</v>
      </c>
      <c r="D464" s="74" t="s">
        <v>179</v>
      </c>
      <c r="E464" t="s">
        <v>180</v>
      </c>
      <c r="F464" t="s">
        <v>181</v>
      </c>
      <c r="G464"/>
      <c r="H464" t="s">
        <v>280</v>
      </c>
      <c r="I464" s="56">
        <v>44723</v>
      </c>
      <c r="J464" s="3" t="s">
        <v>142</v>
      </c>
      <c r="K464" s="3" t="s">
        <v>166</v>
      </c>
      <c r="L464">
        <v>215</v>
      </c>
      <c r="M464"/>
      <c r="N464" s="88">
        <v>223.2</v>
      </c>
      <c r="O464">
        <v>185.16</v>
      </c>
      <c r="P464">
        <v>200.65</v>
      </c>
      <c r="Q464">
        <v>48.1</v>
      </c>
      <c r="R464">
        <v>18.89</v>
      </c>
      <c r="S464">
        <v>125.35</v>
      </c>
      <c r="T464">
        <v>101.97</v>
      </c>
      <c r="U464">
        <v>58.54</v>
      </c>
      <c r="V464">
        <v>44.37</v>
      </c>
      <c r="W464">
        <v>65.209999999999994</v>
      </c>
      <c r="X464">
        <v>82.56</v>
      </c>
      <c r="Y464">
        <v>38.64</v>
      </c>
      <c r="Z464">
        <v>92.04</v>
      </c>
      <c r="AA464">
        <v>69.63</v>
      </c>
      <c r="AB464">
        <v>65.55</v>
      </c>
      <c r="AC464">
        <v>15.84</v>
      </c>
      <c r="AD464">
        <v>47.11</v>
      </c>
      <c r="AE464">
        <v>30.67</v>
      </c>
      <c r="AF464">
        <v>37.32</v>
      </c>
      <c r="AG464">
        <v>31.06</v>
      </c>
      <c r="AH464">
        <v>43.35</v>
      </c>
      <c r="AI464" s="3">
        <v>1.4790000000000001</v>
      </c>
      <c r="AJ464"/>
      <c r="AK464"/>
      <c r="AL464" s="3">
        <v>24</v>
      </c>
      <c r="AM464"/>
      <c r="AN464"/>
      <c r="AO464" s="3">
        <v>16.7</v>
      </c>
      <c r="AP464" s="3">
        <v>99.6</v>
      </c>
      <c r="AQ464" s="3">
        <v>28.9</v>
      </c>
      <c r="AR464" s="3">
        <v>46.6</v>
      </c>
      <c r="AS464" s="3">
        <v>20.8</v>
      </c>
      <c r="AT464" t="s">
        <v>278</v>
      </c>
      <c r="AU464" s="3" t="s">
        <v>147</v>
      </c>
      <c r="AV464"/>
    </row>
    <row r="465" spans="1:48" x14ac:dyDescent="0.2">
      <c r="A465" s="29">
        <v>471.00000000000011</v>
      </c>
      <c r="B465" s="17" t="s">
        <v>282</v>
      </c>
      <c r="C465">
        <v>22.463999999999999</v>
      </c>
      <c r="D465" s="74" t="s">
        <v>179</v>
      </c>
      <c r="E465" t="s">
        <v>180</v>
      </c>
      <c r="F465" t="s">
        <v>181</v>
      </c>
      <c r="G465"/>
      <c r="H465" t="s">
        <v>280</v>
      </c>
      <c r="I465" s="56">
        <v>44723</v>
      </c>
      <c r="J465" s="3" t="s">
        <v>142</v>
      </c>
      <c r="K465" s="3" t="s">
        <v>166</v>
      </c>
      <c r="L465">
        <v>215</v>
      </c>
      <c r="M465"/>
      <c r="N465" s="88">
        <v>221.8</v>
      </c>
      <c r="O465">
        <v>191.21</v>
      </c>
      <c r="P465">
        <v>205.77</v>
      </c>
      <c r="Q465">
        <v>45.31</v>
      </c>
      <c r="R465">
        <v>25.57</v>
      </c>
      <c r="S465">
        <v>130.72</v>
      </c>
      <c r="T465">
        <v>106.91</v>
      </c>
      <c r="U465">
        <v>56.71</v>
      </c>
      <c r="V465">
        <v>43.76</v>
      </c>
      <c r="W465">
        <v>64.13</v>
      </c>
      <c r="X465">
        <v>79.92</v>
      </c>
      <c r="Y465">
        <v>36.85</v>
      </c>
      <c r="Z465">
        <v>88.05</v>
      </c>
      <c r="AA465">
        <v>69.260000000000005</v>
      </c>
      <c r="AB465">
        <v>62.18</v>
      </c>
      <c r="AC465">
        <v>17.420000000000002</v>
      </c>
      <c r="AD465">
        <v>48.36</v>
      </c>
      <c r="AE465">
        <v>33.14</v>
      </c>
      <c r="AF465">
        <v>42</v>
      </c>
      <c r="AG465">
        <v>33.75</v>
      </c>
      <c r="AH465">
        <v>47.17</v>
      </c>
      <c r="AI465" s="3">
        <v>1.276</v>
      </c>
      <c r="AJ465"/>
      <c r="AK465"/>
      <c r="AL465" s="3">
        <v>28</v>
      </c>
      <c r="AM465"/>
      <c r="AN465"/>
      <c r="AO465" s="3">
        <v>14.7</v>
      </c>
      <c r="AP465" s="3">
        <v>91.2</v>
      </c>
      <c r="AQ465" s="3">
        <v>35</v>
      </c>
      <c r="AR465" s="3">
        <v>45.9</v>
      </c>
      <c r="AS465" s="3">
        <v>20</v>
      </c>
      <c r="AT465" t="s">
        <v>278</v>
      </c>
      <c r="AU465" s="3" t="s">
        <v>147</v>
      </c>
      <c r="AV465"/>
    </row>
    <row r="466" spans="1:48" x14ac:dyDescent="0.2">
      <c r="A466" s="29">
        <v>472.00000000000131</v>
      </c>
      <c r="B466" s="17" t="s">
        <v>283</v>
      </c>
      <c r="C466">
        <v>22.465</v>
      </c>
      <c r="D466" s="74" t="s">
        <v>179</v>
      </c>
      <c r="E466" t="s">
        <v>180</v>
      </c>
      <c r="F466" t="s">
        <v>181</v>
      </c>
      <c r="G466"/>
      <c r="H466" t="s">
        <v>280</v>
      </c>
      <c r="I466" s="56">
        <v>44723</v>
      </c>
      <c r="J466" s="3" t="s">
        <v>142</v>
      </c>
      <c r="K466" s="3" t="s">
        <v>166</v>
      </c>
      <c r="L466">
        <v>210</v>
      </c>
      <c r="M466"/>
      <c r="N466" s="88">
        <v>211.5</v>
      </c>
      <c r="O466">
        <v>197.24</v>
      </c>
      <c r="P466">
        <v>206.4</v>
      </c>
      <c r="Q466">
        <v>45.79</v>
      </c>
      <c r="R466">
        <v>26.52</v>
      </c>
      <c r="S466">
        <v>130.32</v>
      </c>
      <c r="T466">
        <v>107.7</v>
      </c>
      <c r="U466">
        <v>57.33</v>
      </c>
      <c r="V466">
        <v>44.55</v>
      </c>
      <c r="W466">
        <v>63.58</v>
      </c>
      <c r="X466">
        <v>81.14</v>
      </c>
      <c r="Y466">
        <v>37.11</v>
      </c>
      <c r="Z466">
        <v>88.02</v>
      </c>
      <c r="AA466">
        <v>69.56</v>
      </c>
      <c r="AB466">
        <v>61.09</v>
      </c>
      <c r="AC466">
        <v>18.21</v>
      </c>
      <c r="AD466">
        <v>47.08</v>
      </c>
      <c r="AE466">
        <v>33.22</v>
      </c>
      <c r="AF466">
        <v>43.43</v>
      </c>
      <c r="AG466">
        <v>36.74</v>
      </c>
      <c r="AH466">
        <v>43.02</v>
      </c>
      <c r="AI466" s="3">
        <v>1.125</v>
      </c>
      <c r="AJ466"/>
      <c r="AK466"/>
      <c r="AL466" s="3">
        <v>27</v>
      </c>
      <c r="AM466"/>
      <c r="AN466"/>
      <c r="AO466" s="3">
        <v>17.7</v>
      </c>
      <c r="AP466" s="3">
        <v>85.7</v>
      </c>
      <c r="AQ466" s="3">
        <v>35.200000000000003</v>
      </c>
      <c r="AR466" s="3">
        <v>37.5</v>
      </c>
      <c r="AS466" s="3">
        <v>16.8</v>
      </c>
      <c r="AT466" t="s">
        <v>278</v>
      </c>
      <c r="AU466" s="3" t="s">
        <v>147</v>
      </c>
      <c r="AV466"/>
    </row>
    <row r="467" spans="1:48" x14ac:dyDescent="0.2">
      <c r="A467" s="29">
        <v>472.99999999999898</v>
      </c>
      <c r="B467" s="17" t="s">
        <v>284</v>
      </c>
      <c r="C467">
        <v>22.466000000000001</v>
      </c>
      <c r="D467" s="74" t="s">
        <v>179</v>
      </c>
      <c r="E467" t="s">
        <v>180</v>
      </c>
      <c r="F467" t="s">
        <v>181</v>
      </c>
      <c r="G467"/>
      <c r="H467" t="s">
        <v>280</v>
      </c>
      <c r="I467" s="56">
        <v>44743</v>
      </c>
      <c r="J467" s="3" t="s">
        <v>142</v>
      </c>
      <c r="K467" s="3" t="s">
        <v>166</v>
      </c>
      <c r="L467">
        <v>220</v>
      </c>
      <c r="M467"/>
      <c r="N467" s="88">
        <v>217.5</v>
      </c>
      <c r="O467">
        <v>203.85</v>
      </c>
      <c r="P467">
        <v>206.41</v>
      </c>
      <c r="Q467">
        <v>49</v>
      </c>
      <c r="R467">
        <v>21.19</v>
      </c>
      <c r="S467">
        <v>129.52000000000001</v>
      </c>
      <c r="T467">
        <v>105.54</v>
      </c>
      <c r="U467">
        <v>58.09</v>
      </c>
      <c r="V467">
        <v>48.61</v>
      </c>
      <c r="W467">
        <v>70.45</v>
      </c>
      <c r="X467">
        <v>83.17</v>
      </c>
      <c r="Y467">
        <v>38.79</v>
      </c>
      <c r="Z467">
        <v>92.24</v>
      </c>
      <c r="AA467">
        <v>71.260000000000005</v>
      </c>
      <c r="AB467">
        <v>63.3</v>
      </c>
      <c r="AC467">
        <v>15.86</v>
      </c>
      <c r="AD467">
        <v>47.5</v>
      </c>
      <c r="AE467">
        <v>38.47</v>
      </c>
      <c r="AF467">
        <v>41.12</v>
      </c>
      <c r="AG467">
        <v>36.61</v>
      </c>
      <c r="AH467">
        <v>43.49</v>
      </c>
      <c r="AI467" s="3">
        <v>1.276</v>
      </c>
      <c r="AJ467"/>
      <c r="AK467"/>
      <c r="AL467"/>
      <c r="AM467"/>
      <c r="AN467"/>
      <c r="AO467" s="3">
        <v>9.9</v>
      </c>
      <c r="AP467" s="3">
        <v>43</v>
      </c>
      <c r="AQ467" s="3">
        <v>115.7</v>
      </c>
      <c r="AR467" s="3">
        <v>44.7</v>
      </c>
      <c r="AS467" s="3">
        <v>18.7</v>
      </c>
      <c r="AT467" t="s">
        <v>278</v>
      </c>
      <c r="AU467" s="3" t="s">
        <v>147</v>
      </c>
      <c r="AV467"/>
    </row>
    <row r="468" spans="1:48" x14ac:dyDescent="0.2">
      <c r="A468" s="29">
        <v>474.00000000000023</v>
      </c>
      <c r="B468" s="17" t="s">
        <v>285</v>
      </c>
      <c r="C468">
        <v>22.466999999999999</v>
      </c>
      <c r="D468" s="74" t="s">
        <v>179</v>
      </c>
      <c r="E468" t="s">
        <v>180</v>
      </c>
      <c r="F468" t="s">
        <v>181</v>
      </c>
      <c r="G468"/>
      <c r="H468" t="s">
        <v>280</v>
      </c>
      <c r="I468" s="56">
        <v>44722</v>
      </c>
      <c r="J468" s="3" t="s">
        <v>142</v>
      </c>
      <c r="K468" s="3" t="s">
        <v>166</v>
      </c>
      <c r="L468">
        <v>230</v>
      </c>
      <c r="M468"/>
      <c r="N468" s="88">
        <v>231.2</v>
      </c>
      <c r="O468">
        <v>189.58</v>
      </c>
      <c r="P468">
        <v>202.29</v>
      </c>
      <c r="Q468">
        <v>52.63</v>
      </c>
      <c r="R468">
        <v>16.11</v>
      </c>
      <c r="S468">
        <v>124.69</v>
      </c>
      <c r="T468">
        <v>103.6</v>
      </c>
      <c r="U468">
        <v>58.92</v>
      </c>
      <c r="V468">
        <v>45.07</v>
      </c>
      <c r="W468">
        <v>67.95</v>
      </c>
      <c r="X468">
        <v>84.01</v>
      </c>
      <c r="Y468">
        <v>37.25</v>
      </c>
      <c r="Z468">
        <v>91.2</v>
      </c>
      <c r="AA468">
        <v>68.540000000000006</v>
      </c>
      <c r="AB468">
        <v>64.72</v>
      </c>
      <c r="AC468">
        <v>15.71</v>
      </c>
      <c r="AD468">
        <v>48.1</v>
      </c>
      <c r="AE468">
        <v>28.16</v>
      </c>
      <c r="AF468">
        <v>41.46</v>
      </c>
      <c r="AG468">
        <v>25.98</v>
      </c>
      <c r="AH468">
        <v>45.89</v>
      </c>
      <c r="AI468" s="3">
        <v>1.5209999999999999</v>
      </c>
      <c r="AJ468"/>
      <c r="AK468"/>
      <c r="AL468" s="3">
        <v>28</v>
      </c>
      <c r="AM468"/>
      <c r="AN468"/>
      <c r="AO468" s="3">
        <v>5.5</v>
      </c>
      <c r="AP468" s="3">
        <v>88.7</v>
      </c>
      <c r="AQ468" s="3">
        <v>51.3</v>
      </c>
      <c r="AR468" s="3">
        <v>51.1</v>
      </c>
      <c r="AS468" s="3">
        <v>21.5</v>
      </c>
      <c r="AT468" t="s">
        <v>278</v>
      </c>
      <c r="AU468" s="3" t="s">
        <v>147</v>
      </c>
      <c r="AV468"/>
    </row>
    <row r="469" spans="1:48" x14ac:dyDescent="0.2">
      <c r="A469" s="29">
        <v>475.00000000000142</v>
      </c>
      <c r="B469">
        <v>354</v>
      </c>
      <c r="C469">
        <v>22.468</v>
      </c>
      <c r="D469" s="78" t="s">
        <v>168</v>
      </c>
      <c r="E469" t="s">
        <v>232</v>
      </c>
      <c r="F469" s="17" t="s">
        <v>31</v>
      </c>
      <c r="G469" s="17" t="s">
        <v>31</v>
      </c>
      <c r="H469"/>
      <c r="I469" s="68">
        <v>44686</v>
      </c>
      <c r="J469" s="3" t="s">
        <v>142</v>
      </c>
      <c r="K469" s="3" t="s">
        <v>166</v>
      </c>
      <c r="L469"/>
      <c r="M469"/>
      <c r="N469" s="88">
        <v>179.60000000000002</v>
      </c>
      <c r="O469">
        <v>156.93</v>
      </c>
      <c r="P469">
        <v>168.94</v>
      </c>
      <c r="Q469">
        <v>43.16</v>
      </c>
      <c r="R469">
        <v>10.85</v>
      </c>
      <c r="S469">
        <v>109.15</v>
      </c>
      <c r="T469">
        <v>92.46</v>
      </c>
      <c r="U469">
        <v>66.55</v>
      </c>
      <c r="V469">
        <v>47.99</v>
      </c>
      <c r="W469">
        <v>70.08</v>
      </c>
      <c r="X469">
        <v>81.06</v>
      </c>
      <c r="Y469">
        <v>37.270000000000003</v>
      </c>
      <c r="Z469">
        <v>91.3</v>
      </c>
      <c r="AA469">
        <v>71.33</v>
      </c>
      <c r="AB469">
        <v>72.099999999999994</v>
      </c>
      <c r="AC469">
        <v>18.829999999999998</v>
      </c>
      <c r="AD469">
        <v>44.67</v>
      </c>
      <c r="AE469">
        <v>26.49</v>
      </c>
      <c r="AF469">
        <v>36.79</v>
      </c>
      <c r="AG469">
        <v>30.05</v>
      </c>
      <c r="AH469">
        <v>36.5</v>
      </c>
      <c r="AI469" s="3">
        <v>1.62</v>
      </c>
      <c r="AJ469"/>
      <c r="AK469"/>
      <c r="AL469" s="3">
        <v>15</v>
      </c>
      <c r="AM469"/>
      <c r="AN469"/>
      <c r="AO469" s="3">
        <v>12.8</v>
      </c>
      <c r="AP469" s="3">
        <v>59.7</v>
      </c>
      <c r="AQ469" s="3">
        <v>43.9</v>
      </c>
      <c r="AR469" s="3">
        <v>41</v>
      </c>
      <c r="AS469" s="3">
        <v>17.7</v>
      </c>
      <c r="AT469" t="s">
        <v>278</v>
      </c>
      <c r="AU469" s="3" t="s">
        <v>147</v>
      </c>
      <c r="AV469"/>
    </row>
    <row r="470" spans="1:48" x14ac:dyDescent="0.2">
      <c r="A470" s="29">
        <v>475.99999999999909</v>
      </c>
      <c r="B470">
        <v>389</v>
      </c>
      <c r="C470">
        <v>22.469000000000001</v>
      </c>
      <c r="D470" s="78" t="s">
        <v>168</v>
      </c>
      <c r="E470" t="s">
        <v>232</v>
      </c>
      <c r="F470" s="17" t="s">
        <v>31</v>
      </c>
      <c r="G470" s="17" t="s">
        <v>31</v>
      </c>
      <c r="H470"/>
      <c r="I470" s="68">
        <v>44719</v>
      </c>
      <c r="J470" s="3" t="s">
        <v>142</v>
      </c>
      <c r="K470" s="3" t="s">
        <v>166</v>
      </c>
      <c r="L470"/>
      <c r="M470"/>
      <c r="N470" s="88">
        <v>183.4</v>
      </c>
      <c r="O470">
        <v>161.15</v>
      </c>
      <c r="P470">
        <v>171.41</v>
      </c>
      <c r="Q470">
        <v>46.15</v>
      </c>
      <c r="R470">
        <v>11.22</v>
      </c>
      <c r="S470">
        <v>109.21</v>
      </c>
      <c r="T470">
        <v>88.01</v>
      </c>
      <c r="U470">
        <v>66.069999999999993</v>
      </c>
      <c r="V470">
        <v>46.74</v>
      </c>
      <c r="W470">
        <v>68.63</v>
      </c>
      <c r="X470">
        <v>82.59</v>
      </c>
      <c r="Y470">
        <v>36.78</v>
      </c>
      <c r="Z470">
        <v>92.91</v>
      </c>
      <c r="AA470">
        <v>70.16</v>
      </c>
      <c r="AB470">
        <v>72.72</v>
      </c>
      <c r="AC470">
        <v>18.61</v>
      </c>
      <c r="AD470">
        <v>44.93</v>
      </c>
      <c r="AE470">
        <v>27.78</v>
      </c>
      <c r="AF470">
        <v>41.27</v>
      </c>
      <c r="AG470">
        <v>32.65</v>
      </c>
      <c r="AH470">
        <v>40.01</v>
      </c>
      <c r="AI470" s="3">
        <v>1.681</v>
      </c>
      <c r="AJ470"/>
      <c r="AK470"/>
      <c r="AL470" s="3">
        <v>15</v>
      </c>
      <c r="AM470"/>
      <c r="AN470"/>
      <c r="AO470" s="3">
        <v>17</v>
      </c>
      <c r="AP470" s="3">
        <v>73.5</v>
      </c>
      <c r="AQ470" s="3">
        <v>28.5</v>
      </c>
      <c r="AR470" s="3">
        <v>43.8</v>
      </c>
      <c r="AS470" s="3">
        <v>18.7</v>
      </c>
      <c r="AT470" t="s">
        <v>278</v>
      </c>
      <c r="AU470" s="3" t="s">
        <v>147</v>
      </c>
      <c r="AV470"/>
    </row>
    <row r="471" spans="1:48" x14ac:dyDescent="0.2">
      <c r="A471" s="29">
        <v>477.00000000000034</v>
      </c>
      <c r="B471">
        <v>343</v>
      </c>
      <c r="C471" s="5" t="s">
        <v>286</v>
      </c>
      <c r="D471" s="78" t="s">
        <v>168</v>
      </c>
      <c r="E471" t="s">
        <v>232</v>
      </c>
      <c r="F471" s="17" t="s">
        <v>31</v>
      </c>
      <c r="G471" s="17" t="s">
        <v>31</v>
      </c>
      <c r="H471"/>
      <c r="I471" s="68">
        <v>44678</v>
      </c>
      <c r="J471" s="3" t="s">
        <v>142</v>
      </c>
      <c r="K471" s="3" t="s">
        <v>166</v>
      </c>
      <c r="L471"/>
      <c r="M471"/>
      <c r="N471" s="88">
        <v>177.1</v>
      </c>
      <c r="O471">
        <v>153.07</v>
      </c>
      <c r="P471">
        <v>163.28</v>
      </c>
      <c r="Q471">
        <v>40.090000000000003</v>
      </c>
      <c r="R471">
        <v>8.73</v>
      </c>
      <c r="S471">
        <v>108.27</v>
      </c>
      <c r="T471">
        <v>90.51</v>
      </c>
      <c r="U471">
        <v>64.66</v>
      </c>
      <c r="V471">
        <v>46.89</v>
      </c>
      <c r="W471">
        <v>68.760000000000005</v>
      </c>
      <c r="X471">
        <v>77.239999999999995</v>
      </c>
      <c r="Y471">
        <v>35.74</v>
      </c>
      <c r="Z471">
        <v>90.11</v>
      </c>
      <c r="AA471">
        <v>67.209999999999994</v>
      </c>
      <c r="AB471">
        <v>72.22</v>
      </c>
      <c r="AC471">
        <v>21</v>
      </c>
      <c r="AD471">
        <v>43.67</v>
      </c>
      <c r="AE471">
        <v>24.49</v>
      </c>
      <c r="AF471">
        <v>38.94</v>
      </c>
      <c r="AG471">
        <v>35.380000000000003</v>
      </c>
      <c r="AH471">
        <v>35.11</v>
      </c>
      <c r="AI471" s="3">
        <v>1.694</v>
      </c>
      <c r="AJ471"/>
      <c r="AK471"/>
      <c r="AL471" s="3">
        <v>12</v>
      </c>
      <c r="AM471"/>
      <c r="AN471"/>
      <c r="AO471">
        <v>18</v>
      </c>
      <c r="AP471">
        <v>71.3</v>
      </c>
      <c r="AQ471">
        <v>23.9</v>
      </c>
      <c r="AR471" s="3">
        <v>45.4</v>
      </c>
      <c r="AS471" s="3">
        <v>19.2</v>
      </c>
      <c r="AT471" t="s">
        <v>278</v>
      </c>
      <c r="AU471" s="3" t="s">
        <v>147</v>
      </c>
      <c r="AV471"/>
    </row>
    <row r="472" spans="1:48" x14ac:dyDescent="0.2">
      <c r="A472" s="29">
        <v>478.00000000000153</v>
      </c>
      <c r="B472">
        <v>381</v>
      </c>
      <c r="C472">
        <v>22.471</v>
      </c>
      <c r="D472" s="78" t="s">
        <v>168</v>
      </c>
      <c r="E472" t="s">
        <v>232</v>
      </c>
      <c r="F472" s="17" t="s">
        <v>31</v>
      </c>
      <c r="G472" s="17" t="s">
        <v>31</v>
      </c>
      <c r="H472"/>
      <c r="I472" s="68">
        <v>44707</v>
      </c>
      <c r="J472" s="3" t="s">
        <v>142</v>
      </c>
      <c r="K472" s="3" t="s">
        <v>166</v>
      </c>
      <c r="L472"/>
      <c r="M472"/>
      <c r="N472" s="88">
        <v>181.6</v>
      </c>
      <c r="O472">
        <v>163.35</v>
      </c>
      <c r="P472">
        <v>172.11</v>
      </c>
      <c r="Q472">
        <v>42.38</v>
      </c>
      <c r="R472">
        <v>14.41</v>
      </c>
      <c r="S472">
        <v>108.47</v>
      </c>
      <c r="T472">
        <v>90.67</v>
      </c>
      <c r="U472">
        <v>63.66</v>
      </c>
      <c r="V472">
        <v>47.57</v>
      </c>
      <c r="W472">
        <v>68.64</v>
      </c>
      <c r="X472">
        <v>83.59</v>
      </c>
      <c r="Y472">
        <v>37.159999999999997</v>
      </c>
      <c r="Z472">
        <v>93.43</v>
      </c>
      <c r="AA472">
        <v>72.64</v>
      </c>
      <c r="AB472">
        <v>72.89</v>
      </c>
      <c r="AC472">
        <v>20.420000000000002</v>
      </c>
      <c r="AD472">
        <v>43.89</v>
      </c>
      <c r="AE472">
        <v>30.28</v>
      </c>
      <c r="AF472">
        <v>37.89</v>
      </c>
      <c r="AG472">
        <v>37.85</v>
      </c>
      <c r="AH472">
        <v>36.4</v>
      </c>
      <c r="AI472" s="3">
        <v>1.4710000000000001</v>
      </c>
      <c r="AJ472"/>
      <c r="AK472"/>
      <c r="AL472" s="3">
        <v>17</v>
      </c>
      <c r="AM472"/>
      <c r="AN472"/>
      <c r="AO472">
        <v>7.7999999999999989</v>
      </c>
      <c r="AP472">
        <v>71.3</v>
      </c>
      <c r="AQ472">
        <v>39.299999999999997</v>
      </c>
      <c r="AR472" s="3">
        <v>41.6</v>
      </c>
      <c r="AS472" s="3">
        <v>18</v>
      </c>
      <c r="AT472" t="s">
        <v>147</v>
      </c>
      <c r="AU472" s="3" t="s">
        <v>147</v>
      </c>
      <c r="AV472"/>
    </row>
    <row r="473" spans="1:48" x14ac:dyDescent="0.2">
      <c r="A473" s="29">
        <v>478.9999999999992</v>
      </c>
      <c r="B473">
        <v>345</v>
      </c>
      <c r="C473">
        <v>22.472000000000001</v>
      </c>
      <c r="D473" s="78" t="s">
        <v>168</v>
      </c>
      <c r="E473" t="s">
        <v>232</v>
      </c>
      <c r="F473" s="17" t="s">
        <v>31</v>
      </c>
      <c r="G473" s="17" t="s">
        <v>31</v>
      </c>
      <c r="H473"/>
      <c r="I473" s="68">
        <v>44678</v>
      </c>
      <c r="J473" s="3" t="s">
        <v>142</v>
      </c>
      <c r="K473" s="3" t="s">
        <v>166</v>
      </c>
      <c r="L473"/>
      <c r="M473"/>
      <c r="N473" s="88">
        <v>160.9</v>
      </c>
      <c r="O473">
        <v>151.26</v>
      </c>
      <c r="P473">
        <v>159.52000000000001</v>
      </c>
      <c r="Q473">
        <v>38.56</v>
      </c>
      <c r="R473">
        <v>12.24</v>
      </c>
      <c r="S473">
        <v>103.28</v>
      </c>
      <c r="T473">
        <v>82.2</v>
      </c>
      <c r="U473">
        <v>63.88</v>
      </c>
      <c r="V473">
        <v>49.14</v>
      </c>
      <c r="W473">
        <v>69.48</v>
      </c>
      <c r="X473">
        <v>79.91</v>
      </c>
      <c r="Y473">
        <v>36.72</v>
      </c>
      <c r="Z473">
        <v>90.73</v>
      </c>
      <c r="AA473">
        <v>69.08</v>
      </c>
      <c r="AB473">
        <v>72.97</v>
      </c>
      <c r="AC473">
        <v>25.81</v>
      </c>
      <c r="AD473">
        <v>42.65</v>
      </c>
      <c r="AE473">
        <v>28.41</v>
      </c>
      <c r="AF473">
        <v>34.28</v>
      </c>
      <c r="AG473">
        <v>32.85</v>
      </c>
      <c r="AH473">
        <v>32.700000000000003</v>
      </c>
      <c r="AI473" s="3">
        <v>1.514</v>
      </c>
      <c r="AJ473"/>
      <c r="AK473"/>
      <c r="AL473" s="3">
        <v>12</v>
      </c>
      <c r="AM473"/>
      <c r="AN473"/>
      <c r="AO473">
        <v>8.6999999999999993</v>
      </c>
      <c r="AP473">
        <v>80.599999999999994</v>
      </c>
      <c r="AQ473">
        <v>17</v>
      </c>
      <c r="AR473" s="3">
        <v>38.5</v>
      </c>
      <c r="AS473" s="3">
        <v>16.600000000000001</v>
      </c>
      <c r="AT473" t="s">
        <v>147</v>
      </c>
      <c r="AU473" s="3" t="s">
        <v>147</v>
      </c>
      <c r="AV473"/>
    </row>
    <row r="474" spans="1:48" ht="18" customHeight="1" x14ac:dyDescent="0.2">
      <c r="A474" s="29">
        <v>480.00000000000045</v>
      </c>
      <c r="B474" s="3">
        <v>281</v>
      </c>
      <c r="C474" s="3">
        <v>22.472999999999999</v>
      </c>
      <c r="D474" s="78" t="s">
        <v>168</v>
      </c>
      <c r="E474" s="17" t="s">
        <v>169</v>
      </c>
      <c r="F474" s="3" t="s">
        <v>170</v>
      </c>
      <c r="G474" t="s">
        <v>30</v>
      </c>
      <c r="H474" s="17"/>
      <c r="I474" s="68">
        <v>44592</v>
      </c>
      <c r="J474" s="3" t="s">
        <v>142</v>
      </c>
      <c r="K474" s="3" t="s">
        <v>204</v>
      </c>
      <c r="AT474" s="3" t="s">
        <v>220</v>
      </c>
    </row>
    <row r="475" spans="1:48" ht="17" customHeight="1" x14ac:dyDescent="0.2">
      <c r="A475" s="29">
        <v>481.00000000000165</v>
      </c>
      <c r="B475" s="3">
        <v>321</v>
      </c>
      <c r="C475" s="3">
        <v>22.474</v>
      </c>
      <c r="D475" s="78" t="s">
        <v>168</v>
      </c>
      <c r="E475" s="17" t="s">
        <v>169</v>
      </c>
      <c r="F475" s="3" t="s">
        <v>170</v>
      </c>
      <c r="G475" t="s">
        <v>30</v>
      </c>
      <c r="H475" s="17"/>
      <c r="I475" s="68">
        <v>44650</v>
      </c>
      <c r="J475" s="3" t="s">
        <v>142</v>
      </c>
      <c r="K475" s="3" t="s">
        <v>204</v>
      </c>
      <c r="AT475" s="3" t="s">
        <v>220</v>
      </c>
    </row>
    <row r="476" spans="1:48" x14ac:dyDescent="0.2">
      <c r="A476" s="29">
        <v>481.99999999999932</v>
      </c>
      <c r="B476" s="3">
        <v>318</v>
      </c>
      <c r="C476" s="3">
        <v>22.475000000000001</v>
      </c>
      <c r="D476" s="78" t="s">
        <v>168</v>
      </c>
      <c r="E476" s="17" t="s">
        <v>169</v>
      </c>
      <c r="F476" s="3" t="s">
        <v>170</v>
      </c>
      <c r="G476" t="s">
        <v>30</v>
      </c>
      <c r="H476" s="17"/>
      <c r="I476" s="68">
        <v>44650</v>
      </c>
      <c r="J476" s="3" t="s">
        <v>142</v>
      </c>
      <c r="K476" s="3" t="s">
        <v>204</v>
      </c>
      <c r="AT476" s="3" t="s">
        <v>220</v>
      </c>
    </row>
    <row r="477" spans="1:48" ht="68" x14ac:dyDescent="0.2">
      <c r="A477" s="29">
        <v>483.00000000000057</v>
      </c>
      <c r="B477" s="3">
        <v>329</v>
      </c>
      <c r="C477" s="3">
        <v>22.475999999999999</v>
      </c>
      <c r="D477" s="78" t="s">
        <v>168</v>
      </c>
      <c r="E477" s="17" t="s">
        <v>169</v>
      </c>
      <c r="F477" s="3" t="s">
        <v>170</v>
      </c>
      <c r="G477" s="17"/>
      <c r="H477" s="59" t="s">
        <v>287</v>
      </c>
      <c r="I477" s="68">
        <v>44664</v>
      </c>
      <c r="J477" s="3" t="s">
        <v>142</v>
      </c>
      <c r="K477" s="3" t="s">
        <v>204</v>
      </c>
      <c r="AT477" s="3" t="s">
        <v>220</v>
      </c>
    </row>
    <row r="478" spans="1:48" x14ac:dyDescent="0.2">
      <c r="A478" s="29">
        <v>484.00000000000176</v>
      </c>
      <c r="B478" s="3">
        <v>331</v>
      </c>
      <c r="C478" s="3">
        <v>22.477</v>
      </c>
      <c r="D478" s="78" t="s">
        <v>168</v>
      </c>
      <c r="E478" s="17" t="s">
        <v>169</v>
      </c>
      <c r="F478" s="3" t="s">
        <v>170</v>
      </c>
      <c r="G478" t="s">
        <v>30</v>
      </c>
      <c r="H478" s="17"/>
      <c r="I478" s="68">
        <v>44664</v>
      </c>
      <c r="J478" s="3" t="s">
        <v>142</v>
      </c>
      <c r="K478" s="3" t="s">
        <v>204</v>
      </c>
      <c r="AT478" s="3" t="s">
        <v>220</v>
      </c>
    </row>
    <row r="479" spans="1:48" x14ac:dyDescent="0.2">
      <c r="A479" s="29">
        <v>484.99999999999943</v>
      </c>
      <c r="B479" s="3">
        <v>336</v>
      </c>
      <c r="C479" s="3">
        <v>22.478000000000002</v>
      </c>
      <c r="D479" s="78" t="s">
        <v>168</v>
      </c>
      <c r="E479" s="17" t="s">
        <v>169</v>
      </c>
      <c r="F479" s="3" t="s">
        <v>170</v>
      </c>
      <c r="G479" t="s">
        <v>30</v>
      </c>
      <c r="H479" s="17"/>
      <c r="I479" s="68">
        <v>44665</v>
      </c>
      <c r="J479" s="3" t="s">
        <v>142</v>
      </c>
      <c r="K479" s="3" t="s">
        <v>204</v>
      </c>
      <c r="AT479" s="3" t="s">
        <v>220</v>
      </c>
    </row>
    <row r="480" spans="1:48" x14ac:dyDescent="0.2">
      <c r="A480" s="29">
        <v>486.00000000000068</v>
      </c>
      <c r="B480" s="3">
        <v>285</v>
      </c>
      <c r="C480" s="3">
        <v>22.478999999999999</v>
      </c>
      <c r="D480" s="78" t="s">
        <v>168</v>
      </c>
      <c r="E480" s="17" t="s">
        <v>169</v>
      </c>
      <c r="F480" s="3" t="s">
        <v>170</v>
      </c>
      <c r="G480" s="17"/>
      <c r="H480" s="18" t="s">
        <v>171</v>
      </c>
      <c r="I480" s="68">
        <v>44609</v>
      </c>
      <c r="J480" s="3" t="s">
        <v>142</v>
      </c>
      <c r="K480" s="3" t="s">
        <v>204</v>
      </c>
      <c r="AT480" s="3" t="s">
        <v>220</v>
      </c>
    </row>
    <row r="481" spans="1:47" x14ac:dyDescent="0.2">
      <c r="A481" s="29">
        <v>486.99999999999829</v>
      </c>
      <c r="B481" s="77">
        <v>292</v>
      </c>
      <c r="C481" s="12" t="s">
        <v>15</v>
      </c>
      <c r="D481" s="78" t="s">
        <v>168</v>
      </c>
      <c r="E481" s="17" t="s">
        <v>169</v>
      </c>
      <c r="F481" s="3" t="s">
        <v>170</v>
      </c>
      <c r="G481" s="17"/>
      <c r="H481" s="18" t="s">
        <v>171</v>
      </c>
      <c r="I481" s="68">
        <v>44610</v>
      </c>
      <c r="J481" s="3" t="s">
        <v>142</v>
      </c>
      <c r="K481" s="3" t="s">
        <v>204</v>
      </c>
      <c r="AT481" s="3" t="s">
        <v>220</v>
      </c>
    </row>
    <row r="482" spans="1:47" ht="34" x14ac:dyDescent="0.2">
      <c r="A482" s="29">
        <v>487.99999999999955</v>
      </c>
      <c r="B482" s="77">
        <v>306</v>
      </c>
      <c r="C482" s="3">
        <v>22.481000000000002</v>
      </c>
      <c r="D482" s="78" t="s">
        <v>168</v>
      </c>
      <c r="E482" s="17" t="s">
        <v>169</v>
      </c>
      <c r="F482" s="59" t="s">
        <v>170</v>
      </c>
      <c r="G482" s="17"/>
      <c r="H482" s="17" t="s">
        <v>287</v>
      </c>
      <c r="I482" s="68">
        <v>44635</v>
      </c>
      <c r="J482" s="3" t="s">
        <v>142</v>
      </c>
      <c r="K482" s="3" t="s">
        <v>204</v>
      </c>
      <c r="AT482" s="3" t="s">
        <v>220</v>
      </c>
    </row>
    <row r="483" spans="1:47" x14ac:dyDescent="0.2">
      <c r="A483" s="29">
        <v>489.0000000000008</v>
      </c>
      <c r="B483" s="3">
        <v>319</v>
      </c>
      <c r="C483" s="17">
        <v>22.481999999999999</v>
      </c>
      <c r="D483" s="78" t="s">
        <v>168</v>
      </c>
      <c r="E483" s="17" t="s">
        <v>169</v>
      </c>
      <c r="F483" s="3" t="s">
        <v>170</v>
      </c>
      <c r="G483" t="s">
        <v>30</v>
      </c>
      <c r="H483" s="17"/>
      <c r="I483" s="68">
        <v>44650</v>
      </c>
      <c r="J483" s="3" t="s">
        <v>142</v>
      </c>
      <c r="K483" s="3" t="s">
        <v>204</v>
      </c>
      <c r="AT483" s="3" t="s">
        <v>220</v>
      </c>
    </row>
    <row r="484" spans="1:47" ht="68" x14ac:dyDescent="0.2">
      <c r="A484" s="29">
        <v>489.99999999999841</v>
      </c>
      <c r="B484" s="77">
        <v>347</v>
      </c>
      <c r="C484" s="3">
        <v>22.483000000000001</v>
      </c>
      <c r="D484" s="78" t="s">
        <v>168</v>
      </c>
      <c r="E484" s="17" t="s">
        <v>169</v>
      </c>
      <c r="F484" s="59" t="s">
        <v>288</v>
      </c>
      <c r="G484" s="17"/>
      <c r="H484" s="17"/>
      <c r="I484" s="68">
        <v>44678</v>
      </c>
      <c r="J484" s="3" t="s">
        <v>142</v>
      </c>
      <c r="K484" s="3" t="s">
        <v>204</v>
      </c>
      <c r="AT484" s="3" t="s">
        <v>220</v>
      </c>
    </row>
    <row r="485" spans="1:47" x14ac:dyDescent="0.2">
      <c r="A485" s="29">
        <v>490.99999999999966</v>
      </c>
      <c r="B485" s="3">
        <v>366</v>
      </c>
      <c r="C485" s="3">
        <v>22.484000000000002</v>
      </c>
      <c r="D485" s="78" t="s">
        <v>168</v>
      </c>
      <c r="E485" s="17" t="s">
        <v>232</v>
      </c>
      <c r="F485" s="17" t="s">
        <v>31</v>
      </c>
      <c r="G485" s="17" t="s">
        <v>31</v>
      </c>
      <c r="H485" s="17"/>
      <c r="I485" s="68">
        <v>44699</v>
      </c>
      <c r="J485" s="3" t="s">
        <v>142</v>
      </c>
      <c r="K485" s="3" t="s">
        <v>204</v>
      </c>
      <c r="AT485" s="3" t="s">
        <v>220</v>
      </c>
    </row>
    <row r="486" spans="1:47" x14ac:dyDescent="0.2">
      <c r="A486" s="29">
        <v>492.00000000000091</v>
      </c>
      <c r="B486" s="3">
        <v>370</v>
      </c>
      <c r="C486" s="17">
        <v>22.484999999999999</v>
      </c>
      <c r="D486" s="78" t="s">
        <v>168</v>
      </c>
      <c r="E486" s="17" t="s">
        <v>169</v>
      </c>
      <c r="F486" s="3" t="s">
        <v>170</v>
      </c>
      <c r="G486" s="17"/>
      <c r="H486" s="18" t="s">
        <v>171</v>
      </c>
      <c r="I486" s="68">
        <v>44700</v>
      </c>
      <c r="J486" s="3" t="s">
        <v>142</v>
      </c>
      <c r="K486" s="3" t="s">
        <v>204</v>
      </c>
      <c r="AT486" s="3" t="s">
        <v>220</v>
      </c>
    </row>
    <row r="487" spans="1:47" x14ac:dyDescent="0.2">
      <c r="A487" s="29">
        <v>492.99999999999852</v>
      </c>
      <c r="B487" s="3">
        <v>372</v>
      </c>
      <c r="C487" s="3">
        <v>22.486000000000001</v>
      </c>
      <c r="D487" s="78" t="s">
        <v>168</v>
      </c>
      <c r="E487" s="17" t="s">
        <v>169</v>
      </c>
      <c r="F487" s="3" t="s">
        <v>170</v>
      </c>
      <c r="G487"/>
      <c r="H487" s="17" t="s">
        <v>30</v>
      </c>
      <c r="I487" s="68">
        <v>44707</v>
      </c>
      <c r="J487" s="3" t="s">
        <v>142</v>
      </c>
      <c r="K487" s="3" t="s">
        <v>204</v>
      </c>
      <c r="AT487" s="3" t="s">
        <v>220</v>
      </c>
    </row>
    <row r="488" spans="1:47" x14ac:dyDescent="0.2">
      <c r="A488" s="29">
        <v>493.99999999999977</v>
      </c>
      <c r="B488" s="3">
        <v>378</v>
      </c>
      <c r="C488" s="3">
        <v>22.486999999999998</v>
      </c>
      <c r="D488" s="78" t="s">
        <v>168</v>
      </c>
      <c r="E488" s="17" t="s">
        <v>169</v>
      </c>
      <c r="F488" s="3" t="s">
        <v>170</v>
      </c>
      <c r="G488"/>
      <c r="H488" s="17" t="s">
        <v>30</v>
      </c>
      <c r="I488" s="68">
        <v>44707</v>
      </c>
      <c r="J488" s="3" t="s">
        <v>142</v>
      </c>
      <c r="K488" s="3" t="s">
        <v>204</v>
      </c>
      <c r="AT488" s="3" t="s">
        <v>220</v>
      </c>
    </row>
    <row r="489" spans="1:47" x14ac:dyDescent="0.2">
      <c r="A489" s="29">
        <v>495.00000000000102</v>
      </c>
      <c r="B489" s="77">
        <v>391</v>
      </c>
      <c r="C489" s="3">
        <v>22.488</v>
      </c>
      <c r="D489" s="78" t="s">
        <v>168</v>
      </c>
      <c r="E489" s="17" t="s">
        <v>169</v>
      </c>
      <c r="F489" s="3" t="s">
        <v>170</v>
      </c>
      <c r="G489" s="17"/>
      <c r="H489" s="18" t="s">
        <v>171</v>
      </c>
      <c r="I489" s="68">
        <v>44721</v>
      </c>
      <c r="J489" s="3" t="s">
        <v>142</v>
      </c>
      <c r="K489" s="3" t="s">
        <v>204</v>
      </c>
      <c r="AT489" s="3" t="s">
        <v>220</v>
      </c>
    </row>
    <row r="490" spans="1:47" x14ac:dyDescent="0.2">
      <c r="A490" s="29">
        <v>495.99999999999864</v>
      </c>
      <c r="B490" s="95" t="s">
        <v>289</v>
      </c>
      <c r="C490" s="95">
        <v>22.489000000000001</v>
      </c>
      <c r="D490" s="78" t="s">
        <v>168</v>
      </c>
      <c r="E490" s="17" t="s">
        <v>169</v>
      </c>
      <c r="F490" s="3" t="s">
        <v>170</v>
      </c>
      <c r="G490" s="17"/>
      <c r="H490" s="18" t="s">
        <v>171</v>
      </c>
      <c r="I490" s="68">
        <v>44721</v>
      </c>
      <c r="J490" s="3" t="s">
        <v>142</v>
      </c>
      <c r="K490" s="3" t="s">
        <v>204</v>
      </c>
      <c r="AT490" s="3" t="s">
        <v>220</v>
      </c>
    </row>
    <row r="491" spans="1:47" x14ac:dyDescent="0.2">
      <c r="A491" s="29">
        <v>496.99999999999989</v>
      </c>
      <c r="B491" s="3">
        <v>206</v>
      </c>
      <c r="C491" s="12" t="s">
        <v>91</v>
      </c>
      <c r="D491" s="96" t="s">
        <v>290</v>
      </c>
      <c r="E491" s="3" t="s">
        <v>291</v>
      </c>
      <c r="F491" s="3" t="s">
        <v>292</v>
      </c>
      <c r="G491">
        <v>184</v>
      </c>
      <c r="H491"/>
      <c r="I491" s="56">
        <v>44720</v>
      </c>
      <c r="J491" s="3" t="s">
        <v>142</v>
      </c>
      <c r="K491" s="3" t="s">
        <v>204</v>
      </c>
      <c r="AT491" s="3" t="s">
        <v>146</v>
      </c>
    </row>
    <row r="492" spans="1:47" x14ac:dyDescent="0.2">
      <c r="A492" s="29">
        <v>498.00000000000114</v>
      </c>
      <c r="B492" s="3">
        <v>193</v>
      </c>
      <c r="C492" s="3">
        <v>22.491</v>
      </c>
      <c r="D492" s="96" t="s">
        <v>290</v>
      </c>
      <c r="E492" s="3" t="s">
        <v>291</v>
      </c>
      <c r="F492" s="3" t="s">
        <v>292</v>
      </c>
      <c r="G492">
        <v>183</v>
      </c>
      <c r="H492"/>
      <c r="I492" s="56">
        <v>44706</v>
      </c>
      <c r="J492" s="3" t="s">
        <v>142</v>
      </c>
      <c r="K492" s="3" t="s">
        <v>204</v>
      </c>
      <c r="AT492" s="3" t="s">
        <v>146</v>
      </c>
    </row>
    <row r="493" spans="1:47" x14ac:dyDescent="0.2">
      <c r="A493" s="29">
        <v>498.99999999999875</v>
      </c>
      <c r="B493" s="3">
        <v>202</v>
      </c>
      <c r="C493" s="3">
        <v>22.492000000000001</v>
      </c>
      <c r="D493" s="96" t="s">
        <v>290</v>
      </c>
      <c r="E493" s="3" t="s">
        <v>291</v>
      </c>
      <c r="F493" s="3" t="s">
        <v>292</v>
      </c>
      <c r="G493">
        <v>183</v>
      </c>
      <c r="H493"/>
      <c r="I493" s="56">
        <v>44715</v>
      </c>
      <c r="J493" s="3" t="s">
        <v>142</v>
      </c>
      <c r="K493" s="3" t="s">
        <v>204</v>
      </c>
      <c r="AT493" s="3" t="s">
        <v>146</v>
      </c>
    </row>
    <row r="494" spans="1:47" x14ac:dyDescent="0.2">
      <c r="A494" s="29">
        <v>500</v>
      </c>
      <c r="B494" s="3">
        <v>213</v>
      </c>
      <c r="C494" s="3">
        <v>22.492999999999999</v>
      </c>
      <c r="D494" s="96" t="s">
        <v>290</v>
      </c>
      <c r="E494" s="3" t="s">
        <v>291</v>
      </c>
      <c r="F494" s="3" t="s">
        <v>292</v>
      </c>
      <c r="G494">
        <v>183</v>
      </c>
      <c r="H494"/>
      <c r="I494" s="56">
        <v>44729</v>
      </c>
      <c r="J494" s="3" t="s">
        <v>142</v>
      </c>
      <c r="K494" s="3" t="s">
        <v>204</v>
      </c>
      <c r="AT494" s="3" t="s">
        <v>146</v>
      </c>
    </row>
    <row r="495" spans="1:47" ht="51" x14ac:dyDescent="0.2">
      <c r="A495" s="29">
        <v>501.00000000000125</v>
      </c>
      <c r="B495" s="17">
        <v>2</v>
      </c>
      <c r="C495" s="3">
        <v>22.494</v>
      </c>
      <c r="D495" s="97" t="s">
        <v>293</v>
      </c>
      <c r="E495" s="17" t="s">
        <v>294</v>
      </c>
      <c r="F495" s="59" t="s">
        <v>295</v>
      </c>
      <c r="G495" s="17" t="s">
        <v>296</v>
      </c>
      <c r="H495" s="17"/>
      <c r="I495" s="68">
        <v>44747</v>
      </c>
      <c r="J495" s="17" t="s">
        <v>142</v>
      </c>
      <c r="K495" s="17" t="s">
        <v>235</v>
      </c>
      <c r="L495"/>
      <c r="M495">
        <v>292</v>
      </c>
      <c r="N495" s="88">
        <v>289.20999999999998</v>
      </c>
      <c r="O495">
        <v>199.09</v>
      </c>
      <c r="P495">
        <v>207.75</v>
      </c>
      <c r="Q495">
        <v>48.26</v>
      </c>
      <c r="R495">
        <v>28.37</v>
      </c>
      <c r="S495">
        <v>131.82</v>
      </c>
      <c r="T495">
        <v>106.56</v>
      </c>
      <c r="U495">
        <v>59.97</v>
      </c>
      <c r="V495">
        <v>46.89</v>
      </c>
      <c r="W495">
        <v>67.08</v>
      </c>
      <c r="X495">
        <v>90.73</v>
      </c>
      <c r="Y495">
        <v>37.07</v>
      </c>
      <c r="Z495">
        <v>98.4</v>
      </c>
      <c r="AA495">
        <v>80.099999999999994</v>
      </c>
      <c r="AB495">
        <v>68.2</v>
      </c>
      <c r="AC495">
        <v>7.42</v>
      </c>
      <c r="AD495">
        <v>55.6</v>
      </c>
      <c r="AE495">
        <v>37.58</v>
      </c>
      <c r="AF495">
        <v>46.19</v>
      </c>
      <c r="AG495">
        <v>41.63</v>
      </c>
      <c r="AH495">
        <v>46.48</v>
      </c>
      <c r="AI495">
        <v>1.2450000000000001</v>
      </c>
      <c r="AJ495">
        <v>50.04</v>
      </c>
      <c r="AK495" t="s">
        <v>173</v>
      </c>
      <c r="AL495"/>
      <c r="AM495"/>
      <c r="AN495" s="98"/>
      <c r="AO495"/>
      <c r="AP495"/>
      <c r="AQ495"/>
      <c r="AR495"/>
      <c r="AS495"/>
      <c r="AT495" s="3" t="s">
        <v>146</v>
      </c>
      <c r="AU495" s="3" t="s">
        <v>146</v>
      </c>
    </row>
    <row r="496" spans="1:47" ht="51" x14ac:dyDescent="0.2">
      <c r="A496" s="29">
        <v>501.99999999999886</v>
      </c>
      <c r="B496" s="17">
        <v>3</v>
      </c>
      <c r="C496">
        <v>22.495000000000001</v>
      </c>
      <c r="D496" s="97" t="s">
        <v>293</v>
      </c>
      <c r="E496" s="17" t="s">
        <v>294</v>
      </c>
      <c r="F496" s="59" t="s">
        <v>295</v>
      </c>
      <c r="G496" s="17" t="s">
        <v>296</v>
      </c>
      <c r="H496" s="17"/>
      <c r="I496" s="68">
        <v>44757</v>
      </c>
      <c r="J496" s="17" t="s">
        <v>142</v>
      </c>
      <c r="K496" s="17" t="s">
        <v>235</v>
      </c>
      <c r="L496"/>
      <c r="M496">
        <v>296</v>
      </c>
      <c r="N496" s="88">
        <v>289.98</v>
      </c>
      <c r="O496">
        <v>203.54</v>
      </c>
      <c r="P496">
        <v>207.16</v>
      </c>
      <c r="Q496">
        <v>52.85</v>
      </c>
      <c r="R496">
        <v>28.11</v>
      </c>
      <c r="S496">
        <v>133.28</v>
      </c>
      <c r="T496">
        <v>105.82</v>
      </c>
      <c r="U496">
        <v>55.02</v>
      </c>
      <c r="V496">
        <v>43.11</v>
      </c>
      <c r="W496">
        <v>69.290000000000006</v>
      </c>
      <c r="X496">
        <v>90.05</v>
      </c>
      <c r="Y496">
        <v>40.15</v>
      </c>
      <c r="Z496">
        <v>98.26</v>
      </c>
      <c r="AA496">
        <v>81.25</v>
      </c>
      <c r="AB496">
        <v>70.88</v>
      </c>
      <c r="AC496">
        <v>12.53</v>
      </c>
      <c r="AD496">
        <v>58.44</v>
      </c>
      <c r="AE496">
        <v>41.82</v>
      </c>
      <c r="AF496">
        <v>45.08</v>
      </c>
      <c r="AG496">
        <v>39.81</v>
      </c>
      <c r="AH496">
        <v>48.14</v>
      </c>
      <c r="AI496">
        <v>1.3080000000000001</v>
      </c>
      <c r="AJ496">
        <v>46.14</v>
      </c>
      <c r="AK496" t="s">
        <v>173</v>
      </c>
      <c r="AL496"/>
      <c r="AM496"/>
      <c r="AN496" s="98"/>
      <c r="AO496"/>
      <c r="AP496"/>
      <c r="AQ496"/>
      <c r="AR496"/>
      <c r="AS496"/>
      <c r="AT496" s="3" t="s">
        <v>146</v>
      </c>
      <c r="AU496" s="3" t="s">
        <v>146</v>
      </c>
    </row>
    <row r="497" spans="1:47" ht="51" x14ac:dyDescent="0.2">
      <c r="A497" s="29">
        <v>503.00000000000011</v>
      </c>
      <c r="B497" s="17">
        <v>4</v>
      </c>
      <c r="C497">
        <v>22.495999999999999</v>
      </c>
      <c r="D497" s="97" t="s">
        <v>293</v>
      </c>
      <c r="E497" s="17" t="s">
        <v>294</v>
      </c>
      <c r="F497" s="59" t="s">
        <v>295</v>
      </c>
      <c r="G497" s="17" t="s">
        <v>296</v>
      </c>
      <c r="H497" s="17"/>
      <c r="I497" s="68">
        <v>44757</v>
      </c>
      <c r="J497" s="17" t="s">
        <v>142</v>
      </c>
      <c r="K497" s="17" t="s">
        <v>235</v>
      </c>
      <c r="L497"/>
      <c r="M497">
        <v>294</v>
      </c>
      <c r="N497" s="88">
        <v>291.27999999999997</v>
      </c>
      <c r="O497">
        <v>206.77</v>
      </c>
      <c r="P497">
        <f>206.67+8.15</f>
        <v>214.82</v>
      </c>
      <c r="Q497">
        <v>48.36</v>
      </c>
      <c r="R497">
        <v>25.57</v>
      </c>
      <c r="S497">
        <v>139.53</v>
      </c>
      <c r="T497">
        <v>107.12</v>
      </c>
      <c r="U497">
        <v>55.56</v>
      </c>
      <c r="V497">
        <v>42.77</v>
      </c>
      <c r="W497">
        <v>63.68</v>
      </c>
      <c r="X497">
        <v>87.74</v>
      </c>
      <c r="Y497">
        <v>38.11</v>
      </c>
      <c r="Z497">
        <v>96.16</v>
      </c>
      <c r="AA497">
        <v>80.459999999999994</v>
      </c>
      <c r="AB497">
        <v>69.150000000000006</v>
      </c>
      <c r="AC497">
        <v>14.2</v>
      </c>
      <c r="AD497">
        <v>58.12</v>
      </c>
      <c r="AE497">
        <v>41.16</v>
      </c>
      <c r="AF497">
        <v>42.52</v>
      </c>
      <c r="AG497">
        <v>45.22</v>
      </c>
      <c r="AH497">
        <v>45.22</v>
      </c>
      <c r="AI497">
        <v>1.3540000000000001</v>
      </c>
      <c r="AJ497">
        <v>49.01</v>
      </c>
      <c r="AK497" t="s">
        <v>173</v>
      </c>
      <c r="AL497"/>
      <c r="AM497"/>
      <c r="AN497" s="98"/>
      <c r="AO497"/>
      <c r="AP497"/>
      <c r="AQ497"/>
      <c r="AR497"/>
      <c r="AS497"/>
      <c r="AT497" s="3" t="s">
        <v>146</v>
      </c>
      <c r="AU497" s="3" t="s">
        <v>146</v>
      </c>
    </row>
    <row r="498" spans="1:47" ht="51" x14ac:dyDescent="0.2">
      <c r="A498" s="29">
        <v>504.00000000000136</v>
      </c>
      <c r="B498" s="17">
        <v>1</v>
      </c>
      <c r="C498" s="3">
        <v>22.497</v>
      </c>
      <c r="D498" s="97" t="s">
        <v>293</v>
      </c>
      <c r="E498" s="17" t="s">
        <v>294</v>
      </c>
      <c r="F498" s="59" t="s">
        <v>295</v>
      </c>
      <c r="G498" s="17" t="s">
        <v>296</v>
      </c>
      <c r="H498" s="17"/>
      <c r="I498" s="68">
        <v>44737</v>
      </c>
      <c r="J498" s="17" t="s">
        <v>142</v>
      </c>
      <c r="K498" s="17" t="s">
        <v>235</v>
      </c>
      <c r="L498"/>
      <c r="M498">
        <v>274</v>
      </c>
      <c r="N498" s="88"/>
      <c r="O498">
        <v>206.77</v>
      </c>
      <c r="P498">
        <v>217.23</v>
      </c>
      <c r="Q498">
        <v>49.92</v>
      </c>
      <c r="R498">
        <v>33.369999999999997</v>
      </c>
      <c r="S498">
        <v>137.97</v>
      </c>
      <c r="T498">
        <v>109.53</v>
      </c>
      <c r="U498">
        <v>52.17</v>
      </c>
      <c r="V498">
        <v>44.15</v>
      </c>
      <c r="W498">
        <v>66.180000000000007</v>
      </c>
      <c r="X498">
        <v>89.55</v>
      </c>
      <c r="Y498">
        <v>36.75</v>
      </c>
      <c r="Z498">
        <v>96.27</v>
      </c>
      <c r="AA498">
        <v>82.61</v>
      </c>
      <c r="AB498">
        <v>69.98</v>
      </c>
      <c r="AC498">
        <v>15.34</v>
      </c>
      <c r="AD498">
        <v>56.49</v>
      </c>
      <c r="AE498">
        <v>42.18</v>
      </c>
      <c r="AF498">
        <v>42.09</v>
      </c>
      <c r="AG498">
        <v>46.65</v>
      </c>
      <c r="AH498">
        <v>4.34</v>
      </c>
      <c r="AI498">
        <v>1.446</v>
      </c>
      <c r="AJ498">
        <v>48.37</v>
      </c>
      <c r="AK498" t="s">
        <v>173</v>
      </c>
      <c r="AL498"/>
      <c r="AM498"/>
      <c r="AN498"/>
      <c r="AO498"/>
      <c r="AP498"/>
      <c r="AQ498"/>
      <c r="AR498"/>
      <c r="AS498"/>
      <c r="AT498" s="3" t="s">
        <v>146</v>
      </c>
      <c r="AU498" s="3" t="s">
        <v>146</v>
      </c>
    </row>
    <row r="499" spans="1:47" x14ac:dyDescent="0.2">
      <c r="A499" s="29">
        <v>504.99999999999898</v>
      </c>
      <c r="B499">
        <v>405</v>
      </c>
      <c r="C499">
        <v>22.498000000000001</v>
      </c>
      <c r="D499" s="78" t="s">
        <v>168</v>
      </c>
      <c r="E499" s="17" t="s">
        <v>232</v>
      </c>
      <c r="F499" s="17" t="s">
        <v>31</v>
      </c>
      <c r="G499" s="17" t="s">
        <v>31</v>
      </c>
      <c r="H499" s="17"/>
      <c r="I499" s="68">
        <v>44735</v>
      </c>
      <c r="J499" s="17" t="s">
        <v>142</v>
      </c>
      <c r="K499" s="17" t="s">
        <v>235</v>
      </c>
      <c r="L499"/>
      <c r="M499"/>
      <c r="N499" s="88">
        <v>219</v>
      </c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>
        <v>1.2050000000000001</v>
      </c>
      <c r="AJ499">
        <v>42</v>
      </c>
      <c r="AK499" t="s">
        <v>239</v>
      </c>
      <c r="AL499"/>
      <c r="AM499"/>
      <c r="AN499">
        <v>101</v>
      </c>
      <c r="AO499"/>
      <c r="AP499"/>
      <c r="AQ499"/>
      <c r="AR499"/>
      <c r="AS499"/>
      <c r="AT499" s="3" t="s">
        <v>146</v>
      </c>
      <c r="AU499" t="s">
        <v>233</v>
      </c>
    </row>
    <row r="500" spans="1:47" x14ac:dyDescent="0.2">
      <c r="A500" s="29">
        <v>506.00000000000023</v>
      </c>
      <c r="B500" s="17">
        <v>415</v>
      </c>
      <c r="C500" s="3">
        <v>22.498999999999999</v>
      </c>
      <c r="D500" s="78" t="s">
        <v>168</v>
      </c>
      <c r="E500" s="17" t="s">
        <v>169</v>
      </c>
      <c r="F500" s="17" t="s">
        <v>170</v>
      </c>
      <c r="G500" s="3" t="s">
        <v>29</v>
      </c>
      <c r="H500" s="17"/>
      <c r="I500" s="68">
        <v>44764</v>
      </c>
      <c r="J500" s="17" t="s">
        <v>142</v>
      </c>
      <c r="K500" s="17" t="s">
        <v>235</v>
      </c>
      <c r="L500"/>
      <c r="M500"/>
      <c r="N500" s="88">
        <v>286</v>
      </c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>
        <v>1.3220000000000001</v>
      </c>
      <c r="AJ500">
        <v>44</v>
      </c>
      <c r="AK500" t="s">
        <v>239</v>
      </c>
      <c r="AL500"/>
      <c r="AM500"/>
      <c r="AN500">
        <v>115</v>
      </c>
      <c r="AO500"/>
      <c r="AP500"/>
      <c r="AQ500"/>
      <c r="AR500"/>
      <c r="AS500"/>
      <c r="AT500" s="3" t="s">
        <v>146</v>
      </c>
      <c r="AU500" t="s">
        <v>233</v>
      </c>
    </row>
    <row r="501" spans="1:47" x14ac:dyDescent="0.2">
      <c r="A501" s="29">
        <v>507.00000000000148</v>
      </c>
      <c r="B501" s="17">
        <v>420</v>
      </c>
      <c r="C501" s="5" t="s">
        <v>21</v>
      </c>
      <c r="D501" s="78" t="s">
        <v>168</v>
      </c>
      <c r="E501" s="17" t="s">
        <v>169</v>
      </c>
      <c r="F501" s="3" t="s">
        <v>170</v>
      </c>
      <c r="G501" s="17"/>
      <c r="H501" s="18" t="s">
        <v>177</v>
      </c>
      <c r="I501" s="68">
        <v>44767</v>
      </c>
      <c r="J501" s="17" t="s">
        <v>142</v>
      </c>
      <c r="K501" s="17" t="s">
        <v>235</v>
      </c>
      <c r="L501"/>
      <c r="M501"/>
      <c r="N501" s="88">
        <v>303</v>
      </c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>
        <v>1.1859999999999999</v>
      </c>
      <c r="AJ501">
        <v>53</v>
      </c>
      <c r="AK501" t="s">
        <v>239</v>
      </c>
      <c r="AL501"/>
      <c r="AM501"/>
      <c r="AN501">
        <v>150</v>
      </c>
      <c r="AO501"/>
      <c r="AP501"/>
      <c r="AQ501"/>
      <c r="AR501"/>
      <c r="AS501"/>
      <c r="AT501" s="3" t="s">
        <v>146</v>
      </c>
      <c r="AU501" t="s">
        <v>233</v>
      </c>
    </row>
    <row r="502" spans="1:47" x14ac:dyDescent="0.2">
      <c r="A502" s="29">
        <v>507.99999999999909</v>
      </c>
      <c r="B502" s="17">
        <v>421</v>
      </c>
      <c r="C502" s="3">
        <v>22.501000000000001</v>
      </c>
      <c r="D502" s="78" t="s">
        <v>168</v>
      </c>
      <c r="E502" s="17" t="s">
        <v>169</v>
      </c>
      <c r="F502" s="3" t="s">
        <v>170</v>
      </c>
      <c r="G502" s="17"/>
      <c r="H502" s="18" t="s">
        <v>177</v>
      </c>
      <c r="I502" s="68">
        <v>44767</v>
      </c>
      <c r="J502" s="17" t="s">
        <v>142</v>
      </c>
      <c r="K502" s="17" t="s">
        <v>235</v>
      </c>
      <c r="L502"/>
      <c r="M502"/>
      <c r="N502" s="88">
        <v>308</v>
      </c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>
        <v>1.34</v>
      </c>
      <c r="AJ502">
        <v>54</v>
      </c>
      <c r="AK502" t="s">
        <v>239</v>
      </c>
      <c r="AL502"/>
      <c r="AM502"/>
      <c r="AN502">
        <v>149</v>
      </c>
      <c r="AO502"/>
      <c r="AP502"/>
      <c r="AQ502"/>
      <c r="AR502"/>
      <c r="AS502"/>
      <c r="AT502" s="3" t="s">
        <v>146</v>
      </c>
      <c r="AU502" t="s">
        <v>233</v>
      </c>
    </row>
    <row r="503" spans="1:47" x14ac:dyDescent="0.2">
      <c r="A503" s="29">
        <v>509.00000000000034</v>
      </c>
      <c r="B503" s="17">
        <v>423</v>
      </c>
      <c r="C503">
        <v>22.501999999999999</v>
      </c>
      <c r="D503" s="78" t="s">
        <v>168</v>
      </c>
      <c r="E503" s="17" t="s">
        <v>169</v>
      </c>
      <c r="F503" s="3" t="s">
        <v>170</v>
      </c>
      <c r="G503" s="17"/>
      <c r="H503" s="18" t="s">
        <v>177</v>
      </c>
      <c r="I503" s="68">
        <v>44767</v>
      </c>
      <c r="J503" s="17" t="s">
        <v>142</v>
      </c>
      <c r="K503" s="17" t="s">
        <v>235</v>
      </c>
      <c r="L503"/>
      <c r="M503"/>
      <c r="N503" s="88">
        <v>302</v>
      </c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>
        <v>1.23</v>
      </c>
      <c r="AJ503">
        <v>51</v>
      </c>
      <c r="AK503" t="s">
        <v>239</v>
      </c>
      <c r="AL503"/>
      <c r="AM503"/>
      <c r="AN503">
        <v>146</v>
      </c>
      <c r="AO503"/>
      <c r="AP503"/>
      <c r="AQ503"/>
      <c r="AR503" t="s">
        <v>47</v>
      </c>
      <c r="AS503"/>
      <c r="AT503" s="3" t="s">
        <v>146</v>
      </c>
      <c r="AU503" t="s">
        <v>233</v>
      </c>
    </row>
    <row r="504" spans="1:47" x14ac:dyDescent="0.2">
      <c r="A504" s="29">
        <v>510.00000000000159</v>
      </c>
      <c r="B504">
        <v>397</v>
      </c>
      <c r="C504" s="3">
        <v>22.503</v>
      </c>
      <c r="D504" s="78" t="s">
        <v>168</v>
      </c>
      <c r="E504" s="17" t="s">
        <v>169</v>
      </c>
      <c r="F504" s="3" t="s">
        <v>170</v>
      </c>
      <c r="G504" s="17"/>
      <c r="H504" s="18" t="s">
        <v>177</v>
      </c>
      <c r="I504" s="68">
        <v>44735</v>
      </c>
      <c r="J504" s="17" t="s">
        <v>142</v>
      </c>
      <c r="K504" s="17" t="s">
        <v>235</v>
      </c>
      <c r="L504"/>
      <c r="M504"/>
      <c r="N504" s="88">
        <v>311</v>
      </c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>
        <v>1.242</v>
      </c>
      <c r="AJ504">
        <v>53</v>
      </c>
      <c r="AK504" t="s">
        <v>239</v>
      </c>
      <c r="AL504"/>
      <c r="AM504"/>
      <c r="AN504">
        <v>134</v>
      </c>
      <c r="AO504"/>
      <c r="AP504"/>
      <c r="AQ504"/>
      <c r="AR504"/>
      <c r="AS504"/>
      <c r="AT504" s="3" t="s">
        <v>146</v>
      </c>
      <c r="AU504" t="s">
        <v>233</v>
      </c>
    </row>
    <row r="505" spans="1:47" x14ac:dyDescent="0.2">
      <c r="A505" s="29">
        <v>510.9999999999992</v>
      </c>
      <c r="B505">
        <v>403</v>
      </c>
      <c r="C505">
        <v>22.504000000000001</v>
      </c>
      <c r="D505" s="78" t="s">
        <v>168</v>
      </c>
      <c r="E505" s="17" t="s">
        <v>232</v>
      </c>
      <c r="F505" s="17" t="s">
        <v>31</v>
      </c>
      <c r="G505" s="17" t="s">
        <v>31</v>
      </c>
      <c r="H505" s="17"/>
      <c r="I505" s="68">
        <v>44735</v>
      </c>
      <c r="J505" s="17" t="s">
        <v>142</v>
      </c>
      <c r="K505" s="17" t="s">
        <v>235</v>
      </c>
      <c r="L505"/>
      <c r="M505"/>
      <c r="N505" s="88">
        <v>218</v>
      </c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>
        <v>1.2869999999999999</v>
      </c>
      <c r="AJ505">
        <v>40</v>
      </c>
      <c r="AK505" t="s">
        <v>239</v>
      </c>
      <c r="AL505"/>
      <c r="AM505"/>
      <c r="AN505">
        <v>100</v>
      </c>
      <c r="AO505"/>
      <c r="AP505"/>
      <c r="AQ505"/>
      <c r="AR505"/>
      <c r="AS505"/>
      <c r="AT505" s="3" t="s">
        <v>146</v>
      </c>
      <c r="AU505" t="s">
        <v>233</v>
      </c>
    </row>
    <row r="506" spans="1:47" x14ac:dyDescent="0.2">
      <c r="A506" s="29">
        <v>512.00000000000045</v>
      </c>
      <c r="B506" s="17">
        <v>406</v>
      </c>
      <c r="C506" s="3">
        <v>22.504999999999999</v>
      </c>
      <c r="D506" s="78" t="s">
        <v>168</v>
      </c>
      <c r="E506" s="17" t="s">
        <v>169</v>
      </c>
      <c r="F506" s="3" t="s">
        <v>170</v>
      </c>
      <c r="G506" s="17"/>
      <c r="H506" s="18" t="s">
        <v>177</v>
      </c>
      <c r="I506" s="68">
        <v>44736</v>
      </c>
      <c r="J506" s="17" t="s">
        <v>142</v>
      </c>
      <c r="K506" s="17" t="s">
        <v>235</v>
      </c>
      <c r="L506"/>
      <c r="M506"/>
      <c r="N506" s="88">
        <v>315</v>
      </c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>
        <v>1.228</v>
      </c>
      <c r="AJ506">
        <v>59</v>
      </c>
      <c r="AK506" t="s">
        <v>239</v>
      </c>
      <c r="AL506"/>
      <c r="AM506"/>
      <c r="AN506">
        <v>142</v>
      </c>
      <c r="AO506"/>
      <c r="AP506"/>
      <c r="AQ506"/>
      <c r="AR506"/>
      <c r="AS506"/>
      <c r="AT506" s="3" t="s">
        <v>146</v>
      </c>
      <c r="AU506" t="s">
        <v>233</v>
      </c>
    </row>
    <row r="507" spans="1:47" x14ac:dyDescent="0.2">
      <c r="A507" s="29">
        <v>513.00000000000171</v>
      </c>
      <c r="B507" s="77">
        <v>409</v>
      </c>
      <c r="C507">
        <v>22.506</v>
      </c>
      <c r="D507" s="78" t="s">
        <v>168</v>
      </c>
      <c r="E507" s="17" t="s">
        <v>232</v>
      </c>
      <c r="F507" s="17" t="s">
        <v>31</v>
      </c>
      <c r="G507" s="17" t="s">
        <v>31</v>
      </c>
      <c r="H507" s="17"/>
      <c r="I507" s="68">
        <v>44747</v>
      </c>
      <c r="J507" s="17" t="s">
        <v>142</v>
      </c>
      <c r="K507" s="17" t="s">
        <v>235</v>
      </c>
      <c r="L507"/>
      <c r="M507"/>
      <c r="N507" s="88">
        <v>215</v>
      </c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>
        <v>1.26</v>
      </c>
      <c r="AJ507">
        <v>33</v>
      </c>
      <c r="AK507" t="s">
        <v>239</v>
      </c>
      <c r="AL507"/>
      <c r="AM507"/>
      <c r="AN507">
        <v>100</v>
      </c>
      <c r="AO507"/>
      <c r="AP507"/>
      <c r="AQ507"/>
      <c r="AR507"/>
      <c r="AS507"/>
      <c r="AT507" s="3" t="s">
        <v>146</v>
      </c>
      <c r="AU507" t="s">
        <v>233</v>
      </c>
    </row>
    <row r="508" spans="1:47" x14ac:dyDescent="0.2">
      <c r="A508" s="29">
        <v>513.99999999999932</v>
      </c>
      <c r="B508" s="17">
        <v>412</v>
      </c>
      <c r="C508" s="3">
        <v>22.507000000000001</v>
      </c>
      <c r="D508" s="78" t="s">
        <v>168</v>
      </c>
      <c r="E508" s="17" t="s">
        <v>169</v>
      </c>
      <c r="F508" s="3" t="s">
        <v>170</v>
      </c>
      <c r="G508" s="17"/>
      <c r="H508" s="18" t="s">
        <v>177</v>
      </c>
      <c r="I508" s="68">
        <v>44756</v>
      </c>
      <c r="J508" s="17" t="s">
        <v>142</v>
      </c>
      <c r="K508" s="17" t="s">
        <v>235</v>
      </c>
      <c r="L508"/>
      <c r="M508"/>
      <c r="N508" s="88">
        <v>294</v>
      </c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>
        <v>1.1479999999999999</v>
      </c>
      <c r="AJ508">
        <v>54</v>
      </c>
      <c r="AK508" t="s">
        <v>239</v>
      </c>
      <c r="AL508"/>
      <c r="AM508"/>
      <c r="AN508">
        <v>131</v>
      </c>
      <c r="AO508"/>
      <c r="AP508"/>
      <c r="AQ508"/>
      <c r="AR508"/>
      <c r="AS508"/>
      <c r="AT508" s="3" t="s">
        <v>146</v>
      </c>
      <c r="AU508" t="s">
        <v>233</v>
      </c>
    </row>
    <row r="509" spans="1:47" x14ac:dyDescent="0.2">
      <c r="A509" s="29">
        <v>515.00000000000057</v>
      </c>
      <c r="B509" s="17">
        <v>413</v>
      </c>
      <c r="C509">
        <v>22.507999999999999</v>
      </c>
      <c r="D509" s="78" t="s">
        <v>168</v>
      </c>
      <c r="E509" s="17" t="s">
        <v>169</v>
      </c>
      <c r="F509" s="3" t="s">
        <v>170</v>
      </c>
      <c r="G509" s="17"/>
      <c r="H509" s="18" t="s">
        <v>177</v>
      </c>
      <c r="I509" s="68">
        <v>44757</v>
      </c>
      <c r="J509" s="17" t="s">
        <v>142</v>
      </c>
      <c r="K509" s="17" t="s">
        <v>235</v>
      </c>
      <c r="L509"/>
      <c r="M509"/>
      <c r="N509" s="88">
        <v>292</v>
      </c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>
        <v>1.149</v>
      </c>
      <c r="AJ509">
        <v>51</v>
      </c>
      <c r="AK509" t="s">
        <v>239</v>
      </c>
      <c r="AL509"/>
      <c r="AM509"/>
      <c r="AN509">
        <v>137</v>
      </c>
      <c r="AO509"/>
      <c r="AP509"/>
      <c r="AQ509"/>
      <c r="AR509"/>
      <c r="AS509"/>
      <c r="AT509" s="3" t="s">
        <v>146</v>
      </c>
      <c r="AU509" t="s">
        <v>233</v>
      </c>
    </row>
    <row r="510" spans="1:47" x14ac:dyDescent="0.2">
      <c r="A510" s="29">
        <v>515.99999999999818</v>
      </c>
      <c r="B510" s="17">
        <v>411</v>
      </c>
      <c r="C510">
        <v>22.509</v>
      </c>
      <c r="D510" s="78" t="s">
        <v>168</v>
      </c>
      <c r="E510" s="17" t="s">
        <v>169</v>
      </c>
      <c r="F510" s="3" t="s">
        <v>170</v>
      </c>
      <c r="G510" s="17"/>
      <c r="H510" s="18" t="s">
        <v>177</v>
      </c>
      <c r="I510" s="68">
        <v>44755</v>
      </c>
      <c r="J510" s="17" t="s">
        <v>142</v>
      </c>
      <c r="K510" s="17" t="s">
        <v>235</v>
      </c>
      <c r="L510"/>
      <c r="M510"/>
      <c r="N510" s="88">
        <v>307</v>
      </c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>
        <v>1.1359999999999999</v>
      </c>
      <c r="AJ510">
        <v>61</v>
      </c>
      <c r="AK510" t="s">
        <v>239</v>
      </c>
      <c r="AL510"/>
      <c r="AM510"/>
      <c r="AN510">
        <v>148</v>
      </c>
      <c r="AO510"/>
      <c r="AP510"/>
      <c r="AQ510"/>
      <c r="AR510"/>
      <c r="AS510"/>
      <c r="AT510" s="3" t="s">
        <v>146</v>
      </c>
      <c r="AU510" t="s">
        <v>233</v>
      </c>
    </row>
    <row r="511" spans="1:47" x14ac:dyDescent="0.2">
      <c r="A511" s="29">
        <v>516.99999999999943</v>
      </c>
      <c r="B511" s="17">
        <v>425</v>
      </c>
      <c r="C511" s="5" t="s">
        <v>297</v>
      </c>
      <c r="D511" s="78" t="s">
        <v>168</v>
      </c>
      <c r="E511" s="17" t="s">
        <v>169</v>
      </c>
      <c r="F511" s="17" t="s">
        <v>170</v>
      </c>
      <c r="G511" s="17"/>
      <c r="H511" s="3" t="s">
        <v>234</v>
      </c>
      <c r="I511" s="68">
        <v>44777</v>
      </c>
      <c r="J511" s="17" t="s">
        <v>142</v>
      </c>
      <c r="K511" s="17" t="s">
        <v>235</v>
      </c>
      <c r="L511"/>
      <c r="M511"/>
      <c r="N511" s="88">
        <v>291</v>
      </c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>
        <v>1.48</v>
      </c>
      <c r="AJ511"/>
      <c r="AK511" t="s">
        <v>239</v>
      </c>
      <c r="AL511"/>
      <c r="AM511"/>
      <c r="AN511">
        <v>192</v>
      </c>
      <c r="AO511"/>
      <c r="AP511"/>
      <c r="AQ511"/>
      <c r="AR511"/>
      <c r="AS511"/>
      <c r="AT511" s="3" t="s">
        <v>146</v>
      </c>
      <c r="AU511" t="s">
        <v>233</v>
      </c>
    </row>
    <row r="512" spans="1:47" x14ac:dyDescent="0.2">
      <c r="A512" s="29">
        <v>518.00000000000068</v>
      </c>
      <c r="B512" s="17">
        <v>410</v>
      </c>
      <c r="C512">
        <v>22.510999999999999</v>
      </c>
      <c r="D512" s="78" t="s">
        <v>168</v>
      </c>
      <c r="E512" s="17" t="s">
        <v>232</v>
      </c>
      <c r="F512" s="17" t="s">
        <v>31</v>
      </c>
      <c r="G512" s="17" t="s">
        <v>31</v>
      </c>
      <c r="H512" s="17"/>
      <c r="I512" s="68">
        <v>44747</v>
      </c>
      <c r="J512" s="17" t="s">
        <v>142</v>
      </c>
      <c r="K512" s="17" t="s">
        <v>235</v>
      </c>
      <c r="L512"/>
      <c r="M512"/>
      <c r="N512" s="88">
        <v>217</v>
      </c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>
        <v>1.1439999999999999</v>
      </c>
      <c r="AJ512">
        <v>36</v>
      </c>
      <c r="AK512" t="s">
        <v>239</v>
      </c>
      <c r="AL512"/>
      <c r="AM512"/>
      <c r="AN512">
        <v>95</v>
      </c>
      <c r="AO512"/>
      <c r="AP512"/>
      <c r="AQ512"/>
      <c r="AR512"/>
      <c r="AS512"/>
      <c r="AT512" s="3" t="s">
        <v>146</v>
      </c>
      <c r="AU512" t="s">
        <v>233</v>
      </c>
    </row>
    <row r="513" spans="1:47" x14ac:dyDescent="0.2">
      <c r="A513" s="29">
        <v>518.99999999999841</v>
      </c>
      <c r="B513">
        <v>398</v>
      </c>
      <c r="C513">
        <v>22.512</v>
      </c>
      <c r="D513" s="78" t="s">
        <v>168</v>
      </c>
      <c r="E513" s="17" t="s">
        <v>169</v>
      </c>
      <c r="F513" s="3" t="s">
        <v>170</v>
      </c>
      <c r="G513" t="s">
        <v>30</v>
      </c>
      <c r="H513" s="17"/>
      <c r="I513" s="68">
        <v>44735</v>
      </c>
      <c r="J513" s="17" t="s">
        <v>142</v>
      </c>
      <c r="K513" s="17" t="s">
        <v>235</v>
      </c>
      <c r="L513"/>
      <c r="M513"/>
      <c r="N513" s="88">
        <v>300</v>
      </c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>
        <v>1.151</v>
      </c>
      <c r="AJ513">
        <v>58</v>
      </c>
      <c r="AK513" t="s">
        <v>173</v>
      </c>
      <c r="AL513"/>
      <c r="AM513"/>
      <c r="AN513">
        <v>156</v>
      </c>
      <c r="AO513"/>
      <c r="AP513"/>
      <c r="AQ513"/>
      <c r="AR513"/>
      <c r="AS513"/>
      <c r="AT513" s="3" t="s">
        <v>146</v>
      </c>
      <c r="AU513" t="s">
        <v>233</v>
      </c>
    </row>
    <row r="514" spans="1:47" x14ac:dyDescent="0.2">
      <c r="A514" s="29">
        <v>519.99999999999955</v>
      </c>
      <c r="B514" s="77">
        <v>402</v>
      </c>
      <c r="C514">
        <v>22.513000000000002</v>
      </c>
      <c r="D514" s="78" t="s">
        <v>168</v>
      </c>
      <c r="E514" s="17" t="s">
        <v>232</v>
      </c>
      <c r="F514" s="17" t="s">
        <v>31</v>
      </c>
      <c r="G514" s="17" t="s">
        <v>31</v>
      </c>
      <c r="H514" s="17"/>
      <c r="I514" s="68">
        <v>44735</v>
      </c>
      <c r="J514" s="17" t="s">
        <v>142</v>
      </c>
      <c r="K514" s="17" t="s">
        <v>235</v>
      </c>
      <c r="L514"/>
      <c r="M514"/>
      <c r="N514" s="88">
        <v>225</v>
      </c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>
        <v>1.177</v>
      </c>
      <c r="AJ514">
        <v>39</v>
      </c>
      <c r="AK514" t="s">
        <v>172</v>
      </c>
      <c r="AL514"/>
      <c r="AM514"/>
      <c r="AN514">
        <v>105</v>
      </c>
      <c r="AO514"/>
      <c r="AP514"/>
      <c r="AQ514"/>
      <c r="AR514"/>
      <c r="AS514"/>
      <c r="AT514" s="3" t="s">
        <v>146</v>
      </c>
      <c r="AU514" t="s">
        <v>233</v>
      </c>
    </row>
    <row r="515" spans="1:47" x14ac:dyDescent="0.2">
      <c r="A515" s="29">
        <v>521.0000000000008</v>
      </c>
      <c r="B515">
        <v>100</v>
      </c>
      <c r="C515">
        <v>22.513999999999999</v>
      </c>
      <c r="D515" s="31" t="s">
        <v>140</v>
      </c>
      <c r="E515" s="3" t="s">
        <v>141</v>
      </c>
      <c r="F515" s="3" t="s">
        <v>60</v>
      </c>
      <c r="H515" s="3" t="s">
        <v>60</v>
      </c>
      <c r="I515" s="82">
        <v>44756</v>
      </c>
      <c r="J515" s="3" t="s">
        <v>142</v>
      </c>
      <c r="K515" s="3" t="s">
        <v>204</v>
      </c>
      <c r="M515" s="17">
        <v>230.9</v>
      </c>
      <c r="N515" s="88">
        <v>238</v>
      </c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>
        <v>1.387</v>
      </c>
      <c r="AJ515">
        <v>40</v>
      </c>
      <c r="AK515" t="s">
        <v>172</v>
      </c>
      <c r="AL515"/>
      <c r="AM515"/>
      <c r="AN515">
        <v>100</v>
      </c>
      <c r="AO515"/>
      <c r="AP515"/>
      <c r="AQ515"/>
      <c r="AR515"/>
      <c r="AS515"/>
      <c r="AT515" s="3" t="s">
        <v>146</v>
      </c>
      <c r="AU515" t="s">
        <v>233</v>
      </c>
    </row>
    <row r="516" spans="1:47" x14ac:dyDescent="0.2">
      <c r="A516" s="29">
        <v>521.99999999999841</v>
      </c>
      <c r="B516">
        <v>101</v>
      </c>
      <c r="C516">
        <v>22.515000000000001</v>
      </c>
      <c r="D516" s="31" t="s">
        <v>140</v>
      </c>
      <c r="E516" s="3" t="s">
        <v>141</v>
      </c>
      <c r="F516" s="3" t="s">
        <v>60</v>
      </c>
      <c r="G516" s="3" t="s">
        <v>60</v>
      </c>
      <c r="H516" s="3" t="s">
        <v>60</v>
      </c>
      <c r="I516" s="82">
        <v>44757</v>
      </c>
      <c r="J516" s="3" t="s">
        <v>142</v>
      </c>
      <c r="K516" s="3" t="s">
        <v>204</v>
      </c>
      <c r="M516" s="17">
        <v>228.4</v>
      </c>
      <c r="N516" s="88">
        <v>229</v>
      </c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>
        <v>1.5629999999999999</v>
      </c>
      <c r="AJ516">
        <v>40</v>
      </c>
      <c r="AK516" t="s">
        <v>173</v>
      </c>
      <c r="AL516"/>
      <c r="AM516"/>
      <c r="AN516">
        <v>60</v>
      </c>
      <c r="AO516"/>
      <c r="AP516"/>
      <c r="AQ516"/>
      <c r="AR516"/>
      <c r="AS516"/>
      <c r="AT516" s="3" t="s">
        <v>146</v>
      </c>
      <c r="AU516" t="s">
        <v>233</v>
      </c>
    </row>
    <row r="517" spans="1:47" x14ac:dyDescent="0.2">
      <c r="A517" s="29">
        <v>522.99999999999966</v>
      </c>
      <c r="B517">
        <v>106</v>
      </c>
      <c r="C517">
        <v>22.515999999999998</v>
      </c>
      <c r="D517" s="31" t="s">
        <v>140</v>
      </c>
      <c r="E517" s="3" t="s">
        <v>141</v>
      </c>
      <c r="F517" s="3" t="s">
        <v>60</v>
      </c>
      <c r="H517" s="3" t="s">
        <v>60</v>
      </c>
      <c r="I517" s="82">
        <v>44766</v>
      </c>
      <c r="J517" s="3" t="s">
        <v>142</v>
      </c>
      <c r="K517" s="3" t="s">
        <v>204</v>
      </c>
      <c r="M517" s="17">
        <v>258.5</v>
      </c>
      <c r="N517" s="88">
        <v>260</v>
      </c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>
        <v>1.657</v>
      </c>
      <c r="AJ517">
        <v>46</v>
      </c>
      <c r="AK517" t="s">
        <v>172</v>
      </c>
      <c r="AL517"/>
      <c r="AM517"/>
      <c r="AN517">
        <v>121</v>
      </c>
      <c r="AO517"/>
      <c r="AP517"/>
      <c r="AQ517"/>
      <c r="AR517"/>
      <c r="AS517"/>
      <c r="AT517" s="3" t="s">
        <v>146</v>
      </c>
      <c r="AU517" t="s">
        <v>233</v>
      </c>
    </row>
    <row r="518" spans="1:47" x14ac:dyDescent="0.2">
      <c r="A518" s="29">
        <v>524.00000000000091</v>
      </c>
      <c r="B518" s="17" t="s">
        <v>298</v>
      </c>
      <c r="C518">
        <v>22.516999999999999</v>
      </c>
      <c r="D518" s="74" t="s">
        <v>179</v>
      </c>
      <c r="E518" t="s">
        <v>180</v>
      </c>
      <c r="F518" t="s">
        <v>181</v>
      </c>
      <c r="G518"/>
      <c r="H518" t="s">
        <v>268</v>
      </c>
      <c r="I518" s="56">
        <v>44738</v>
      </c>
      <c r="J518" s="17" t="s">
        <v>238</v>
      </c>
      <c r="K518" s="17" t="s">
        <v>235</v>
      </c>
      <c r="L518">
        <v>255</v>
      </c>
      <c r="M518"/>
      <c r="N518" s="88">
        <v>240</v>
      </c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>
        <v>1.012</v>
      </c>
      <c r="AJ518">
        <v>41</v>
      </c>
      <c r="AK518" t="s">
        <v>239</v>
      </c>
      <c r="AL518"/>
      <c r="AM518"/>
      <c r="AN518">
        <v>128</v>
      </c>
      <c r="AO518"/>
      <c r="AP518"/>
      <c r="AQ518"/>
      <c r="AR518"/>
      <c r="AS518"/>
      <c r="AT518" s="3" t="s">
        <v>146</v>
      </c>
      <c r="AU518" t="s">
        <v>233</v>
      </c>
    </row>
    <row r="519" spans="1:47" x14ac:dyDescent="0.2">
      <c r="A519" s="29">
        <v>524.99999999999864</v>
      </c>
      <c r="B519">
        <v>107</v>
      </c>
      <c r="C519">
        <v>22.518000000000001</v>
      </c>
      <c r="D519" s="31" t="s">
        <v>140</v>
      </c>
      <c r="E519" s="3" t="s">
        <v>141</v>
      </c>
      <c r="F519" s="3" t="s">
        <v>60</v>
      </c>
      <c r="G519" s="3" t="s">
        <v>60</v>
      </c>
      <c r="H519" s="3" t="s">
        <v>60</v>
      </c>
      <c r="I519" s="82">
        <v>44766</v>
      </c>
      <c r="J519" s="3" t="s">
        <v>142</v>
      </c>
      <c r="K519" s="3" t="s">
        <v>204</v>
      </c>
      <c r="M519" s="17">
        <v>250.5</v>
      </c>
      <c r="N519" s="88">
        <v>252</v>
      </c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>
        <v>1.452</v>
      </c>
      <c r="AJ519">
        <v>46</v>
      </c>
      <c r="AK519" t="s">
        <v>239</v>
      </c>
      <c r="AL519"/>
      <c r="AM519"/>
      <c r="AN519">
        <v>114</v>
      </c>
      <c r="AO519"/>
      <c r="AP519"/>
      <c r="AQ519"/>
      <c r="AR519"/>
      <c r="AS519"/>
      <c r="AT519" s="3" t="s">
        <v>146</v>
      </c>
      <c r="AU519" t="s">
        <v>233</v>
      </c>
    </row>
    <row r="520" spans="1:47" x14ac:dyDescent="0.2">
      <c r="A520" s="29">
        <v>525.99999999999977</v>
      </c>
      <c r="B520" s="17" t="s">
        <v>299</v>
      </c>
      <c r="C520">
        <v>22.518999999999998</v>
      </c>
      <c r="D520" s="74" t="s">
        <v>179</v>
      </c>
      <c r="E520" t="s">
        <v>180</v>
      </c>
      <c r="F520" t="s">
        <v>181</v>
      </c>
      <c r="G520">
        <v>259</v>
      </c>
      <c r="H520">
        <v>259</v>
      </c>
      <c r="I520" s="56">
        <v>44738</v>
      </c>
      <c r="J520" s="17" t="s">
        <v>238</v>
      </c>
      <c r="K520" s="17" t="s">
        <v>235</v>
      </c>
      <c r="L520">
        <v>255</v>
      </c>
      <c r="M520"/>
      <c r="N520" s="88">
        <v>257</v>
      </c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>
        <v>0.87</v>
      </c>
      <c r="AJ520">
        <v>40</v>
      </c>
      <c r="AK520" t="s">
        <v>173</v>
      </c>
      <c r="AL520"/>
      <c r="AM520"/>
      <c r="AN520">
        <v>126</v>
      </c>
      <c r="AO520"/>
      <c r="AP520"/>
      <c r="AQ520"/>
      <c r="AR520"/>
      <c r="AS520"/>
      <c r="AT520" s="3" t="s">
        <v>146</v>
      </c>
      <c r="AU520" t="s">
        <v>233</v>
      </c>
    </row>
    <row r="521" spans="1:47" x14ac:dyDescent="0.2">
      <c r="A521" s="29">
        <v>527.00000000000102</v>
      </c>
      <c r="B521" s="17" t="s">
        <v>300</v>
      </c>
      <c r="C521" s="5" t="s">
        <v>39</v>
      </c>
      <c r="D521" s="74" t="s">
        <v>179</v>
      </c>
      <c r="E521" t="s">
        <v>180</v>
      </c>
      <c r="F521" t="s">
        <v>181</v>
      </c>
      <c r="G521"/>
      <c r="H521" t="s">
        <v>268</v>
      </c>
      <c r="I521" s="56">
        <v>44742</v>
      </c>
      <c r="J521" s="17" t="s">
        <v>238</v>
      </c>
      <c r="K521" s="17" t="s">
        <v>235</v>
      </c>
      <c r="L521">
        <v>265</v>
      </c>
      <c r="M521"/>
      <c r="N521" s="88">
        <v>273</v>
      </c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>
        <v>0.97799999999999998</v>
      </c>
      <c r="AJ521">
        <v>42</v>
      </c>
      <c r="AK521" t="s">
        <v>172</v>
      </c>
      <c r="AL521"/>
      <c r="AM521"/>
      <c r="AN521">
        <v>137</v>
      </c>
      <c r="AO521"/>
      <c r="AP521"/>
      <c r="AQ521"/>
      <c r="AR521"/>
      <c r="AS521"/>
      <c r="AT521" s="3" t="s">
        <v>146</v>
      </c>
      <c r="AU521" t="s">
        <v>233</v>
      </c>
    </row>
    <row r="522" spans="1:47" x14ac:dyDescent="0.2">
      <c r="A522" s="29">
        <v>527.99999999999864</v>
      </c>
      <c r="B522" s="17" t="s">
        <v>301</v>
      </c>
      <c r="C522">
        <v>22.521000000000001</v>
      </c>
      <c r="D522" s="74" t="s">
        <v>179</v>
      </c>
      <c r="E522" t="s">
        <v>180</v>
      </c>
      <c r="F522" t="s">
        <v>181</v>
      </c>
      <c r="G522"/>
      <c r="H522" t="s">
        <v>268</v>
      </c>
      <c r="I522" s="56">
        <v>44742</v>
      </c>
      <c r="J522" s="17" t="s">
        <v>238</v>
      </c>
      <c r="K522" s="17" t="s">
        <v>235</v>
      </c>
      <c r="L522">
        <v>260</v>
      </c>
      <c r="M522"/>
      <c r="N522" s="88">
        <v>260</v>
      </c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>
        <v>0.879</v>
      </c>
      <c r="AJ522">
        <v>44</v>
      </c>
      <c r="AK522" t="s">
        <v>172</v>
      </c>
      <c r="AL522"/>
      <c r="AM522"/>
      <c r="AN522">
        <v>107</v>
      </c>
      <c r="AO522"/>
      <c r="AP522"/>
      <c r="AQ522"/>
      <c r="AR522"/>
      <c r="AS522"/>
      <c r="AT522" s="3" t="s">
        <v>146</v>
      </c>
      <c r="AU522" t="s">
        <v>233</v>
      </c>
    </row>
    <row r="523" spans="1:47" x14ac:dyDescent="0.2">
      <c r="A523" s="29">
        <v>528.99999999999989</v>
      </c>
      <c r="B523" s="17" t="s">
        <v>302</v>
      </c>
      <c r="C523">
        <v>22.521999999999998</v>
      </c>
      <c r="D523" s="74" t="s">
        <v>179</v>
      </c>
      <c r="E523" t="s">
        <v>180</v>
      </c>
      <c r="F523" t="s">
        <v>181</v>
      </c>
      <c r="G523"/>
      <c r="H523" t="s">
        <v>268</v>
      </c>
      <c r="I523" s="56">
        <v>44743</v>
      </c>
      <c r="J523" s="17" t="s">
        <v>238</v>
      </c>
      <c r="K523" s="17" t="s">
        <v>235</v>
      </c>
      <c r="L523">
        <v>255</v>
      </c>
      <c r="M523"/>
      <c r="N523" s="88">
        <v>260</v>
      </c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>
        <v>0.93700000000000006</v>
      </c>
      <c r="AJ523">
        <v>36</v>
      </c>
      <c r="AK523" t="s">
        <v>172</v>
      </c>
      <c r="AL523"/>
      <c r="AM523"/>
      <c r="AN523">
        <v>150</v>
      </c>
      <c r="AO523"/>
      <c r="AP523"/>
      <c r="AQ523"/>
      <c r="AR523"/>
      <c r="AS523"/>
      <c r="AT523" s="3" t="s">
        <v>146</v>
      </c>
      <c r="AU523" t="s">
        <v>233</v>
      </c>
    </row>
    <row r="524" spans="1:47" x14ac:dyDescent="0.2">
      <c r="A524" s="29">
        <v>530.00000000000114</v>
      </c>
      <c r="B524" s="17" t="s">
        <v>303</v>
      </c>
      <c r="C524">
        <v>22.523</v>
      </c>
      <c r="D524" s="74" t="s">
        <v>179</v>
      </c>
      <c r="E524" t="s">
        <v>180</v>
      </c>
      <c r="F524" t="s">
        <v>181</v>
      </c>
      <c r="G524"/>
      <c r="H524" t="s">
        <v>268</v>
      </c>
      <c r="I524" s="56">
        <v>44738</v>
      </c>
      <c r="J524" s="17" t="s">
        <v>238</v>
      </c>
      <c r="K524" s="17" t="s">
        <v>235</v>
      </c>
      <c r="L524">
        <v>240</v>
      </c>
      <c r="M524"/>
      <c r="N524" s="88">
        <v>246</v>
      </c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>
        <v>0.86199999999999999</v>
      </c>
      <c r="AJ524">
        <v>40</v>
      </c>
      <c r="AK524" t="s">
        <v>172</v>
      </c>
      <c r="AL524"/>
      <c r="AM524"/>
      <c r="AN524">
        <v>93</v>
      </c>
      <c r="AO524"/>
      <c r="AP524"/>
      <c r="AQ524"/>
      <c r="AR524"/>
      <c r="AS524"/>
      <c r="AT524" s="3" t="s">
        <v>146</v>
      </c>
      <c r="AU524" t="s">
        <v>233</v>
      </c>
    </row>
    <row r="525" spans="1:47" x14ac:dyDescent="0.2">
      <c r="A525" s="29">
        <v>530.99999999999886</v>
      </c>
      <c r="B525" s="17" t="s">
        <v>304</v>
      </c>
      <c r="C525">
        <v>22.524000000000001</v>
      </c>
      <c r="D525" s="74" t="s">
        <v>179</v>
      </c>
      <c r="E525" t="s">
        <v>180</v>
      </c>
      <c r="F525" t="s">
        <v>181</v>
      </c>
      <c r="G525"/>
      <c r="H525" t="s">
        <v>268</v>
      </c>
      <c r="I525" s="56">
        <v>44741</v>
      </c>
      <c r="J525" s="17" t="s">
        <v>238</v>
      </c>
      <c r="K525" s="17" t="s">
        <v>235</v>
      </c>
      <c r="L525">
        <v>250</v>
      </c>
      <c r="M525"/>
      <c r="N525" s="88">
        <v>249</v>
      </c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>
        <v>0.79700000000000004</v>
      </c>
      <c r="AJ525">
        <v>40</v>
      </c>
      <c r="AK525" t="s">
        <v>172</v>
      </c>
      <c r="AL525"/>
      <c r="AM525"/>
      <c r="AN525">
        <v>135</v>
      </c>
      <c r="AO525"/>
      <c r="AP525"/>
      <c r="AQ525"/>
      <c r="AR525"/>
      <c r="AS525"/>
      <c r="AT525" s="3" t="s">
        <v>146</v>
      </c>
      <c r="AU525" t="s">
        <v>233</v>
      </c>
    </row>
    <row r="526" spans="1:47" x14ac:dyDescent="0.2">
      <c r="A526" s="29">
        <v>532</v>
      </c>
      <c r="B526">
        <v>121</v>
      </c>
      <c r="C526">
        <v>22.524999999999999</v>
      </c>
      <c r="D526" s="31" t="s">
        <v>140</v>
      </c>
      <c r="E526" s="3" t="s">
        <v>141</v>
      </c>
      <c r="F526" s="3" t="s">
        <v>60</v>
      </c>
      <c r="H526" s="3" t="s">
        <v>60</v>
      </c>
      <c r="I526" s="82">
        <v>44798</v>
      </c>
      <c r="J526" s="3" t="s">
        <v>142</v>
      </c>
      <c r="K526" s="3" t="s">
        <v>166</v>
      </c>
      <c r="M526" s="17">
        <v>269.3</v>
      </c>
      <c r="N526" s="88">
        <v>269.10000000000002</v>
      </c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>
        <v>1.645</v>
      </c>
      <c r="AJ526"/>
      <c r="AK526"/>
      <c r="AL526"/>
      <c r="AM526"/>
      <c r="AN526"/>
      <c r="AO526"/>
      <c r="AP526"/>
      <c r="AQ526"/>
      <c r="AR526"/>
      <c r="AS526"/>
      <c r="AT526"/>
      <c r="AU526"/>
    </row>
    <row r="527" spans="1:47" x14ac:dyDescent="0.2">
      <c r="A527" s="29">
        <v>533.00000000000125</v>
      </c>
      <c r="B527">
        <v>123</v>
      </c>
      <c r="C527">
        <v>22.526</v>
      </c>
      <c r="D527" s="31" t="s">
        <v>140</v>
      </c>
      <c r="E527" s="3" t="s">
        <v>141</v>
      </c>
      <c r="F527" s="3" t="s">
        <v>61</v>
      </c>
      <c r="H527" s="3" t="s">
        <v>61</v>
      </c>
      <c r="I527" s="82">
        <v>44799</v>
      </c>
      <c r="J527" s="3" t="s">
        <v>142</v>
      </c>
      <c r="K527" s="3" t="s">
        <v>166</v>
      </c>
      <c r="M527" s="17">
        <v>241</v>
      </c>
      <c r="N527" s="88">
        <v>243.1</v>
      </c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>
        <v>1.119</v>
      </c>
      <c r="AJ527"/>
      <c r="AK527"/>
      <c r="AL527"/>
      <c r="AM527"/>
      <c r="AN527"/>
      <c r="AO527"/>
      <c r="AP527"/>
      <c r="AQ527"/>
      <c r="AR527"/>
      <c r="AS527"/>
      <c r="AT527"/>
      <c r="AU527"/>
    </row>
    <row r="528" spans="1:47" x14ac:dyDescent="0.2">
      <c r="A528" s="29">
        <v>533.99999999999886</v>
      </c>
      <c r="B528">
        <v>112</v>
      </c>
      <c r="C528">
        <v>22.527000000000001</v>
      </c>
      <c r="D528" s="31" t="s">
        <v>140</v>
      </c>
      <c r="E528" s="3" t="s">
        <v>141</v>
      </c>
      <c r="F528" s="3" t="s">
        <v>60</v>
      </c>
      <c r="H528" s="3" t="s">
        <v>60</v>
      </c>
      <c r="I528" s="82">
        <v>44782</v>
      </c>
      <c r="J528" s="3" t="s">
        <v>142</v>
      </c>
      <c r="K528" s="3" t="s">
        <v>166</v>
      </c>
      <c r="M528" s="17">
        <v>206.9</v>
      </c>
      <c r="N528" s="88">
        <v>206.7</v>
      </c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>
        <v>20</v>
      </c>
      <c r="AM528"/>
      <c r="AN528"/>
      <c r="AO528">
        <v>9</v>
      </c>
      <c r="AP528">
        <v>85.7</v>
      </c>
      <c r="AQ528">
        <v>42.6</v>
      </c>
      <c r="AR528">
        <v>47.7</v>
      </c>
      <c r="AS528">
        <v>20.7</v>
      </c>
      <c r="AT528"/>
      <c r="AU528"/>
    </row>
    <row r="529" spans="1:47" ht="51" x14ac:dyDescent="0.2">
      <c r="A529" s="29">
        <v>535.00000000000011</v>
      </c>
      <c r="B529" s="17" t="s">
        <v>305</v>
      </c>
      <c r="C529">
        <v>22.527999999999999</v>
      </c>
      <c r="D529" s="97" t="s">
        <v>293</v>
      </c>
      <c r="E529" s="17" t="s">
        <v>294</v>
      </c>
      <c r="F529" s="59" t="s">
        <v>295</v>
      </c>
      <c r="G529" s="17"/>
      <c r="H529" s="17"/>
      <c r="I529" s="99"/>
      <c r="J529" s="17" t="s">
        <v>142</v>
      </c>
      <c r="K529" s="17" t="s">
        <v>203</v>
      </c>
      <c r="L529"/>
      <c r="M529"/>
      <c r="N529" s="88">
        <v>240.3</v>
      </c>
      <c r="O529">
        <v>178.04</v>
      </c>
      <c r="P529">
        <v>187.43</v>
      </c>
      <c r="Q529">
        <v>42.68</v>
      </c>
      <c r="R529">
        <v>29.35</v>
      </c>
      <c r="S529">
        <v>113.96</v>
      </c>
      <c r="T529">
        <v>91.21</v>
      </c>
      <c r="U529">
        <v>53.51</v>
      </c>
      <c r="V529">
        <v>43.62</v>
      </c>
      <c r="W529">
        <v>68.150000000000006</v>
      </c>
      <c r="X529">
        <v>90.62</v>
      </c>
      <c r="Y529">
        <v>35.630000000000003</v>
      </c>
      <c r="Z529">
        <v>101.69</v>
      </c>
      <c r="AA529">
        <v>78.59</v>
      </c>
      <c r="AB529">
        <v>73.72</v>
      </c>
      <c r="AC529">
        <v>16.18</v>
      </c>
      <c r="AD529">
        <v>51.12</v>
      </c>
      <c r="AE529">
        <v>33.770000000000003</v>
      </c>
      <c r="AF529">
        <v>42.2</v>
      </c>
      <c r="AG529">
        <v>38.159999999999997</v>
      </c>
      <c r="AH529">
        <v>41.64</v>
      </c>
      <c r="AI529">
        <v>1.3460000000000001</v>
      </c>
      <c r="AJ529"/>
      <c r="AK529"/>
      <c r="AL529">
        <v>19</v>
      </c>
      <c r="AM529"/>
      <c r="AN529"/>
      <c r="AO529">
        <v>10.1</v>
      </c>
      <c r="AP529">
        <v>110.6</v>
      </c>
      <c r="AQ529">
        <v>45.6</v>
      </c>
      <c r="AR529">
        <v>51.9</v>
      </c>
      <c r="AS529">
        <v>22.2</v>
      </c>
      <c r="AT529" t="s">
        <v>147</v>
      </c>
      <c r="AU529"/>
    </row>
    <row r="530" spans="1:47" ht="51" x14ac:dyDescent="0.2">
      <c r="A530" s="29">
        <v>536.00000000000136</v>
      </c>
      <c r="B530" s="17" t="s">
        <v>306</v>
      </c>
      <c r="C530">
        <v>22.529</v>
      </c>
      <c r="D530" s="97" t="s">
        <v>293</v>
      </c>
      <c r="E530" s="17" t="s">
        <v>294</v>
      </c>
      <c r="F530" s="59" t="s">
        <v>295</v>
      </c>
      <c r="G530" s="17"/>
      <c r="H530" s="17"/>
      <c r="I530" s="99"/>
      <c r="J530" s="17" t="s">
        <v>142</v>
      </c>
      <c r="K530" s="17" t="s">
        <v>203</v>
      </c>
      <c r="L530"/>
      <c r="M530"/>
      <c r="N530" s="88">
        <v>231</v>
      </c>
      <c r="O530">
        <v>178.28</v>
      </c>
      <c r="P530">
        <v>187.8</v>
      </c>
      <c r="Q530">
        <v>41.66</v>
      </c>
      <c r="R530">
        <v>29.82</v>
      </c>
      <c r="S530">
        <v>115.56</v>
      </c>
      <c r="T530">
        <v>93.93</v>
      </c>
      <c r="U530">
        <v>53.24</v>
      </c>
      <c r="V530">
        <v>43.81</v>
      </c>
      <c r="W530">
        <v>68.45</v>
      </c>
      <c r="X530">
        <v>90.49</v>
      </c>
      <c r="Y530">
        <v>38.64</v>
      </c>
      <c r="Z530">
        <v>102.38</v>
      </c>
      <c r="AA530">
        <v>79.23</v>
      </c>
      <c r="AB530">
        <v>71.7</v>
      </c>
      <c r="AC530">
        <v>17.7</v>
      </c>
      <c r="AD530">
        <v>48.51</v>
      </c>
      <c r="AE530">
        <v>36.32</v>
      </c>
      <c r="AF530">
        <v>40.479999999999997</v>
      </c>
      <c r="AG530">
        <v>37.07</v>
      </c>
      <c r="AH530">
        <v>41.28</v>
      </c>
      <c r="AI530">
        <v>1.302</v>
      </c>
      <c r="AJ530"/>
      <c r="AK530"/>
      <c r="AL530">
        <v>18</v>
      </c>
      <c r="AM530"/>
      <c r="AN530"/>
      <c r="AO530">
        <v>7.8</v>
      </c>
      <c r="AP530">
        <v>101.5</v>
      </c>
      <c r="AQ530">
        <v>51.1</v>
      </c>
      <c r="AR530">
        <v>48.4</v>
      </c>
      <c r="AS530">
        <v>20.8</v>
      </c>
      <c r="AT530" t="s">
        <v>147</v>
      </c>
      <c r="AU530"/>
    </row>
    <row r="531" spans="1:47" ht="51" x14ac:dyDescent="0.2">
      <c r="A531" s="29">
        <v>536.99999999999909</v>
      </c>
      <c r="B531" s="17" t="s">
        <v>307</v>
      </c>
      <c r="C531" s="5" t="s">
        <v>308</v>
      </c>
      <c r="D531" s="97" t="s">
        <v>293</v>
      </c>
      <c r="E531" s="17" t="s">
        <v>294</v>
      </c>
      <c r="F531" s="59" t="s">
        <v>295</v>
      </c>
      <c r="G531" s="17"/>
      <c r="H531" s="17"/>
      <c r="I531" s="99"/>
      <c r="J531" s="17" t="s">
        <v>142</v>
      </c>
      <c r="K531" s="17" t="s">
        <v>203</v>
      </c>
      <c r="L531"/>
      <c r="M531"/>
      <c r="N531" s="88">
        <v>212.4</v>
      </c>
      <c r="O531">
        <v>175.59</v>
      </c>
      <c r="P531">
        <v>184.02</v>
      </c>
      <c r="Q531">
        <v>36.56</v>
      </c>
      <c r="R531">
        <v>27.67</v>
      </c>
      <c r="S531">
        <v>115.99</v>
      </c>
      <c r="T531">
        <v>96.5</v>
      </c>
      <c r="U531">
        <v>58.47</v>
      </c>
      <c r="V531">
        <v>45.61</v>
      </c>
      <c r="W531">
        <v>72.680000000000007</v>
      </c>
      <c r="X531">
        <v>88.07</v>
      </c>
      <c r="Y531">
        <v>37.64</v>
      </c>
      <c r="Z531">
        <v>101.49</v>
      </c>
      <c r="AA531">
        <v>77.66</v>
      </c>
      <c r="AB531">
        <v>71.58</v>
      </c>
      <c r="AC531">
        <v>17.75</v>
      </c>
      <c r="AD531">
        <v>46.64</v>
      </c>
      <c r="AE531">
        <v>35.369999999999997</v>
      </c>
      <c r="AF531">
        <v>37.909999999999997</v>
      </c>
      <c r="AG531">
        <v>41.21</v>
      </c>
      <c r="AH531">
        <v>37.72</v>
      </c>
      <c r="AI531">
        <v>1.2629999999999999</v>
      </c>
      <c r="AJ531"/>
      <c r="AK531"/>
      <c r="AL531">
        <v>23</v>
      </c>
      <c r="AM531"/>
      <c r="AN531"/>
      <c r="AO531">
        <v>6.5</v>
      </c>
      <c r="AP531">
        <v>93.4</v>
      </c>
      <c r="AQ531">
        <v>48.1</v>
      </c>
      <c r="AR531">
        <v>35.9</v>
      </c>
      <c r="AS531">
        <v>15.5</v>
      </c>
      <c r="AT531" t="s">
        <v>147</v>
      </c>
      <c r="AU531"/>
    </row>
    <row r="532" spans="1:47" ht="51" x14ac:dyDescent="0.2">
      <c r="A532" s="29">
        <v>538.00000000000023</v>
      </c>
      <c r="B532" s="17" t="s">
        <v>309</v>
      </c>
      <c r="C532">
        <v>22.530999999999999</v>
      </c>
      <c r="D532" s="97" t="s">
        <v>293</v>
      </c>
      <c r="E532" s="17" t="s">
        <v>294</v>
      </c>
      <c r="F532" s="59" t="s">
        <v>295</v>
      </c>
      <c r="G532" s="17"/>
      <c r="H532" s="17"/>
      <c r="I532" s="99"/>
      <c r="J532" s="17" t="s">
        <v>142</v>
      </c>
      <c r="K532" s="17" t="s">
        <v>203</v>
      </c>
      <c r="L532"/>
      <c r="M532"/>
      <c r="N532" s="88">
        <v>232.8</v>
      </c>
      <c r="O532">
        <v>178.38</v>
      </c>
      <c r="P532">
        <v>190.12</v>
      </c>
      <c r="Q532">
        <v>39.28</v>
      </c>
      <c r="R532">
        <v>28.09</v>
      </c>
      <c r="S532">
        <v>119.92</v>
      </c>
      <c r="T532">
        <v>97.93</v>
      </c>
      <c r="U532">
        <v>56.43</v>
      </c>
      <c r="V532">
        <v>43.03</v>
      </c>
      <c r="W532">
        <v>62.59</v>
      </c>
      <c r="X532">
        <v>85.35</v>
      </c>
      <c r="Y532">
        <v>36.99</v>
      </c>
      <c r="Z532">
        <v>96.17</v>
      </c>
      <c r="AA532">
        <v>74.94</v>
      </c>
      <c r="AB532">
        <v>68.180000000000007</v>
      </c>
      <c r="AC532">
        <v>18.809999999999999</v>
      </c>
      <c r="AD532">
        <v>49.8</v>
      </c>
      <c r="AE532">
        <v>37.22</v>
      </c>
      <c r="AF532">
        <v>43.33</v>
      </c>
      <c r="AG532">
        <v>36.35</v>
      </c>
      <c r="AH532">
        <v>41.91</v>
      </c>
      <c r="AI532">
        <v>1.419</v>
      </c>
      <c r="AJ532"/>
      <c r="AK532"/>
      <c r="AL532">
        <v>19</v>
      </c>
      <c r="AM532"/>
      <c r="AN532"/>
      <c r="AO532">
        <f>18.3-10.2</f>
        <v>8.1000000000000014</v>
      </c>
      <c r="AP532">
        <f>85.7-10.3</f>
        <v>75.400000000000006</v>
      </c>
      <c r="AQ532">
        <f>86.7-10.4</f>
        <v>76.3</v>
      </c>
      <c r="AR532">
        <v>46.8</v>
      </c>
      <c r="AS532">
        <v>20.8</v>
      </c>
      <c r="AT532" t="s">
        <v>310</v>
      </c>
      <c r="AU532"/>
    </row>
    <row r="533" spans="1:47" ht="51" x14ac:dyDescent="0.2">
      <c r="A533" s="29">
        <v>539.00000000000148</v>
      </c>
      <c r="B533" s="17" t="s">
        <v>311</v>
      </c>
      <c r="C533">
        <v>22.532</v>
      </c>
      <c r="D533" s="97" t="s">
        <v>293</v>
      </c>
      <c r="E533" s="17" t="s">
        <v>294</v>
      </c>
      <c r="F533" s="59" t="s">
        <v>295</v>
      </c>
      <c r="G533" s="17"/>
      <c r="H533" s="17"/>
      <c r="I533" s="99"/>
      <c r="J533" s="17" t="s">
        <v>142</v>
      </c>
      <c r="K533" s="17" t="s">
        <v>203</v>
      </c>
      <c r="L533"/>
      <c r="M533"/>
      <c r="N533" s="88">
        <v>214.7</v>
      </c>
      <c r="O533">
        <v>205.59</v>
      </c>
      <c r="P533">
        <v>216.69</v>
      </c>
      <c r="Q533">
        <v>55.71</v>
      </c>
      <c r="R533">
        <v>26.55</v>
      </c>
      <c r="S533">
        <v>134.80000000000001</v>
      </c>
      <c r="T533">
        <v>104.57</v>
      </c>
      <c r="U533">
        <v>55.26</v>
      </c>
      <c r="V533">
        <v>41.47</v>
      </c>
      <c r="W533">
        <v>65.62</v>
      </c>
      <c r="X533">
        <v>85.92</v>
      </c>
      <c r="Y533">
        <v>35.35</v>
      </c>
      <c r="Z533">
        <v>95.94</v>
      </c>
      <c r="AA533">
        <v>74.23</v>
      </c>
      <c r="AB533">
        <v>66.150000000000006</v>
      </c>
      <c r="AC533">
        <v>19.649999999999999</v>
      </c>
      <c r="AD533">
        <v>46.65</v>
      </c>
      <c r="AE533">
        <v>35.18</v>
      </c>
      <c r="AF533">
        <v>46.24</v>
      </c>
      <c r="AG533">
        <v>41.33</v>
      </c>
      <c r="AH533">
        <v>50.47</v>
      </c>
      <c r="AI533">
        <v>1.675</v>
      </c>
      <c r="AJ533"/>
      <c r="AK533"/>
      <c r="AL533">
        <v>5</v>
      </c>
      <c r="AM533"/>
      <c r="AN533"/>
      <c r="AO533">
        <f>18.9-10.6</f>
        <v>8.2999999999999989</v>
      </c>
      <c r="AP533">
        <f>105.4-10.8</f>
        <v>94.600000000000009</v>
      </c>
      <c r="AQ533">
        <f>63.6-11.1</f>
        <v>52.5</v>
      </c>
      <c r="AR533">
        <v>51.2</v>
      </c>
      <c r="AS533">
        <v>22.3</v>
      </c>
      <c r="AT533" t="s">
        <v>147</v>
      </c>
      <c r="AU533"/>
    </row>
    <row r="534" spans="1:47" ht="51" x14ac:dyDescent="0.2">
      <c r="A534" s="29">
        <v>539.99999999999909</v>
      </c>
      <c r="B534" s="17" t="s">
        <v>312</v>
      </c>
      <c r="C534">
        <v>22.533000000000001</v>
      </c>
      <c r="D534" s="97" t="s">
        <v>293</v>
      </c>
      <c r="E534" s="17" t="s">
        <v>294</v>
      </c>
      <c r="F534" s="59" t="s">
        <v>295</v>
      </c>
      <c r="G534" s="17"/>
      <c r="H534" s="17"/>
      <c r="I534" s="99"/>
      <c r="J534" s="17" t="s">
        <v>142</v>
      </c>
      <c r="K534" s="17" t="s">
        <v>203</v>
      </c>
      <c r="L534"/>
      <c r="M534"/>
      <c r="N534" s="88">
        <v>231.1</v>
      </c>
      <c r="O534">
        <v>172.53</v>
      </c>
      <c r="P534">
        <v>184.95</v>
      </c>
      <c r="Q534">
        <v>39.9</v>
      </c>
      <c r="R534">
        <v>26.28</v>
      </c>
      <c r="S534">
        <v>116.39</v>
      </c>
      <c r="T534">
        <v>98.97</v>
      </c>
      <c r="U534">
        <v>57.53</v>
      </c>
      <c r="V534">
        <v>43.24</v>
      </c>
      <c r="W534">
        <v>64.739999999999995</v>
      </c>
      <c r="X534">
        <v>81.22</v>
      </c>
      <c r="Y534">
        <v>36.1</v>
      </c>
      <c r="Z534">
        <v>95.78</v>
      </c>
      <c r="AA534">
        <v>73.91</v>
      </c>
      <c r="AB534">
        <v>67.400000000000006</v>
      </c>
      <c r="AC534">
        <v>18.57</v>
      </c>
      <c r="AD534">
        <v>49.29</v>
      </c>
      <c r="AE534">
        <v>30.83</v>
      </c>
      <c r="AF534">
        <v>41.62</v>
      </c>
      <c r="AG534">
        <v>34.840000000000003</v>
      </c>
      <c r="AH534">
        <v>41.83</v>
      </c>
      <c r="AI534">
        <v>1.421</v>
      </c>
      <c r="AJ534"/>
      <c r="AK534"/>
      <c r="AL534">
        <v>21</v>
      </c>
      <c r="AM534"/>
      <c r="AN534"/>
      <c r="AO534">
        <f>18.2-10.2</f>
        <v>8</v>
      </c>
      <c r="AP534">
        <f>86.6-10.5</f>
        <v>76.099999999999994</v>
      </c>
      <c r="AQ534">
        <f>85.4-10.7</f>
        <v>74.7</v>
      </c>
      <c r="AR534">
        <v>44</v>
      </c>
      <c r="AS534">
        <v>19.600000000000001</v>
      </c>
      <c r="AT534" t="s">
        <v>310</v>
      </c>
      <c r="AU534"/>
    </row>
    <row r="535" spans="1:47" ht="51" x14ac:dyDescent="0.2">
      <c r="A535" s="29">
        <v>541.00000000000034</v>
      </c>
      <c r="B535" s="17" t="s">
        <v>313</v>
      </c>
      <c r="C535">
        <v>22.533999999999999</v>
      </c>
      <c r="D535" s="97" t="s">
        <v>293</v>
      </c>
      <c r="E535" s="17" t="s">
        <v>294</v>
      </c>
      <c r="F535" s="59" t="s">
        <v>295</v>
      </c>
      <c r="G535" s="17"/>
      <c r="H535" s="17"/>
      <c r="I535" s="99"/>
      <c r="J535" s="17" t="s">
        <v>142</v>
      </c>
      <c r="K535" s="17" t="s">
        <v>203</v>
      </c>
      <c r="L535"/>
      <c r="M535"/>
      <c r="N535" s="88">
        <v>223.8</v>
      </c>
      <c r="O535">
        <v>174.62</v>
      </c>
      <c r="P535">
        <v>186.85</v>
      </c>
      <c r="Q535">
        <v>41.15</v>
      </c>
      <c r="R535">
        <v>28.51</v>
      </c>
      <c r="S535">
        <v>114.85</v>
      </c>
      <c r="T535">
        <v>91.03</v>
      </c>
      <c r="U535">
        <v>58.39</v>
      </c>
      <c r="V535">
        <v>44.27</v>
      </c>
      <c r="W535">
        <v>68.47</v>
      </c>
      <c r="X535">
        <v>89.98</v>
      </c>
      <c r="Y535">
        <v>36.74</v>
      </c>
      <c r="Z535">
        <v>99.77</v>
      </c>
      <c r="AA535">
        <v>76.510000000000005</v>
      </c>
      <c r="AB535">
        <v>72.56</v>
      </c>
      <c r="AC535">
        <v>16.82</v>
      </c>
      <c r="AD535">
        <v>49.2</v>
      </c>
      <c r="AE535">
        <v>33.450000000000003</v>
      </c>
      <c r="AF535">
        <v>38.89</v>
      </c>
      <c r="AG535">
        <v>38.840000000000003</v>
      </c>
      <c r="AH535">
        <v>43.08</v>
      </c>
      <c r="AI535">
        <v>1.27</v>
      </c>
      <c r="AJ535"/>
      <c r="AK535"/>
      <c r="AL535">
        <v>14</v>
      </c>
      <c r="AM535"/>
      <c r="AN535"/>
      <c r="AO535">
        <f>17.7-10.6</f>
        <v>7.1</v>
      </c>
      <c r="AP535">
        <f>111-10.7</f>
        <v>100.3</v>
      </c>
      <c r="AQ535">
        <f>65.9-11</f>
        <v>54.900000000000006</v>
      </c>
      <c r="AR535">
        <v>44.2</v>
      </c>
      <c r="AS535">
        <v>19</v>
      </c>
      <c r="AT535" t="s">
        <v>147</v>
      </c>
      <c r="AU535"/>
    </row>
    <row r="536" spans="1:47" ht="51" x14ac:dyDescent="0.2">
      <c r="A536" s="29">
        <v>542.00000000000159</v>
      </c>
      <c r="B536" s="17" t="s">
        <v>314</v>
      </c>
      <c r="C536">
        <v>22.535</v>
      </c>
      <c r="D536" s="97" t="s">
        <v>293</v>
      </c>
      <c r="E536" s="17" t="s">
        <v>294</v>
      </c>
      <c r="F536" s="59" t="s">
        <v>295</v>
      </c>
      <c r="G536" s="17"/>
      <c r="H536" s="17"/>
      <c r="I536" s="99"/>
      <c r="J536" s="17" t="s">
        <v>142</v>
      </c>
      <c r="K536" s="17" t="s">
        <v>203</v>
      </c>
      <c r="L536"/>
      <c r="M536"/>
      <c r="N536" s="88">
        <v>241.3</v>
      </c>
      <c r="O536">
        <v>177.1</v>
      </c>
      <c r="P536">
        <v>188.69</v>
      </c>
      <c r="Q536">
        <v>43.02</v>
      </c>
      <c r="R536">
        <v>23.78</v>
      </c>
      <c r="S536">
        <v>118.85</v>
      </c>
      <c r="T536">
        <v>94.85</v>
      </c>
      <c r="U536">
        <v>58.91</v>
      </c>
      <c r="V536">
        <v>42.76</v>
      </c>
      <c r="W536">
        <v>64.010000000000005</v>
      </c>
      <c r="X536">
        <v>89.18</v>
      </c>
      <c r="Y536">
        <v>40</v>
      </c>
      <c r="Z536">
        <v>96.07</v>
      </c>
      <c r="AA536">
        <v>75.52</v>
      </c>
      <c r="AB536">
        <v>68.069999999999993</v>
      </c>
      <c r="AC536">
        <v>12.41</v>
      </c>
      <c r="AD536">
        <v>51.35</v>
      </c>
      <c r="AE536">
        <v>31.82</v>
      </c>
      <c r="AF536">
        <v>43.24</v>
      </c>
      <c r="AG536">
        <v>36.79</v>
      </c>
      <c r="AH536">
        <v>43.49</v>
      </c>
      <c r="AI536">
        <v>1.6930000000000001</v>
      </c>
      <c r="AJ536"/>
      <c r="AK536"/>
      <c r="AL536">
        <v>17</v>
      </c>
      <c r="AM536"/>
      <c r="AN536"/>
      <c r="AO536">
        <f>19.1-10.2</f>
        <v>8.9000000000000021</v>
      </c>
      <c r="AP536">
        <f>92.1-10.6</f>
        <v>81.5</v>
      </c>
      <c r="AQ536">
        <f>87.2-10.6</f>
        <v>76.600000000000009</v>
      </c>
      <c r="AR536">
        <v>51.6</v>
      </c>
      <c r="AS536">
        <v>22.9</v>
      </c>
      <c r="AT536" t="s">
        <v>310</v>
      </c>
      <c r="AU536"/>
    </row>
    <row r="537" spans="1:47" ht="51" x14ac:dyDescent="0.2">
      <c r="A537" s="29">
        <v>542.99999999999932</v>
      </c>
      <c r="B537" s="17" t="s">
        <v>315</v>
      </c>
      <c r="C537">
        <v>22.536000000000001</v>
      </c>
      <c r="D537" s="97" t="s">
        <v>293</v>
      </c>
      <c r="E537" s="17" t="s">
        <v>294</v>
      </c>
      <c r="F537" s="59" t="s">
        <v>295</v>
      </c>
      <c r="G537" s="17"/>
      <c r="H537" s="17"/>
      <c r="I537" s="99"/>
      <c r="J537" s="17" t="s">
        <v>142</v>
      </c>
      <c r="K537" s="17" t="s">
        <v>203</v>
      </c>
      <c r="L537"/>
      <c r="M537"/>
      <c r="N537" s="88">
        <v>223.1</v>
      </c>
      <c r="O537">
        <v>173.71</v>
      </c>
      <c r="P537">
        <v>185.61</v>
      </c>
      <c r="Q537">
        <v>40.659999999999997</v>
      </c>
      <c r="R537">
        <v>22.84</v>
      </c>
      <c r="S537">
        <v>120.09</v>
      </c>
      <c r="T537">
        <v>94.94</v>
      </c>
      <c r="U537">
        <v>54.87</v>
      </c>
      <c r="V537">
        <v>43.05</v>
      </c>
      <c r="W537">
        <v>62.63</v>
      </c>
      <c r="X537">
        <v>82.74</v>
      </c>
      <c r="Y537">
        <v>37.229999999999997</v>
      </c>
      <c r="Z537">
        <v>94.53</v>
      </c>
      <c r="AA537">
        <v>73.819999999999993</v>
      </c>
      <c r="AB537">
        <v>67.489999999999995</v>
      </c>
      <c r="AC537">
        <v>17.239999999999998</v>
      </c>
      <c r="AD537">
        <v>60.27</v>
      </c>
      <c r="AE537">
        <v>31.75</v>
      </c>
      <c r="AF537">
        <v>40.22</v>
      </c>
      <c r="AG537">
        <v>35.72</v>
      </c>
      <c r="AH537">
        <v>41.25</v>
      </c>
      <c r="AI537">
        <v>1.48</v>
      </c>
      <c r="AJ537"/>
      <c r="AK537"/>
      <c r="AL537">
        <v>15</v>
      </c>
      <c r="AM537"/>
      <c r="AN537"/>
      <c r="AO537">
        <f>17.5-10.6</f>
        <v>6.9</v>
      </c>
      <c r="AP537">
        <f>112.7-10.7</f>
        <v>102</v>
      </c>
      <c r="AQ537">
        <f>64.4-11</f>
        <v>53.400000000000006</v>
      </c>
      <c r="AR537">
        <v>43.7</v>
      </c>
      <c r="AS537">
        <v>18.899999999999999</v>
      </c>
      <c r="AT537" t="s">
        <v>147</v>
      </c>
      <c r="AU537"/>
    </row>
    <row r="538" spans="1:47" ht="51" x14ac:dyDescent="0.2">
      <c r="A538" s="29">
        <v>544.00000000000045</v>
      </c>
      <c r="B538" s="17" t="s">
        <v>316</v>
      </c>
      <c r="C538">
        <v>22.536999999999999</v>
      </c>
      <c r="D538" s="97" t="s">
        <v>293</v>
      </c>
      <c r="E538" s="17" t="s">
        <v>294</v>
      </c>
      <c r="F538" s="59" t="s">
        <v>295</v>
      </c>
      <c r="G538" s="17"/>
      <c r="H538" s="17"/>
      <c r="I538" s="99"/>
      <c r="J538" s="17" t="s">
        <v>142</v>
      </c>
      <c r="K538" s="17" t="s">
        <v>203</v>
      </c>
      <c r="L538"/>
      <c r="M538"/>
      <c r="N538" s="88">
        <v>231.2</v>
      </c>
      <c r="O538">
        <v>170.61</v>
      </c>
      <c r="P538">
        <v>181.44</v>
      </c>
      <c r="Q538">
        <v>38.44</v>
      </c>
      <c r="R538">
        <v>25.15</v>
      </c>
      <c r="S538">
        <v>117.67</v>
      </c>
      <c r="T538">
        <v>100.82</v>
      </c>
      <c r="U538">
        <v>58.91</v>
      </c>
      <c r="V538">
        <v>46</v>
      </c>
      <c r="W538">
        <v>70.83</v>
      </c>
      <c r="X538">
        <v>86.49</v>
      </c>
      <c r="Y538">
        <v>35.61</v>
      </c>
      <c r="Z538">
        <v>95.65</v>
      </c>
      <c r="AA538">
        <v>73.41</v>
      </c>
      <c r="AB538">
        <v>71.16</v>
      </c>
      <c r="AC538">
        <v>20.81</v>
      </c>
      <c r="AD538">
        <v>49.32</v>
      </c>
      <c r="AE538">
        <v>31.96</v>
      </c>
      <c r="AF538">
        <v>36.17</v>
      </c>
      <c r="AG538">
        <v>37.08</v>
      </c>
      <c r="AH538">
        <v>37</v>
      </c>
      <c r="AI538">
        <v>1.389</v>
      </c>
      <c r="AJ538"/>
      <c r="AK538"/>
      <c r="AL538">
        <v>25</v>
      </c>
      <c r="AM538"/>
      <c r="AN538"/>
      <c r="AO538">
        <f>17.8-10.2</f>
        <v>7.6000000000000014</v>
      </c>
      <c r="AP538">
        <f>68.4-10.4</f>
        <v>58.000000000000007</v>
      </c>
      <c r="AQ538">
        <f>95.9-10.6</f>
        <v>85.300000000000011</v>
      </c>
      <c r="AR538">
        <v>50.3</v>
      </c>
      <c r="AS538">
        <v>22</v>
      </c>
      <c r="AT538" t="s">
        <v>310</v>
      </c>
      <c r="AU538"/>
    </row>
    <row r="539" spans="1:47" ht="51" x14ac:dyDescent="0.2">
      <c r="A539" s="29">
        <v>545.00000000000171</v>
      </c>
      <c r="B539" s="17" t="s">
        <v>317</v>
      </c>
      <c r="C539">
        <v>22.538</v>
      </c>
      <c r="D539" s="97" t="s">
        <v>293</v>
      </c>
      <c r="E539" s="17" t="s">
        <v>294</v>
      </c>
      <c r="F539" s="59" t="s">
        <v>295</v>
      </c>
      <c r="G539" s="17"/>
      <c r="H539" s="17"/>
      <c r="I539" s="99"/>
      <c r="J539" s="17" t="s">
        <v>142</v>
      </c>
      <c r="K539" s="17" t="s">
        <v>203</v>
      </c>
      <c r="L539"/>
      <c r="M539"/>
      <c r="N539" s="88">
        <v>215.4</v>
      </c>
      <c r="O539">
        <v>180.79</v>
      </c>
      <c r="P539">
        <v>195.59</v>
      </c>
      <c r="Q539">
        <v>39.81</v>
      </c>
      <c r="R539">
        <v>26.84</v>
      </c>
      <c r="S539">
        <v>119.56</v>
      </c>
      <c r="T539">
        <v>99.36</v>
      </c>
      <c r="U539">
        <v>56.69</v>
      </c>
      <c r="V539">
        <v>45.94</v>
      </c>
      <c r="W539">
        <v>66.06</v>
      </c>
      <c r="X539">
        <v>82.45</v>
      </c>
      <c r="Y539">
        <v>36.83</v>
      </c>
      <c r="Z539">
        <v>93.13</v>
      </c>
      <c r="AA539">
        <v>72.58</v>
      </c>
      <c r="AB539">
        <v>66.72</v>
      </c>
      <c r="AC539">
        <v>19.78</v>
      </c>
      <c r="AD539">
        <v>47.3</v>
      </c>
      <c r="AE539">
        <v>35.18</v>
      </c>
      <c r="AF539">
        <v>39.9</v>
      </c>
      <c r="AG539">
        <v>33.270000000000003</v>
      </c>
      <c r="AH539">
        <v>39.409999999999997</v>
      </c>
      <c r="AI539">
        <v>1.276</v>
      </c>
      <c r="AJ539"/>
      <c r="AK539"/>
      <c r="AL539">
        <v>25</v>
      </c>
      <c r="AM539"/>
      <c r="AN539"/>
      <c r="AO539">
        <f>18-10.5</f>
        <v>7.5</v>
      </c>
      <c r="AP539">
        <f>103.5-10.7</f>
        <v>92.8</v>
      </c>
      <c r="AQ539">
        <f>61.6-10.9</f>
        <v>50.7</v>
      </c>
      <c r="AR539">
        <v>36.299999999999997</v>
      </c>
      <c r="AS539">
        <v>15.5</v>
      </c>
      <c r="AT539" t="s">
        <v>147</v>
      </c>
      <c r="AU539"/>
    </row>
    <row r="540" spans="1:47" ht="51" x14ac:dyDescent="0.2">
      <c r="A540" s="29">
        <v>545.99999999999932</v>
      </c>
      <c r="B540" s="17" t="s">
        <v>318</v>
      </c>
      <c r="C540">
        <v>22.539000000000001</v>
      </c>
      <c r="D540" s="97" t="s">
        <v>293</v>
      </c>
      <c r="E540" s="17" t="s">
        <v>294</v>
      </c>
      <c r="F540" s="59" t="s">
        <v>295</v>
      </c>
      <c r="G540" s="17"/>
      <c r="H540" s="17"/>
      <c r="I540" s="99"/>
      <c r="J540" s="17" t="s">
        <v>142</v>
      </c>
      <c r="K540" s="17" t="s">
        <v>203</v>
      </c>
      <c r="L540"/>
      <c r="M540"/>
      <c r="N540" s="88">
        <v>234.4</v>
      </c>
      <c r="O540">
        <v>180.21</v>
      </c>
      <c r="P540">
        <v>191.99</v>
      </c>
      <c r="Q540">
        <v>41.85</v>
      </c>
      <c r="R540">
        <v>22.33</v>
      </c>
      <c r="S540">
        <v>122.56</v>
      </c>
      <c r="T540">
        <v>103.41</v>
      </c>
      <c r="U540">
        <v>57.25</v>
      </c>
      <c r="V540">
        <v>45.82</v>
      </c>
      <c r="W540">
        <v>67.38</v>
      </c>
      <c r="X540">
        <v>81.819999999999993</v>
      </c>
      <c r="Y540">
        <v>37.25</v>
      </c>
      <c r="Z540">
        <v>91.88</v>
      </c>
      <c r="AA540">
        <v>73.180000000000007</v>
      </c>
      <c r="AB540">
        <v>69.760000000000005</v>
      </c>
      <c r="AC540">
        <v>16.989999999999998</v>
      </c>
      <c r="AD540">
        <v>49.46</v>
      </c>
      <c r="AE540">
        <v>33.549999999999997</v>
      </c>
      <c r="AF540">
        <v>34.369999999999997</v>
      </c>
      <c r="AG540">
        <v>36.76</v>
      </c>
      <c r="AH540">
        <v>37.76</v>
      </c>
      <c r="AI540">
        <v>1.4890000000000001</v>
      </c>
      <c r="AJ540"/>
      <c r="AK540"/>
      <c r="AL540">
        <v>26</v>
      </c>
      <c r="AM540"/>
      <c r="AN540"/>
      <c r="AO540">
        <f>16.4-10.5</f>
        <v>5.8999999999999986</v>
      </c>
      <c r="AP540">
        <f>118.8-10.6</f>
        <v>108.2</v>
      </c>
      <c r="AQ540">
        <f>49.1-10.9</f>
        <v>38.200000000000003</v>
      </c>
      <c r="AR540">
        <v>52.4</v>
      </c>
      <c r="AS540">
        <v>22.5</v>
      </c>
      <c r="AT540" t="s">
        <v>147</v>
      </c>
      <c r="AU540"/>
    </row>
    <row r="541" spans="1:47" ht="51" x14ac:dyDescent="0.2">
      <c r="A541" s="29">
        <v>547.00000000000057</v>
      </c>
      <c r="B541" s="17" t="s">
        <v>319</v>
      </c>
      <c r="C541" s="5" t="s">
        <v>320</v>
      </c>
      <c r="D541" s="97" t="s">
        <v>293</v>
      </c>
      <c r="E541" s="17" t="s">
        <v>294</v>
      </c>
      <c r="F541" s="59" t="s">
        <v>295</v>
      </c>
      <c r="G541" s="17"/>
      <c r="H541" s="17"/>
      <c r="I541" s="99"/>
      <c r="J541" s="17" t="s">
        <v>142</v>
      </c>
      <c r="K541" s="17" t="s">
        <v>203</v>
      </c>
      <c r="L541"/>
      <c r="M541"/>
      <c r="N541" s="88">
        <v>233.4</v>
      </c>
      <c r="O541">
        <v>185.5</v>
      </c>
      <c r="P541">
        <v>191.37</v>
      </c>
      <c r="Q541">
        <v>41.67</v>
      </c>
      <c r="R541">
        <v>24.08</v>
      </c>
      <c r="S541">
        <v>124.45</v>
      </c>
      <c r="T541">
        <v>101.64</v>
      </c>
      <c r="U541">
        <v>55.66</v>
      </c>
      <c r="V541">
        <v>43.8</v>
      </c>
      <c r="W541">
        <v>66.41</v>
      </c>
      <c r="X541">
        <v>86.22</v>
      </c>
      <c r="Y541">
        <v>38.71</v>
      </c>
      <c r="Z541">
        <v>95.62</v>
      </c>
      <c r="AA541">
        <v>74.430000000000007</v>
      </c>
      <c r="AB541">
        <v>68.489999999999995</v>
      </c>
      <c r="AC541">
        <v>21</v>
      </c>
      <c r="AD541">
        <v>49.46</v>
      </c>
      <c r="AE541">
        <v>37.24</v>
      </c>
      <c r="AF541">
        <v>42.11</v>
      </c>
      <c r="AG541">
        <v>37.6</v>
      </c>
      <c r="AH541">
        <v>43.78</v>
      </c>
      <c r="AI541">
        <v>1.39</v>
      </c>
      <c r="AJ541"/>
      <c r="AK541"/>
      <c r="AL541">
        <v>24</v>
      </c>
      <c r="AM541"/>
      <c r="AN541"/>
      <c r="AO541">
        <v>8.1999999999999993</v>
      </c>
      <c r="AP541">
        <v>97.6</v>
      </c>
      <c r="AQ541">
        <f>81.2-22.3</f>
        <v>58.900000000000006</v>
      </c>
      <c r="AR541">
        <v>41.6</v>
      </c>
      <c r="AS541">
        <v>18</v>
      </c>
      <c r="AT541" t="s">
        <v>147</v>
      </c>
      <c r="AU541"/>
    </row>
    <row r="542" spans="1:47" ht="51" x14ac:dyDescent="0.2">
      <c r="A542" s="29">
        <v>547.99999999999829</v>
      </c>
      <c r="B542" s="17" t="s">
        <v>321</v>
      </c>
      <c r="C542">
        <v>22.541</v>
      </c>
      <c r="D542" s="97" t="s">
        <v>293</v>
      </c>
      <c r="E542" s="17" t="s">
        <v>294</v>
      </c>
      <c r="F542" s="59" t="s">
        <v>295</v>
      </c>
      <c r="G542" s="17"/>
      <c r="H542" s="17"/>
      <c r="I542" s="99"/>
      <c r="J542" s="17" t="s">
        <v>142</v>
      </c>
      <c r="K542" s="17" t="s">
        <v>203</v>
      </c>
      <c r="L542"/>
      <c r="M542"/>
      <c r="N542" s="88">
        <v>236.5</v>
      </c>
      <c r="O542">
        <v>176.05</v>
      </c>
      <c r="P542">
        <v>191.27</v>
      </c>
      <c r="Q542">
        <v>42.7</v>
      </c>
      <c r="R542">
        <v>27.97</v>
      </c>
      <c r="S542">
        <v>116.67</v>
      </c>
      <c r="T542">
        <v>99.17</v>
      </c>
      <c r="U542">
        <v>54.64</v>
      </c>
      <c r="V542">
        <v>46.46</v>
      </c>
      <c r="W542">
        <v>72.87</v>
      </c>
      <c r="X542">
        <v>88.73</v>
      </c>
      <c r="Y542">
        <v>38.159999999999997</v>
      </c>
      <c r="Z542">
        <v>96.43</v>
      </c>
      <c r="AA542">
        <v>73.680000000000007</v>
      </c>
      <c r="AB542">
        <v>70.319999999999993</v>
      </c>
      <c r="AC542">
        <v>17.559999999999999</v>
      </c>
      <c r="AD542">
        <v>50.66</v>
      </c>
      <c r="AE542">
        <v>34.299999999999997</v>
      </c>
      <c r="AF542">
        <v>40.5</v>
      </c>
      <c r="AG542">
        <v>39.53</v>
      </c>
      <c r="AH542">
        <v>43.32</v>
      </c>
      <c r="AI542">
        <v>1.347</v>
      </c>
      <c r="AJ542"/>
      <c r="AK542"/>
      <c r="AL542">
        <v>31</v>
      </c>
      <c r="AM542"/>
      <c r="AN542"/>
      <c r="AO542">
        <v>7.1</v>
      </c>
      <c r="AP542">
        <v>94</v>
      </c>
      <c r="AQ542">
        <f>60-11.4</f>
        <v>48.6</v>
      </c>
      <c r="AR542">
        <v>51</v>
      </c>
      <c r="AS542">
        <v>21.7</v>
      </c>
      <c r="AT542" t="s">
        <v>147</v>
      </c>
      <c r="AU542"/>
    </row>
    <row r="543" spans="1:47" ht="51" x14ac:dyDescent="0.2">
      <c r="A543" s="29">
        <v>548.99999999999955</v>
      </c>
      <c r="B543" s="17" t="s">
        <v>322</v>
      </c>
      <c r="C543">
        <v>22.542000000000002</v>
      </c>
      <c r="D543" s="97" t="s">
        <v>293</v>
      </c>
      <c r="E543" s="17" t="s">
        <v>294</v>
      </c>
      <c r="F543" s="59" t="s">
        <v>295</v>
      </c>
      <c r="G543" s="17"/>
      <c r="H543" s="17"/>
      <c r="I543" s="99"/>
      <c r="J543" s="17" t="s">
        <v>142</v>
      </c>
      <c r="K543" s="17" t="s">
        <v>203</v>
      </c>
      <c r="L543"/>
      <c r="M543"/>
      <c r="N543" s="88">
        <v>223.8</v>
      </c>
      <c r="O543">
        <v>206.65</v>
      </c>
      <c r="P543">
        <v>214.98</v>
      </c>
      <c r="Q543">
        <v>52.43</v>
      </c>
      <c r="R543">
        <v>26.61</v>
      </c>
      <c r="S543">
        <v>133.46</v>
      </c>
      <c r="T543">
        <v>99.91</v>
      </c>
      <c r="U543">
        <v>55.22</v>
      </c>
      <c r="V543">
        <v>42.41</v>
      </c>
      <c r="W543">
        <v>63.84</v>
      </c>
      <c r="X543">
        <v>86.43</v>
      </c>
      <c r="Y543">
        <v>37.770000000000003</v>
      </c>
      <c r="Z543">
        <v>97.64</v>
      </c>
      <c r="AA543">
        <v>74.239999999999995</v>
      </c>
      <c r="AB543">
        <v>67.67</v>
      </c>
      <c r="AC543">
        <v>18.940000000000001</v>
      </c>
      <c r="AD543">
        <v>47.17</v>
      </c>
      <c r="AE543">
        <v>43.95</v>
      </c>
      <c r="AF543">
        <v>44.63</v>
      </c>
      <c r="AG543">
        <v>40.64</v>
      </c>
      <c r="AH543">
        <v>48.92</v>
      </c>
      <c r="AI543">
        <v>1.7250000000000001</v>
      </c>
      <c r="AJ543"/>
      <c r="AK543"/>
      <c r="AL543"/>
      <c r="AM543"/>
      <c r="AN543"/>
      <c r="AO543">
        <v>9.8000000000000007</v>
      </c>
      <c r="AP543">
        <v>88.9</v>
      </c>
      <c r="AQ543">
        <v>72.8</v>
      </c>
      <c r="AR543">
        <v>50.2</v>
      </c>
      <c r="AS543">
        <v>21.7</v>
      </c>
      <c r="AT543" t="s">
        <v>147</v>
      </c>
      <c r="AU543"/>
    </row>
    <row r="544" spans="1:47" ht="51" x14ac:dyDescent="0.2">
      <c r="A544" s="29">
        <v>550.00000000000068</v>
      </c>
      <c r="B544" s="17" t="s">
        <v>323</v>
      </c>
      <c r="C544">
        <v>22.542999999999999</v>
      </c>
      <c r="D544" s="97" t="s">
        <v>293</v>
      </c>
      <c r="E544" s="17" t="s">
        <v>294</v>
      </c>
      <c r="F544" s="59" t="s">
        <v>295</v>
      </c>
      <c r="G544" s="17"/>
      <c r="H544" s="17"/>
      <c r="I544" s="99"/>
      <c r="J544" s="17" t="s">
        <v>142</v>
      </c>
      <c r="K544" s="17" t="s">
        <v>203</v>
      </c>
      <c r="L544"/>
      <c r="M544"/>
      <c r="N544" s="88">
        <v>233.6</v>
      </c>
      <c r="O544">
        <v>180.29</v>
      </c>
      <c r="P544">
        <v>190.79</v>
      </c>
      <c r="Q544">
        <v>38.78</v>
      </c>
      <c r="R544">
        <v>31.33</v>
      </c>
      <c r="S544">
        <v>119.18</v>
      </c>
      <c r="T544">
        <v>99.42</v>
      </c>
      <c r="U544">
        <v>58.93</v>
      </c>
      <c r="V544">
        <v>44.82</v>
      </c>
      <c r="W544">
        <v>70.77</v>
      </c>
      <c r="X544">
        <v>88.93</v>
      </c>
      <c r="Y544">
        <v>39</v>
      </c>
      <c r="Z544">
        <v>98.91</v>
      </c>
      <c r="AA544">
        <v>76.14</v>
      </c>
      <c r="AB544">
        <v>71.56</v>
      </c>
      <c r="AC544">
        <v>19.66</v>
      </c>
      <c r="AD544">
        <v>50.95</v>
      </c>
      <c r="AE544">
        <v>39.28</v>
      </c>
      <c r="AF544">
        <v>41.24</v>
      </c>
      <c r="AG544">
        <v>37.450000000000003</v>
      </c>
      <c r="AH544">
        <v>42.13</v>
      </c>
      <c r="AI544">
        <v>1.141</v>
      </c>
      <c r="AJ544"/>
      <c r="AK544"/>
      <c r="AL544">
        <v>23</v>
      </c>
      <c r="AM544"/>
      <c r="AN544"/>
      <c r="AO544">
        <v>7.9</v>
      </c>
      <c r="AP544">
        <v>98.7</v>
      </c>
      <c r="AQ544">
        <v>59.6</v>
      </c>
      <c r="AR544">
        <v>41.6</v>
      </c>
      <c r="AS544">
        <v>17.8</v>
      </c>
      <c r="AT544" t="s">
        <v>147</v>
      </c>
      <c r="AU544"/>
    </row>
    <row r="545" spans="1:47" ht="51" x14ac:dyDescent="0.2">
      <c r="A545" s="29">
        <v>550.99999999999841</v>
      </c>
      <c r="B545" s="17" t="s">
        <v>324</v>
      </c>
      <c r="C545">
        <v>22.544</v>
      </c>
      <c r="D545" s="97" t="s">
        <v>293</v>
      </c>
      <c r="E545" s="17" t="s">
        <v>294</v>
      </c>
      <c r="F545" s="59" t="s">
        <v>295</v>
      </c>
      <c r="G545" s="17"/>
      <c r="H545" s="17"/>
      <c r="I545" s="99"/>
      <c r="J545" s="17" t="s">
        <v>142</v>
      </c>
      <c r="K545" s="17" t="s">
        <v>203</v>
      </c>
      <c r="L545"/>
      <c r="M545"/>
      <c r="N545" s="88">
        <v>225.4</v>
      </c>
      <c r="O545">
        <v>170.36</v>
      </c>
      <c r="P545">
        <v>178.92</v>
      </c>
      <c r="Q545">
        <v>40.119999999999997</v>
      </c>
      <c r="R545">
        <v>21.8</v>
      </c>
      <c r="S545">
        <v>114.32</v>
      </c>
      <c r="T545">
        <v>95.39</v>
      </c>
      <c r="U545">
        <v>64.63</v>
      </c>
      <c r="V545">
        <v>46.45</v>
      </c>
      <c r="W545">
        <v>69.25</v>
      </c>
      <c r="X545">
        <v>87.33</v>
      </c>
      <c r="Y545">
        <v>37.92</v>
      </c>
      <c r="Z545">
        <v>100</v>
      </c>
      <c r="AA545">
        <v>75.94</v>
      </c>
      <c r="AB545">
        <v>70.64</v>
      </c>
      <c r="AC545">
        <v>16.84</v>
      </c>
      <c r="AD545">
        <v>49.96</v>
      </c>
      <c r="AE545">
        <v>32.31</v>
      </c>
      <c r="AF545">
        <v>42</v>
      </c>
      <c r="AG545">
        <v>35.85</v>
      </c>
      <c r="AH545">
        <v>43.89</v>
      </c>
      <c r="AI545">
        <v>1.1559999999999999</v>
      </c>
      <c r="AJ545"/>
      <c r="AK545"/>
      <c r="AL545">
        <v>23</v>
      </c>
      <c r="AM545"/>
      <c r="AN545"/>
      <c r="AO545">
        <v>7</v>
      </c>
      <c r="AP545">
        <v>101.1</v>
      </c>
      <c r="AQ545">
        <v>49.2</v>
      </c>
      <c r="AR545">
        <v>41.9</v>
      </c>
      <c r="AS545">
        <v>18.5</v>
      </c>
      <c r="AT545" t="s">
        <v>147</v>
      </c>
      <c r="AU545"/>
    </row>
    <row r="546" spans="1:47" ht="51" x14ac:dyDescent="0.2">
      <c r="A546" s="29">
        <v>551.99999999999955</v>
      </c>
      <c r="B546" s="17" t="s">
        <v>325</v>
      </c>
      <c r="C546">
        <v>22.545000000000002</v>
      </c>
      <c r="D546" s="97" t="s">
        <v>293</v>
      </c>
      <c r="E546" s="17" t="s">
        <v>294</v>
      </c>
      <c r="F546" s="59" t="s">
        <v>295</v>
      </c>
      <c r="G546" s="17"/>
      <c r="H546" s="17"/>
      <c r="I546" s="99"/>
      <c r="J546" s="17" t="s">
        <v>142</v>
      </c>
      <c r="K546" s="17" t="s">
        <v>203</v>
      </c>
      <c r="L546"/>
      <c r="M546"/>
      <c r="N546" s="88">
        <v>232.7</v>
      </c>
      <c r="O546">
        <v>174.61</v>
      </c>
      <c r="P546">
        <v>187.98</v>
      </c>
      <c r="Q546">
        <v>41.13</v>
      </c>
      <c r="R546">
        <v>24.32</v>
      </c>
      <c r="S546">
        <v>119.19</v>
      </c>
      <c r="T546">
        <v>100.52</v>
      </c>
      <c r="U546">
        <v>54.02</v>
      </c>
      <c r="V546">
        <v>45.39</v>
      </c>
      <c r="W546">
        <v>66.12</v>
      </c>
      <c r="X546">
        <v>83.14</v>
      </c>
      <c r="Y546">
        <v>37.44</v>
      </c>
      <c r="Z546">
        <v>93.99</v>
      </c>
      <c r="AA546">
        <v>72.260000000000005</v>
      </c>
      <c r="AB546">
        <v>71.61</v>
      </c>
      <c r="AC546">
        <v>22.48</v>
      </c>
      <c r="AD546">
        <v>50.47</v>
      </c>
      <c r="AE546">
        <v>36.82</v>
      </c>
      <c r="AF546">
        <v>40.99</v>
      </c>
      <c r="AG546">
        <v>37.75</v>
      </c>
      <c r="AH546">
        <v>43.2</v>
      </c>
      <c r="AI546">
        <v>1.593</v>
      </c>
      <c r="AJ546"/>
      <c r="AK546"/>
      <c r="AL546">
        <v>35</v>
      </c>
      <c r="AM546"/>
      <c r="AN546"/>
      <c r="AO546">
        <v>7.1</v>
      </c>
      <c r="AP546">
        <v>93.3</v>
      </c>
      <c r="AQ546">
        <v>46</v>
      </c>
      <c r="AR546">
        <v>48.9</v>
      </c>
      <c r="AS546">
        <v>21.7</v>
      </c>
      <c r="AT546" t="s">
        <v>147</v>
      </c>
      <c r="AU546"/>
    </row>
    <row r="547" spans="1:47" ht="51" x14ac:dyDescent="0.2">
      <c r="A547" s="29">
        <v>553.0000000000008</v>
      </c>
      <c r="B547" s="17" t="s">
        <v>326</v>
      </c>
      <c r="C547">
        <v>22.545999999999999</v>
      </c>
      <c r="D547" s="97" t="s">
        <v>293</v>
      </c>
      <c r="E547" s="17" t="s">
        <v>294</v>
      </c>
      <c r="F547" s="59" t="s">
        <v>295</v>
      </c>
      <c r="G547" s="17"/>
      <c r="H547" s="17"/>
      <c r="I547" s="99"/>
      <c r="J547" s="17" t="s">
        <v>142</v>
      </c>
      <c r="K547" s="17" t="s">
        <v>203</v>
      </c>
      <c r="L547"/>
      <c r="M547"/>
      <c r="N547" s="88">
        <v>251.2</v>
      </c>
      <c r="O547">
        <v>185.13</v>
      </c>
      <c r="P547">
        <v>196.63</v>
      </c>
      <c r="Q547">
        <v>40.28</v>
      </c>
      <c r="R547">
        <v>31.43</v>
      </c>
      <c r="S547">
        <v>123.02</v>
      </c>
      <c r="T547">
        <v>102.83</v>
      </c>
      <c r="U547">
        <v>54.39</v>
      </c>
      <c r="V547">
        <v>45.72</v>
      </c>
      <c r="W547">
        <v>74.8</v>
      </c>
      <c r="X547">
        <v>91.63</v>
      </c>
      <c r="Y547">
        <v>38.64</v>
      </c>
      <c r="Z547">
        <v>102.04</v>
      </c>
      <c r="AA547">
        <v>78.67</v>
      </c>
      <c r="AB547">
        <v>70.63</v>
      </c>
      <c r="AC547">
        <v>19.579999999999998</v>
      </c>
      <c r="AD547">
        <v>51.33</v>
      </c>
      <c r="AE547">
        <v>37.729999999999997</v>
      </c>
      <c r="AF547">
        <v>44.26</v>
      </c>
      <c r="AG547">
        <v>41.22</v>
      </c>
      <c r="AH547">
        <v>43.28</v>
      </c>
      <c r="AI547">
        <v>1.464</v>
      </c>
      <c r="AJ547"/>
      <c r="AK547"/>
      <c r="AL547">
        <v>28</v>
      </c>
      <c r="AM547"/>
      <c r="AN547"/>
      <c r="AO547">
        <v>7.8</v>
      </c>
      <c r="AP547">
        <v>96.6</v>
      </c>
      <c r="AQ547">
        <v>67.2</v>
      </c>
      <c r="AR547">
        <v>49.3</v>
      </c>
      <c r="AS547">
        <v>21.7</v>
      </c>
      <c r="AT547" t="s">
        <v>147</v>
      </c>
      <c r="AU547"/>
    </row>
    <row r="548" spans="1:47" x14ac:dyDescent="0.2">
      <c r="A548" s="29">
        <v>553.99999999999852</v>
      </c>
      <c r="B548">
        <v>86</v>
      </c>
      <c r="C548">
        <v>22.547000000000001</v>
      </c>
      <c r="D548" s="31" t="s">
        <v>140</v>
      </c>
      <c r="E548" s="3" t="s">
        <v>141</v>
      </c>
      <c r="F548" s="17" t="s">
        <v>62</v>
      </c>
      <c r="H548" s="17" t="s">
        <v>62</v>
      </c>
      <c r="I548" s="82">
        <v>44700</v>
      </c>
      <c r="J548" s="3" t="s">
        <v>142</v>
      </c>
      <c r="K548" s="3" t="s">
        <v>166</v>
      </c>
      <c r="M548" s="17">
        <v>242.8</v>
      </c>
      <c r="N548" s="88">
        <v>243.7</v>
      </c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>
        <v>1.8280000000000001</v>
      </c>
      <c r="AJ548"/>
      <c r="AK548"/>
      <c r="AL548"/>
      <c r="AM548"/>
      <c r="AN548"/>
      <c r="AO548">
        <v>11.4</v>
      </c>
      <c r="AP548">
        <v>74.8</v>
      </c>
      <c r="AQ548">
        <v>126.4</v>
      </c>
      <c r="AR548">
        <v>52.7</v>
      </c>
      <c r="AS548">
        <v>22.6</v>
      </c>
      <c r="AT548"/>
      <c r="AU548"/>
    </row>
    <row r="549" spans="1:47" x14ac:dyDescent="0.2">
      <c r="A549" s="29">
        <v>554.99999999999977</v>
      </c>
      <c r="B549">
        <v>109</v>
      </c>
      <c r="C549">
        <v>22.547999999999998</v>
      </c>
      <c r="D549" s="31" t="s">
        <v>140</v>
      </c>
      <c r="E549" s="3" t="s">
        <v>141</v>
      </c>
      <c r="F549" s="3" t="s">
        <v>60</v>
      </c>
      <c r="H549" s="3" t="s">
        <v>60</v>
      </c>
      <c r="I549" s="82">
        <v>44779</v>
      </c>
      <c r="J549" s="3" t="s">
        <v>142</v>
      </c>
      <c r="K549" s="17" t="s">
        <v>206</v>
      </c>
      <c r="M549" s="17">
        <v>254.7</v>
      </c>
      <c r="N549" s="88">
        <v>253.07</v>
      </c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>
        <v>1.7090000000000001</v>
      </c>
      <c r="AJ549">
        <v>5.72</v>
      </c>
      <c r="AK549" t="s">
        <v>239</v>
      </c>
      <c r="AL549"/>
      <c r="AM549"/>
      <c r="AN549">
        <v>163</v>
      </c>
      <c r="AO549"/>
      <c r="AP549"/>
      <c r="AQ549"/>
      <c r="AR549"/>
      <c r="AS549"/>
      <c r="AT549" t="s">
        <v>146</v>
      </c>
      <c r="AU549" t="s">
        <v>233</v>
      </c>
    </row>
    <row r="550" spans="1:47" x14ac:dyDescent="0.2">
      <c r="A550" s="29">
        <v>556.00000000000091</v>
      </c>
      <c r="B550">
        <v>110</v>
      </c>
      <c r="C550">
        <v>22.548999999999999</v>
      </c>
      <c r="D550" s="31" t="s">
        <v>140</v>
      </c>
      <c r="E550" s="3" t="s">
        <v>141</v>
      </c>
      <c r="F550" s="3" t="s">
        <v>60</v>
      </c>
      <c r="G550" s="3" t="s">
        <v>60</v>
      </c>
      <c r="H550" s="3" t="s">
        <v>60</v>
      </c>
      <c r="I550" s="82">
        <v>44782</v>
      </c>
      <c r="J550" s="3" t="s">
        <v>142</v>
      </c>
      <c r="K550" s="3" t="s">
        <v>204</v>
      </c>
      <c r="M550" s="17">
        <v>265</v>
      </c>
      <c r="N550" s="88">
        <v>267.7</v>
      </c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>
        <v>1.54</v>
      </c>
      <c r="AJ550">
        <v>45.9</v>
      </c>
      <c r="AK550" t="s">
        <v>239</v>
      </c>
      <c r="AL550"/>
      <c r="AM550"/>
      <c r="AN550">
        <v>117</v>
      </c>
      <c r="AO550"/>
      <c r="AP550"/>
      <c r="AQ550"/>
      <c r="AR550"/>
      <c r="AS550"/>
      <c r="AT550" t="s">
        <v>146</v>
      </c>
      <c r="AU550" t="s">
        <v>233</v>
      </c>
    </row>
    <row r="551" spans="1:47" x14ac:dyDescent="0.2">
      <c r="A551" s="29">
        <v>556.99999999999864</v>
      </c>
      <c r="B551">
        <v>111</v>
      </c>
      <c r="C551" s="5" t="s">
        <v>53</v>
      </c>
      <c r="D551" s="31" t="s">
        <v>140</v>
      </c>
      <c r="E551" s="3" t="s">
        <v>141</v>
      </c>
      <c r="F551" s="3" t="s">
        <v>60</v>
      </c>
      <c r="G551" s="3" t="s">
        <v>60</v>
      </c>
      <c r="H551" s="3" t="s">
        <v>60</v>
      </c>
      <c r="I551" s="82">
        <v>44782</v>
      </c>
      <c r="J551" s="3" t="s">
        <v>142</v>
      </c>
      <c r="K551" s="3" t="s">
        <v>204</v>
      </c>
      <c r="M551" s="17">
        <v>263.39999999999998</v>
      </c>
      <c r="N551" s="88">
        <v>268.81</v>
      </c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>
        <v>1.8129999999999999</v>
      </c>
      <c r="AJ551">
        <v>48.63</v>
      </c>
      <c r="AK551" t="s">
        <v>239</v>
      </c>
      <c r="AL551"/>
      <c r="AM551"/>
      <c r="AN551">
        <v>112</v>
      </c>
      <c r="AO551"/>
      <c r="AP551"/>
      <c r="AQ551"/>
      <c r="AR551"/>
      <c r="AS551"/>
      <c r="AT551" t="s">
        <v>146</v>
      </c>
      <c r="AU551" t="s">
        <v>233</v>
      </c>
    </row>
    <row r="552" spans="1:47" x14ac:dyDescent="0.2">
      <c r="A552" s="29">
        <v>557.99999999999977</v>
      </c>
      <c r="B552" s="17" t="s">
        <v>327</v>
      </c>
      <c r="C552">
        <v>22.550999999999998</v>
      </c>
      <c r="D552" s="74" t="s">
        <v>179</v>
      </c>
      <c r="E552" t="s">
        <v>180</v>
      </c>
      <c r="F552" t="s">
        <v>181</v>
      </c>
      <c r="G552"/>
      <c r="H552" t="s">
        <v>268</v>
      </c>
      <c r="I552" s="56">
        <v>44749</v>
      </c>
      <c r="J552" s="17" t="s">
        <v>238</v>
      </c>
      <c r="K552" s="17" t="s">
        <v>235</v>
      </c>
      <c r="L552">
        <v>260</v>
      </c>
      <c r="M552"/>
      <c r="N552" s="88">
        <v>224.08</v>
      </c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>
        <v>0.89700000000000002</v>
      </c>
      <c r="AJ552"/>
      <c r="AK552" t="s">
        <v>239</v>
      </c>
      <c r="AL552"/>
      <c r="AM552"/>
      <c r="AN552" s="55"/>
      <c r="AO552"/>
      <c r="AP552"/>
      <c r="AQ552"/>
      <c r="AR552"/>
      <c r="AS552"/>
      <c r="AT552" t="s">
        <v>146</v>
      </c>
      <c r="AU552" t="s">
        <v>233</v>
      </c>
    </row>
    <row r="553" spans="1:47" x14ac:dyDescent="0.2">
      <c r="A553" s="29">
        <v>559.00000000000102</v>
      </c>
      <c r="B553" s="17" t="s">
        <v>328</v>
      </c>
      <c r="C553">
        <v>22.552</v>
      </c>
      <c r="D553" s="74" t="s">
        <v>179</v>
      </c>
      <c r="E553" t="s">
        <v>180</v>
      </c>
      <c r="F553" t="s">
        <v>181</v>
      </c>
      <c r="G553"/>
      <c r="H553" t="s">
        <v>268</v>
      </c>
      <c r="I553" s="56">
        <v>44749</v>
      </c>
      <c r="J553" s="17" t="s">
        <v>238</v>
      </c>
      <c r="K553" s="17" t="s">
        <v>235</v>
      </c>
      <c r="L553">
        <v>255</v>
      </c>
      <c r="M553"/>
      <c r="N553" s="88">
        <v>236.94</v>
      </c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>
        <v>0.89400000000000002</v>
      </c>
      <c r="AJ553"/>
      <c r="AK553" t="s">
        <v>239</v>
      </c>
      <c r="AL553"/>
      <c r="AM553"/>
      <c r="AN553" s="55"/>
      <c r="AO553"/>
      <c r="AP553"/>
      <c r="AQ553"/>
      <c r="AR553"/>
      <c r="AS553"/>
      <c r="AT553" t="s">
        <v>146</v>
      </c>
      <c r="AU553" t="s">
        <v>233</v>
      </c>
    </row>
    <row r="554" spans="1:47" x14ac:dyDescent="0.2">
      <c r="A554" s="29">
        <v>559.99999999999875</v>
      </c>
      <c r="B554" s="17" t="s">
        <v>329</v>
      </c>
      <c r="C554">
        <v>22.553000000000001</v>
      </c>
      <c r="D554" s="74" t="s">
        <v>179</v>
      </c>
      <c r="E554" t="s">
        <v>180</v>
      </c>
      <c r="F554" t="s">
        <v>181</v>
      </c>
      <c r="G554"/>
      <c r="H554" t="s">
        <v>280</v>
      </c>
      <c r="I554" s="56">
        <v>44749</v>
      </c>
      <c r="J554" s="17" t="s">
        <v>330</v>
      </c>
      <c r="K554" s="17" t="s">
        <v>235</v>
      </c>
      <c r="L554">
        <v>265</v>
      </c>
      <c r="M554"/>
      <c r="N554" s="100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/>
      <c r="AK554" s="55"/>
      <c r="AL554"/>
      <c r="AM554"/>
      <c r="AN554" s="55"/>
      <c r="AO554"/>
      <c r="AP554"/>
      <c r="AQ554"/>
      <c r="AR554"/>
      <c r="AS554"/>
      <c r="AT554" t="s">
        <v>146</v>
      </c>
      <c r="AU554" t="s">
        <v>233</v>
      </c>
    </row>
    <row r="555" spans="1:47" x14ac:dyDescent="0.2">
      <c r="A555" s="29">
        <v>561</v>
      </c>
      <c r="B555">
        <v>300</v>
      </c>
      <c r="C555">
        <v>22.553999999999998</v>
      </c>
      <c r="D555" s="64" t="s">
        <v>223</v>
      </c>
      <c r="E555" t="s">
        <v>224</v>
      </c>
      <c r="F555" t="s">
        <v>73</v>
      </c>
      <c r="G555" t="s">
        <v>73</v>
      </c>
      <c r="H555"/>
      <c r="I555" s="68">
        <v>44786</v>
      </c>
      <c r="J555" s="17" t="s">
        <v>238</v>
      </c>
      <c r="K555" s="17" t="s">
        <v>235</v>
      </c>
      <c r="L555" s="17">
        <v>295</v>
      </c>
      <c r="M555"/>
      <c r="N555" s="88">
        <v>295</v>
      </c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>
        <v>1.6020000000000001</v>
      </c>
      <c r="AJ555">
        <v>42</v>
      </c>
      <c r="AK555" t="s">
        <v>173</v>
      </c>
      <c r="AL555">
        <v>28</v>
      </c>
      <c r="AM555">
        <v>97</v>
      </c>
      <c r="AN555"/>
      <c r="AO555"/>
      <c r="AP555"/>
      <c r="AQ555"/>
      <c r="AR555"/>
      <c r="AS555"/>
      <c r="AT555" t="s">
        <v>146</v>
      </c>
      <c r="AU555" t="s">
        <v>233</v>
      </c>
    </row>
    <row r="556" spans="1:47" x14ac:dyDescent="0.2">
      <c r="A556" s="29">
        <v>561</v>
      </c>
      <c r="B556">
        <v>307</v>
      </c>
      <c r="C556">
        <v>22.555</v>
      </c>
      <c r="D556" s="64" t="s">
        <v>223</v>
      </c>
      <c r="E556" t="s">
        <v>224</v>
      </c>
      <c r="F556" t="s">
        <v>73</v>
      </c>
      <c r="G556" t="s">
        <v>73</v>
      </c>
      <c r="H556"/>
      <c r="I556" s="68">
        <v>44787</v>
      </c>
      <c r="J556" s="17" t="s">
        <v>238</v>
      </c>
      <c r="K556" s="17" t="s">
        <v>235</v>
      </c>
      <c r="L556" s="17">
        <v>290</v>
      </c>
      <c r="M556"/>
      <c r="N556" s="88">
        <v>293</v>
      </c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>
        <v>1.6220000000000001</v>
      </c>
      <c r="AJ556">
        <v>41</v>
      </c>
      <c r="AK556" t="s">
        <v>173</v>
      </c>
      <c r="AL556"/>
      <c r="AM556">
        <v>61</v>
      </c>
      <c r="AN556">
        <v>55</v>
      </c>
      <c r="AO556"/>
      <c r="AP556"/>
      <c r="AQ556"/>
      <c r="AR556"/>
      <c r="AS556"/>
      <c r="AT556" t="s">
        <v>146</v>
      </c>
      <c r="AU556" t="s">
        <v>233</v>
      </c>
    </row>
    <row r="557" spans="1:47" x14ac:dyDescent="0.2">
      <c r="A557" s="29">
        <v>562.00000000000114</v>
      </c>
      <c r="B557">
        <v>305</v>
      </c>
      <c r="C557">
        <v>22.556000000000001</v>
      </c>
      <c r="D557" s="64" t="s">
        <v>223</v>
      </c>
      <c r="E557" t="s">
        <v>224</v>
      </c>
      <c r="F557" t="s">
        <v>73</v>
      </c>
      <c r="G557" t="s">
        <v>73</v>
      </c>
      <c r="H557"/>
      <c r="I557" s="68">
        <v>44787</v>
      </c>
      <c r="J557" s="17" t="s">
        <v>238</v>
      </c>
      <c r="K557" s="17" t="s">
        <v>235</v>
      </c>
      <c r="L557" s="17">
        <v>305</v>
      </c>
      <c r="M557"/>
      <c r="N557" s="88">
        <v>302</v>
      </c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>
        <v>1.702</v>
      </c>
      <c r="AJ557">
        <v>40</v>
      </c>
      <c r="AK557" t="s">
        <v>173</v>
      </c>
      <c r="AL557">
        <v>32</v>
      </c>
      <c r="AM557">
        <v>90</v>
      </c>
      <c r="AN557"/>
      <c r="AO557"/>
      <c r="AP557"/>
      <c r="AQ557"/>
      <c r="AR557"/>
      <c r="AS557"/>
      <c r="AT557" t="s">
        <v>146</v>
      </c>
      <c r="AU557" t="s">
        <v>233</v>
      </c>
    </row>
    <row r="558" spans="1:47" x14ac:dyDescent="0.2">
      <c r="A558" s="29">
        <v>562.99999999999886</v>
      </c>
      <c r="B558">
        <v>298</v>
      </c>
      <c r="C558">
        <v>22.556999999999999</v>
      </c>
      <c r="D558" s="64" t="s">
        <v>223</v>
      </c>
      <c r="E558" t="s">
        <v>224</v>
      </c>
      <c r="F558" t="s">
        <v>73</v>
      </c>
      <c r="G558" t="s">
        <v>73</v>
      </c>
      <c r="H558"/>
      <c r="I558" s="68">
        <v>44772</v>
      </c>
      <c r="J558" s="17" t="s">
        <v>238</v>
      </c>
      <c r="K558" s="17" t="s">
        <v>235</v>
      </c>
      <c r="L558" s="17">
        <v>300</v>
      </c>
      <c r="M558"/>
      <c r="N558" s="88">
        <v>295</v>
      </c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>
        <v>1.524</v>
      </c>
      <c r="AJ558">
        <v>43</v>
      </c>
      <c r="AK558" t="s">
        <v>173</v>
      </c>
      <c r="AL558">
        <v>26</v>
      </c>
      <c r="AM558">
        <v>101</v>
      </c>
      <c r="AN558"/>
      <c r="AO558"/>
      <c r="AP558"/>
      <c r="AQ558"/>
      <c r="AR558"/>
      <c r="AS558"/>
      <c r="AT558" t="s">
        <v>146</v>
      </c>
      <c r="AU558" t="s">
        <v>233</v>
      </c>
    </row>
    <row r="559" spans="1:47" x14ac:dyDescent="0.2">
      <c r="A559" s="29">
        <v>564</v>
      </c>
      <c r="B559">
        <v>293</v>
      </c>
      <c r="C559">
        <v>22.558</v>
      </c>
      <c r="D559" s="64" t="s">
        <v>223</v>
      </c>
      <c r="E559" t="s">
        <v>224</v>
      </c>
      <c r="F559" t="s">
        <v>73</v>
      </c>
      <c r="G559" t="s">
        <v>73</v>
      </c>
      <c r="H559"/>
      <c r="I559" s="68">
        <v>44751</v>
      </c>
      <c r="J559" s="17" t="s">
        <v>238</v>
      </c>
      <c r="K559" s="17" t="s">
        <v>235</v>
      </c>
      <c r="L559" s="17">
        <v>290.3</v>
      </c>
      <c r="M559"/>
      <c r="N559" s="88">
        <v>295</v>
      </c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>
        <v>1.5249999999999999</v>
      </c>
      <c r="AJ559">
        <v>44</v>
      </c>
      <c r="AK559" t="s">
        <v>172</v>
      </c>
      <c r="AL559"/>
      <c r="AM559"/>
      <c r="AN559">
        <v>128</v>
      </c>
      <c r="AO559"/>
      <c r="AP559"/>
      <c r="AQ559"/>
      <c r="AR559"/>
      <c r="AS559"/>
      <c r="AT559" t="s">
        <v>146</v>
      </c>
      <c r="AU559" t="s">
        <v>233</v>
      </c>
    </row>
    <row r="560" spans="1:47" x14ac:dyDescent="0.2">
      <c r="A560" s="29">
        <v>565.00000000000125</v>
      </c>
      <c r="B560">
        <v>292</v>
      </c>
      <c r="C560">
        <v>22.559000000000001</v>
      </c>
      <c r="D560" s="64" t="s">
        <v>223</v>
      </c>
      <c r="E560" t="s">
        <v>224</v>
      </c>
      <c r="F560" t="s">
        <v>73</v>
      </c>
      <c r="G560" t="s">
        <v>73</v>
      </c>
      <c r="H560"/>
      <c r="I560" s="68">
        <v>44751</v>
      </c>
      <c r="J560" s="17" t="s">
        <v>238</v>
      </c>
      <c r="K560" s="17" t="s">
        <v>206</v>
      </c>
      <c r="L560" s="17">
        <v>281.2</v>
      </c>
      <c r="M560"/>
      <c r="N560" s="88">
        <v>284</v>
      </c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>
        <v>1.946</v>
      </c>
      <c r="AJ560">
        <v>4.9000000000000004</v>
      </c>
      <c r="AK560" t="s">
        <v>172</v>
      </c>
      <c r="AL560"/>
      <c r="AM560"/>
      <c r="AN560">
        <v>143</v>
      </c>
      <c r="AO560"/>
      <c r="AP560"/>
      <c r="AQ560"/>
      <c r="AR560"/>
      <c r="AS560"/>
      <c r="AT560" t="s">
        <v>146</v>
      </c>
      <c r="AU560" t="s">
        <v>233</v>
      </c>
    </row>
    <row r="561" spans="1:47" x14ac:dyDescent="0.2">
      <c r="A561" s="29">
        <v>565.99999999999898</v>
      </c>
      <c r="B561">
        <v>302</v>
      </c>
      <c r="C561" s="5" t="s">
        <v>69</v>
      </c>
      <c r="D561" s="64" t="s">
        <v>223</v>
      </c>
      <c r="E561" t="s">
        <v>224</v>
      </c>
      <c r="F561" t="s">
        <v>73</v>
      </c>
      <c r="G561" t="s">
        <v>73</v>
      </c>
      <c r="H561"/>
      <c r="I561" s="68">
        <v>44787</v>
      </c>
      <c r="J561" s="17" t="s">
        <v>238</v>
      </c>
      <c r="K561" s="17" t="s">
        <v>235</v>
      </c>
      <c r="L561" s="17">
        <v>310</v>
      </c>
      <c r="M561"/>
      <c r="N561" s="88">
        <v>307</v>
      </c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>
        <v>1.677</v>
      </c>
      <c r="AJ561">
        <v>41.8</v>
      </c>
      <c r="AK561" t="s">
        <v>173</v>
      </c>
      <c r="AL561">
        <v>23</v>
      </c>
      <c r="AM561">
        <v>109</v>
      </c>
      <c r="AN561"/>
      <c r="AO561"/>
      <c r="AP561"/>
      <c r="AQ561"/>
      <c r="AR561"/>
      <c r="AS561"/>
      <c r="AT561" t="s">
        <v>146</v>
      </c>
      <c r="AU561" t="s">
        <v>233</v>
      </c>
    </row>
    <row r="562" spans="1:47" x14ac:dyDescent="0.2">
      <c r="A562" s="29">
        <v>567.00000000000023</v>
      </c>
      <c r="B562" s="17">
        <v>291</v>
      </c>
      <c r="C562">
        <v>22.561</v>
      </c>
      <c r="D562" s="64" t="s">
        <v>223</v>
      </c>
      <c r="E562" t="s">
        <v>224</v>
      </c>
      <c r="F562" t="s">
        <v>73</v>
      </c>
      <c r="G562" t="s">
        <v>73</v>
      </c>
      <c r="H562"/>
      <c r="I562" s="68">
        <v>44751</v>
      </c>
      <c r="J562" s="17" t="s">
        <v>238</v>
      </c>
      <c r="K562" s="17" t="s">
        <v>235</v>
      </c>
      <c r="L562" s="17">
        <v>340.1</v>
      </c>
      <c r="M562"/>
      <c r="N562" s="88">
        <v>341.9</v>
      </c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>
        <v>1.736</v>
      </c>
      <c r="AJ562">
        <v>45</v>
      </c>
      <c r="AK562" t="s">
        <v>173</v>
      </c>
      <c r="AL562"/>
      <c r="AM562"/>
      <c r="AN562">
        <v>137</v>
      </c>
      <c r="AO562"/>
      <c r="AP562"/>
      <c r="AQ562"/>
      <c r="AR562"/>
      <c r="AS562"/>
      <c r="AT562" t="s">
        <v>146</v>
      </c>
      <c r="AU562" t="s">
        <v>233</v>
      </c>
    </row>
    <row r="563" spans="1:47" x14ac:dyDescent="0.2">
      <c r="A563" s="29">
        <v>568.00000000000136</v>
      </c>
      <c r="B563" s="17">
        <v>296</v>
      </c>
      <c r="C563">
        <v>22.562000000000001</v>
      </c>
      <c r="D563" s="64" t="s">
        <v>223</v>
      </c>
      <c r="E563" t="s">
        <v>224</v>
      </c>
      <c r="F563" t="s">
        <v>73</v>
      </c>
      <c r="G563" t="s">
        <v>73</v>
      </c>
      <c r="H563"/>
      <c r="I563" s="68">
        <v>44771</v>
      </c>
      <c r="J563" s="17" t="s">
        <v>238</v>
      </c>
      <c r="K563" s="17" t="s">
        <v>235</v>
      </c>
      <c r="L563" s="17">
        <v>295</v>
      </c>
      <c r="M563"/>
      <c r="N563" s="88">
        <v>293.89999999999998</v>
      </c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>
        <v>1.49</v>
      </c>
      <c r="AJ563">
        <v>42.2</v>
      </c>
      <c r="AK563"/>
      <c r="AL563" t="s">
        <v>173</v>
      </c>
      <c r="AM563">
        <v>93</v>
      </c>
      <c r="AN563">
        <v>39</v>
      </c>
      <c r="AO563"/>
      <c r="AP563"/>
      <c r="AQ563"/>
      <c r="AR563"/>
      <c r="AS563"/>
      <c r="AT563" t="s">
        <v>146</v>
      </c>
      <c r="AU563" t="s">
        <v>233</v>
      </c>
    </row>
    <row r="564" spans="1:47" x14ac:dyDescent="0.2">
      <c r="A564" s="29">
        <v>568.99999999999909</v>
      </c>
      <c r="B564" s="17">
        <v>297</v>
      </c>
      <c r="C564">
        <v>22.562999999999999</v>
      </c>
      <c r="D564" s="64" t="s">
        <v>223</v>
      </c>
      <c r="E564" t="s">
        <v>224</v>
      </c>
      <c r="F564" t="s">
        <v>73</v>
      </c>
      <c r="G564" t="s">
        <v>73</v>
      </c>
      <c r="H564"/>
      <c r="I564" s="68">
        <v>44772</v>
      </c>
      <c r="J564" s="17" t="s">
        <v>238</v>
      </c>
      <c r="K564" s="17" t="s">
        <v>235</v>
      </c>
      <c r="L564" s="17">
        <v>290</v>
      </c>
      <c r="M564"/>
      <c r="N564" s="88">
        <v>291.2</v>
      </c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>
        <v>1.401</v>
      </c>
      <c r="AJ564">
        <v>41.7</v>
      </c>
      <c r="AK564" t="s">
        <v>173</v>
      </c>
      <c r="AL564">
        <v>22</v>
      </c>
      <c r="AM564">
        <v>92</v>
      </c>
      <c r="AN564"/>
      <c r="AO564"/>
      <c r="AP564"/>
      <c r="AQ564"/>
      <c r="AR564"/>
      <c r="AS564"/>
      <c r="AT564" t="s">
        <v>146</v>
      </c>
      <c r="AU564" t="s">
        <v>233</v>
      </c>
    </row>
    <row r="565" spans="1:47" x14ac:dyDescent="0.2">
      <c r="A565" s="29">
        <v>570.00000000000023</v>
      </c>
      <c r="B565" s="17">
        <v>301</v>
      </c>
      <c r="C565">
        <v>22.564</v>
      </c>
      <c r="D565" s="64" t="s">
        <v>223</v>
      </c>
      <c r="E565" t="s">
        <v>224</v>
      </c>
      <c r="F565" t="s">
        <v>73</v>
      </c>
      <c r="G565" t="s">
        <v>73</v>
      </c>
      <c r="H565"/>
      <c r="I565" s="68">
        <v>44786</v>
      </c>
      <c r="J565" s="17" t="s">
        <v>238</v>
      </c>
      <c r="K565" s="17" t="s">
        <v>235</v>
      </c>
      <c r="L565" s="17">
        <v>290</v>
      </c>
      <c r="M565"/>
      <c r="N565" s="88">
        <v>288.3</v>
      </c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>
        <v>1.5109999999999999</v>
      </c>
      <c r="AJ565">
        <v>38.799999999999997</v>
      </c>
      <c r="AK565" t="s">
        <v>172</v>
      </c>
      <c r="AL565"/>
      <c r="AM565"/>
      <c r="AN565">
        <v>124</v>
      </c>
      <c r="AO565"/>
      <c r="AP565"/>
      <c r="AQ565"/>
      <c r="AR565"/>
      <c r="AS565"/>
      <c r="AT565" t="s">
        <v>146</v>
      </c>
      <c r="AU565" t="s">
        <v>233</v>
      </c>
    </row>
    <row r="566" spans="1:47" x14ac:dyDescent="0.2">
      <c r="A566" s="29">
        <v>571.00000000000148</v>
      </c>
      <c r="B566" s="17">
        <v>303</v>
      </c>
      <c r="C566">
        <v>22.565000000000001</v>
      </c>
      <c r="D566" s="64" t="s">
        <v>223</v>
      </c>
      <c r="E566" t="s">
        <v>224</v>
      </c>
      <c r="F566" t="s">
        <v>73</v>
      </c>
      <c r="G566" t="s">
        <v>73</v>
      </c>
      <c r="H566"/>
      <c r="I566" s="68">
        <v>44787</v>
      </c>
      <c r="J566" s="17" t="s">
        <v>238</v>
      </c>
      <c r="K566" s="17" t="s">
        <v>235</v>
      </c>
      <c r="L566" s="17">
        <v>300</v>
      </c>
      <c r="M566"/>
      <c r="N566" s="88">
        <v>299.8</v>
      </c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>
        <v>1.7150000000000001</v>
      </c>
      <c r="AJ566">
        <v>43.9</v>
      </c>
      <c r="AK566" t="s">
        <v>173</v>
      </c>
      <c r="AL566">
        <v>33</v>
      </c>
      <c r="AM566">
        <v>95</v>
      </c>
      <c r="AN566"/>
      <c r="AO566"/>
      <c r="AP566"/>
      <c r="AQ566"/>
      <c r="AR566"/>
      <c r="AS566"/>
      <c r="AT566" t="s">
        <v>146</v>
      </c>
      <c r="AU566" t="s">
        <v>233</v>
      </c>
    </row>
    <row r="567" spans="1:47" x14ac:dyDescent="0.2">
      <c r="A567" s="29">
        <v>571.9999999999992</v>
      </c>
      <c r="B567" s="17">
        <v>304</v>
      </c>
      <c r="C567">
        <v>22.565999999999999</v>
      </c>
      <c r="D567" s="64" t="s">
        <v>223</v>
      </c>
      <c r="E567" t="s">
        <v>224</v>
      </c>
      <c r="F567" t="s">
        <v>73</v>
      </c>
      <c r="G567" t="s">
        <v>73</v>
      </c>
      <c r="H567"/>
      <c r="I567" s="68">
        <v>44787</v>
      </c>
      <c r="J567" s="17" t="s">
        <v>238</v>
      </c>
      <c r="K567" s="17" t="s">
        <v>235</v>
      </c>
      <c r="L567" s="17">
        <v>290</v>
      </c>
      <c r="M567"/>
      <c r="N567" s="88">
        <v>286</v>
      </c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>
        <v>1.452</v>
      </c>
      <c r="AJ567">
        <v>42.3</v>
      </c>
      <c r="AK567" t="s">
        <v>173</v>
      </c>
      <c r="AL567">
        <v>25</v>
      </c>
      <c r="AM567">
        <v>100</v>
      </c>
      <c r="AN567"/>
      <c r="AO567"/>
      <c r="AP567"/>
      <c r="AQ567"/>
      <c r="AR567"/>
      <c r="AS567"/>
      <c r="AT567" t="s">
        <v>146</v>
      </c>
      <c r="AU567" t="s">
        <v>233</v>
      </c>
    </row>
    <row r="568" spans="1:47" x14ac:dyDescent="0.2">
      <c r="A568" s="29">
        <v>573.00000000000045</v>
      </c>
      <c r="B568" s="17">
        <v>306</v>
      </c>
      <c r="C568">
        <v>22.567</v>
      </c>
      <c r="D568" s="64" t="s">
        <v>223</v>
      </c>
      <c r="E568" t="s">
        <v>224</v>
      </c>
      <c r="F568" t="s">
        <v>73</v>
      </c>
      <c r="G568" t="s">
        <v>73</v>
      </c>
      <c r="H568"/>
      <c r="I568" s="68">
        <v>44787</v>
      </c>
      <c r="J568" s="17" t="s">
        <v>238</v>
      </c>
      <c r="K568" s="17" t="s">
        <v>235</v>
      </c>
      <c r="L568" s="17">
        <v>285</v>
      </c>
      <c r="M568"/>
      <c r="N568" s="88">
        <v>286.7</v>
      </c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>
        <v>1.581</v>
      </c>
      <c r="AJ568">
        <v>41.2</v>
      </c>
      <c r="AK568" t="s">
        <v>173</v>
      </c>
      <c r="AL568">
        <v>30</v>
      </c>
      <c r="AM568">
        <v>98</v>
      </c>
      <c r="AN568"/>
      <c r="AO568"/>
      <c r="AP568"/>
      <c r="AQ568"/>
      <c r="AR568"/>
      <c r="AS568"/>
      <c r="AT568" t="s">
        <v>146</v>
      </c>
      <c r="AU568" t="s">
        <v>233</v>
      </c>
    </row>
    <row r="569" spans="1:47" x14ac:dyDescent="0.2">
      <c r="A569" s="29">
        <v>574.00000000000159</v>
      </c>
      <c r="B569">
        <v>98</v>
      </c>
      <c r="C569">
        <v>22.568000000000001</v>
      </c>
      <c r="D569" s="31" t="s">
        <v>140</v>
      </c>
      <c r="E569" s="3" t="s">
        <v>141</v>
      </c>
      <c r="F569" s="17" t="s">
        <v>62</v>
      </c>
      <c r="H569" s="17" t="s">
        <v>62</v>
      </c>
      <c r="I569" s="82">
        <v>44739</v>
      </c>
      <c r="J569" s="3" t="s">
        <v>142</v>
      </c>
      <c r="K569" s="3" t="s">
        <v>166</v>
      </c>
      <c r="M569" s="17">
        <v>221.1</v>
      </c>
      <c r="N569" s="88">
        <v>231.2</v>
      </c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>
        <v>1.59</v>
      </c>
      <c r="AJ569"/>
      <c r="AK569"/>
      <c r="AL569"/>
      <c r="AM569"/>
      <c r="AN569"/>
      <c r="AO569">
        <v>7.1</v>
      </c>
      <c r="AP569">
        <v>63.4</v>
      </c>
      <c r="AQ569">
        <f>98.7+4.5</f>
        <v>103.2</v>
      </c>
      <c r="AR569">
        <v>48.1</v>
      </c>
      <c r="AS569">
        <v>20.6</v>
      </c>
      <c r="AT569"/>
      <c r="AU569"/>
    </row>
    <row r="570" spans="1:47" x14ac:dyDescent="0.2">
      <c r="A570" s="29">
        <v>574.99999999999932</v>
      </c>
      <c r="B570">
        <v>99</v>
      </c>
      <c r="C570">
        <v>22.568999999999999</v>
      </c>
      <c r="D570" s="31" t="s">
        <v>140</v>
      </c>
      <c r="E570" s="3" t="s">
        <v>141</v>
      </c>
      <c r="F570" s="17" t="s">
        <v>62</v>
      </c>
      <c r="H570" s="17" t="s">
        <v>62</v>
      </c>
      <c r="I570" s="82">
        <v>44739</v>
      </c>
      <c r="J570" s="3" t="s">
        <v>142</v>
      </c>
      <c r="K570" s="3" t="s">
        <v>166</v>
      </c>
      <c r="M570" s="17">
        <v>221.4</v>
      </c>
      <c r="N570" s="88">
        <v>231.9</v>
      </c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>
        <v>1.5640000000000001</v>
      </c>
      <c r="AJ570"/>
      <c r="AK570"/>
      <c r="AL570"/>
      <c r="AM570"/>
      <c r="AN570"/>
      <c r="AO570">
        <v>6.2</v>
      </c>
      <c r="AP570">
        <v>60.3</v>
      </c>
      <c r="AQ570">
        <f>106.8+5</f>
        <v>111.8</v>
      </c>
      <c r="AR570">
        <v>48.8</v>
      </c>
      <c r="AS570">
        <v>20.8</v>
      </c>
      <c r="AT570"/>
      <c r="AU570"/>
    </row>
    <row r="571" spans="1:47" x14ac:dyDescent="0.2">
      <c r="A571" s="29">
        <v>576.00000000000045</v>
      </c>
      <c r="B571">
        <v>102</v>
      </c>
      <c r="C571" s="5" t="s">
        <v>331</v>
      </c>
      <c r="D571" s="31" t="s">
        <v>140</v>
      </c>
      <c r="E571" s="3" t="s">
        <v>141</v>
      </c>
      <c r="F571" s="3" t="s">
        <v>60</v>
      </c>
      <c r="H571" s="3" t="s">
        <v>60</v>
      </c>
      <c r="I571" s="82">
        <v>44766</v>
      </c>
      <c r="J571" s="3" t="s">
        <v>142</v>
      </c>
      <c r="K571" s="3" t="s">
        <v>166</v>
      </c>
      <c r="M571" s="17">
        <v>206.2</v>
      </c>
      <c r="N571" s="88">
        <v>205.6</v>
      </c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>
        <v>1.764</v>
      </c>
      <c r="AJ571"/>
      <c r="AK571"/>
      <c r="AL571">
        <v>44.5</v>
      </c>
      <c r="AM571"/>
      <c r="AN571"/>
      <c r="AO571">
        <v>8.1</v>
      </c>
      <c r="AP571">
        <v>64.8</v>
      </c>
      <c r="AQ571">
        <v>62.6</v>
      </c>
      <c r="AR571">
        <v>46.3</v>
      </c>
      <c r="AS571">
        <v>20.6</v>
      </c>
      <c r="AT571"/>
      <c r="AU571"/>
    </row>
    <row r="572" spans="1:47" x14ac:dyDescent="0.2">
      <c r="A572" s="29">
        <v>577.00000000000171</v>
      </c>
      <c r="B572" s="17" t="s">
        <v>284</v>
      </c>
      <c r="C572">
        <v>22.571000000000002</v>
      </c>
      <c r="D572" s="74" t="s">
        <v>179</v>
      </c>
      <c r="E572" t="s">
        <v>180</v>
      </c>
      <c r="F572" t="s">
        <v>181</v>
      </c>
      <c r="G572"/>
      <c r="H572" t="s">
        <v>280</v>
      </c>
      <c r="I572" s="56">
        <v>44743</v>
      </c>
      <c r="J572" s="17" t="s">
        <v>238</v>
      </c>
      <c r="K572" s="17" t="s">
        <v>145</v>
      </c>
      <c r="L572">
        <v>220</v>
      </c>
      <c r="M572"/>
      <c r="N572" s="59">
        <v>206.5</v>
      </c>
      <c r="O572">
        <v>166.64</v>
      </c>
      <c r="P572">
        <v>176.7</v>
      </c>
      <c r="Q572">
        <v>40.9</v>
      </c>
      <c r="R572">
        <v>18.75</v>
      </c>
      <c r="S572">
        <v>115.93</v>
      </c>
      <c r="T572">
        <v>91.34</v>
      </c>
      <c r="U572">
        <v>65.239999999999995</v>
      </c>
      <c r="V572">
        <v>57.36</v>
      </c>
      <c r="W572">
        <v>74.849999999999994</v>
      </c>
      <c r="X572">
        <v>89.41</v>
      </c>
      <c r="Y572">
        <v>34.04</v>
      </c>
      <c r="Z572">
        <v>103.04</v>
      </c>
      <c r="AA572">
        <v>75.28</v>
      </c>
      <c r="AB572">
        <v>82.59</v>
      </c>
      <c r="AC572">
        <v>24.57</v>
      </c>
      <c r="AD572">
        <v>44.01</v>
      </c>
      <c r="AE572">
        <v>23</v>
      </c>
      <c r="AF572">
        <v>36.97</v>
      </c>
      <c r="AG572">
        <v>30.11</v>
      </c>
      <c r="AH572">
        <v>43.77</v>
      </c>
      <c r="AI572">
        <v>1.593</v>
      </c>
      <c r="AJ572"/>
      <c r="AK572"/>
      <c r="AL572">
        <v>11</v>
      </c>
      <c r="AM572"/>
      <c r="AN572"/>
      <c r="AO572">
        <v>8.1</v>
      </c>
      <c r="AP572">
        <v>82.4</v>
      </c>
      <c r="AQ572">
        <v>45.1</v>
      </c>
      <c r="AR572">
        <v>54</v>
      </c>
      <c r="AS572">
        <v>23</v>
      </c>
      <c r="AT572"/>
      <c r="AU572"/>
    </row>
    <row r="573" spans="1:47" x14ac:dyDescent="0.2">
      <c r="A573" s="29">
        <v>577.99999999999943</v>
      </c>
      <c r="B573" s="17" t="s">
        <v>332</v>
      </c>
      <c r="C573">
        <v>22.571999999999999</v>
      </c>
      <c r="D573" s="74" t="s">
        <v>179</v>
      </c>
      <c r="E573" t="s">
        <v>180</v>
      </c>
      <c r="F573" t="s">
        <v>181</v>
      </c>
      <c r="G573"/>
      <c r="H573" t="s">
        <v>280</v>
      </c>
      <c r="I573" s="56">
        <v>44765</v>
      </c>
      <c r="J573" s="17" t="s">
        <v>238</v>
      </c>
      <c r="K573" s="17" t="s">
        <v>145</v>
      </c>
      <c r="L573">
        <v>265</v>
      </c>
      <c r="M573"/>
      <c r="N573" s="59">
        <v>226.7</v>
      </c>
      <c r="O573">
        <v>183.77</v>
      </c>
      <c r="P573">
        <v>199.31</v>
      </c>
      <c r="Q573">
        <v>44.91</v>
      </c>
      <c r="R573">
        <v>23.29</v>
      </c>
      <c r="S573">
        <v>123.7</v>
      </c>
      <c r="T573">
        <v>99.87</v>
      </c>
      <c r="U573">
        <v>63.71</v>
      </c>
      <c r="V573">
        <v>53.23</v>
      </c>
      <c r="W573">
        <v>71.930000000000007</v>
      </c>
      <c r="X573">
        <v>85.57</v>
      </c>
      <c r="Y573">
        <v>31.87</v>
      </c>
      <c r="Z573">
        <v>99.32</v>
      </c>
      <c r="AA573">
        <v>71.92</v>
      </c>
      <c r="AB573">
        <v>78.31</v>
      </c>
      <c r="AC573">
        <v>26.65</v>
      </c>
      <c r="AD573">
        <v>44.83</v>
      </c>
      <c r="AE573">
        <v>25.54</v>
      </c>
      <c r="AF573">
        <v>41.84</v>
      </c>
      <c r="AG573">
        <v>30.72</v>
      </c>
      <c r="AH573">
        <v>41.1</v>
      </c>
      <c r="AI573">
        <v>1.927</v>
      </c>
      <c r="AJ573"/>
      <c r="AK573"/>
      <c r="AL573">
        <v>11</v>
      </c>
      <c r="AM573"/>
      <c r="AN573"/>
      <c r="AO573">
        <v>6.4</v>
      </c>
      <c r="AP573">
        <v>84.9</v>
      </c>
      <c r="AQ573">
        <v>57.2</v>
      </c>
      <c r="AR573">
        <v>63.2</v>
      </c>
      <c r="AS573">
        <v>26.6</v>
      </c>
      <c r="AT573"/>
      <c r="AU573"/>
    </row>
    <row r="574" spans="1:47" x14ac:dyDescent="0.2">
      <c r="A574" s="29">
        <v>579.00000000000068</v>
      </c>
      <c r="B574" s="17" t="s">
        <v>333</v>
      </c>
      <c r="C574">
        <v>22.573</v>
      </c>
      <c r="D574" s="74" t="s">
        <v>179</v>
      </c>
      <c r="E574" t="s">
        <v>180</v>
      </c>
      <c r="F574" t="s">
        <v>181</v>
      </c>
      <c r="G574"/>
      <c r="H574" t="s">
        <v>280</v>
      </c>
      <c r="I574" s="56">
        <v>44765</v>
      </c>
      <c r="J574" s="17" t="s">
        <v>238</v>
      </c>
      <c r="K574" s="17" t="s">
        <v>145</v>
      </c>
      <c r="L574">
        <v>270</v>
      </c>
      <c r="M574"/>
      <c r="N574" s="88">
        <v>211.5</v>
      </c>
      <c r="O574">
        <v>173.98</v>
      </c>
      <c r="P574">
        <v>183.42</v>
      </c>
      <c r="Q574">
        <v>42.03</v>
      </c>
      <c r="R574">
        <v>20.98</v>
      </c>
      <c r="S574">
        <v>117.3</v>
      </c>
      <c r="T574">
        <v>92.22</v>
      </c>
      <c r="U574">
        <v>64.41</v>
      </c>
      <c r="V574">
        <v>53.57</v>
      </c>
      <c r="W574">
        <v>72.69</v>
      </c>
      <c r="X574">
        <v>85.87</v>
      </c>
      <c r="Y574">
        <v>34.229999999999997</v>
      </c>
      <c r="Z574">
        <v>101.98</v>
      </c>
      <c r="AA574">
        <v>74.69</v>
      </c>
      <c r="AB574">
        <v>78.430000000000007</v>
      </c>
      <c r="AC574">
        <v>23.55</v>
      </c>
      <c r="AD574">
        <v>44.88</v>
      </c>
      <c r="AE574">
        <v>23.93</v>
      </c>
      <c r="AF574">
        <v>42.26</v>
      </c>
      <c r="AG574">
        <v>28.96</v>
      </c>
      <c r="AH574">
        <v>42.44</v>
      </c>
      <c r="AI574">
        <v>1.609</v>
      </c>
      <c r="AJ574"/>
      <c r="AK574"/>
      <c r="AL574">
        <v>38</v>
      </c>
      <c r="AM574"/>
      <c r="AN574"/>
      <c r="AO574">
        <v>7</v>
      </c>
      <c r="AP574">
        <v>62</v>
      </c>
      <c r="AQ574">
        <v>47.9</v>
      </c>
      <c r="AR574">
        <v>52.8</v>
      </c>
      <c r="AS574">
        <v>22.4</v>
      </c>
      <c r="AT574"/>
      <c r="AU574"/>
    </row>
    <row r="575" spans="1:47" x14ac:dyDescent="0.2">
      <c r="A575" s="29">
        <v>579.99999999999829</v>
      </c>
      <c r="B575" s="17" t="s">
        <v>334</v>
      </c>
      <c r="C575">
        <v>22.574000000000002</v>
      </c>
      <c r="D575" s="74" t="s">
        <v>179</v>
      </c>
      <c r="E575" t="s">
        <v>180</v>
      </c>
      <c r="F575" t="s">
        <v>181</v>
      </c>
      <c r="G575"/>
      <c r="H575" t="s">
        <v>280</v>
      </c>
      <c r="I575" s="56">
        <v>44749</v>
      </c>
      <c r="J575" s="17" t="s">
        <v>238</v>
      </c>
      <c r="K575" s="17" t="s">
        <v>203</v>
      </c>
      <c r="L575">
        <v>205</v>
      </c>
      <c r="M575"/>
      <c r="N575" s="88">
        <v>224.1</v>
      </c>
      <c r="O575">
        <v>176.08</v>
      </c>
      <c r="P575">
        <v>189.3</v>
      </c>
      <c r="Q575">
        <v>40.6</v>
      </c>
      <c r="R575">
        <v>29.33</v>
      </c>
      <c r="S575">
        <v>117.91</v>
      </c>
      <c r="T575">
        <v>97.58</v>
      </c>
      <c r="U575">
        <v>64.89</v>
      </c>
      <c r="V575">
        <v>52.19</v>
      </c>
      <c r="W575">
        <v>75.81</v>
      </c>
      <c r="X575">
        <v>86.68</v>
      </c>
      <c r="Y575">
        <v>33.799999999999997</v>
      </c>
      <c r="Z575">
        <v>100.46</v>
      </c>
      <c r="AA575">
        <v>74.760000000000005</v>
      </c>
      <c r="AB575">
        <v>80.17</v>
      </c>
      <c r="AC575">
        <v>29.04</v>
      </c>
      <c r="AD575">
        <v>47.2</v>
      </c>
      <c r="AE575">
        <v>31.01</v>
      </c>
      <c r="AF575">
        <v>38</v>
      </c>
      <c r="AG575">
        <v>31.69</v>
      </c>
      <c r="AH575">
        <v>41.69</v>
      </c>
      <c r="AI575">
        <v>1.843</v>
      </c>
      <c r="AJ575"/>
      <c r="AK575"/>
      <c r="AL575">
        <v>45</v>
      </c>
      <c r="AM575"/>
      <c r="AN575"/>
      <c r="AO575">
        <v>6.5</v>
      </c>
      <c r="AP575">
        <v>78</v>
      </c>
      <c r="AQ575">
        <v>29.9</v>
      </c>
      <c r="AR575">
        <v>59.1</v>
      </c>
      <c r="AS575">
        <v>25.4</v>
      </c>
      <c r="AT575"/>
      <c r="AU575"/>
    </row>
    <row r="576" spans="1:47" x14ac:dyDescent="0.2">
      <c r="A576" s="29">
        <v>580.99999999999955</v>
      </c>
      <c r="B576" s="17" t="s">
        <v>335</v>
      </c>
      <c r="C576">
        <v>22.574999999999999</v>
      </c>
      <c r="D576" s="74" t="s">
        <v>179</v>
      </c>
      <c r="E576" t="s">
        <v>180</v>
      </c>
      <c r="F576" t="s">
        <v>181</v>
      </c>
      <c r="G576"/>
      <c r="H576" t="s">
        <v>280</v>
      </c>
      <c r="I576" s="56">
        <v>44765</v>
      </c>
      <c r="J576" s="17" t="s">
        <v>238</v>
      </c>
      <c r="K576" s="17" t="s">
        <v>145</v>
      </c>
      <c r="L576">
        <v>265</v>
      </c>
      <c r="M576"/>
      <c r="N576" s="88">
        <v>221.6</v>
      </c>
      <c r="O576">
        <v>181.08</v>
      </c>
      <c r="P576">
        <v>191.93</v>
      </c>
      <c r="Q576">
        <v>43.39</v>
      </c>
      <c r="R576">
        <v>19.100000000000001</v>
      </c>
      <c r="S576">
        <v>121.37</v>
      </c>
      <c r="T576">
        <v>98.49</v>
      </c>
      <c r="U576">
        <v>62.68</v>
      </c>
      <c r="V576">
        <v>48.99</v>
      </c>
      <c r="W576">
        <v>71.3</v>
      </c>
      <c r="X576">
        <v>89.35</v>
      </c>
      <c r="Y576">
        <v>33.56</v>
      </c>
      <c r="Z576">
        <v>103.43</v>
      </c>
      <c r="AA576">
        <v>72.599999999999994</v>
      </c>
      <c r="AB576">
        <v>76.180000000000007</v>
      </c>
      <c r="AC576">
        <v>22.52</v>
      </c>
      <c r="AD576">
        <v>41.94</v>
      </c>
      <c r="AE576">
        <v>18.37</v>
      </c>
      <c r="AF576">
        <v>37.89</v>
      </c>
      <c r="AG576">
        <v>28.05</v>
      </c>
      <c r="AH576">
        <v>42.99</v>
      </c>
      <c r="AI576">
        <v>1.8220000000000001</v>
      </c>
      <c r="AJ576"/>
      <c r="AK576"/>
      <c r="AL576">
        <v>8</v>
      </c>
      <c r="AM576"/>
      <c r="AN576"/>
      <c r="AO576">
        <v>7.8</v>
      </c>
      <c r="AP576">
        <v>76.7</v>
      </c>
      <c r="AQ576">
        <v>62.7</v>
      </c>
      <c r="AR576">
        <v>60.2</v>
      </c>
      <c r="AS576">
        <v>25.4</v>
      </c>
      <c r="AT576"/>
      <c r="AU576"/>
    </row>
    <row r="577" spans="1:47" x14ac:dyDescent="0.2">
      <c r="A577" s="29">
        <v>582.00000000000068</v>
      </c>
      <c r="B577" s="17" t="s">
        <v>336</v>
      </c>
      <c r="C577">
        <v>22.576000000000001</v>
      </c>
      <c r="D577" s="74" t="s">
        <v>179</v>
      </c>
      <c r="E577" t="s">
        <v>180</v>
      </c>
      <c r="F577" t="s">
        <v>181</v>
      </c>
      <c r="G577"/>
      <c r="H577" t="s">
        <v>280</v>
      </c>
      <c r="I577" s="56">
        <v>44749</v>
      </c>
      <c r="J577" s="17" t="s">
        <v>238</v>
      </c>
      <c r="K577" s="17" t="s">
        <v>145</v>
      </c>
      <c r="L577">
        <v>265</v>
      </c>
      <c r="M577"/>
      <c r="N577" s="88">
        <v>224.3</v>
      </c>
      <c r="O577">
        <v>168.39</v>
      </c>
      <c r="P577">
        <v>186.99</v>
      </c>
      <c r="Q577">
        <v>46.48</v>
      </c>
      <c r="R577">
        <v>16.05</v>
      </c>
      <c r="S577">
        <v>114.7</v>
      </c>
      <c r="T577">
        <v>90.7</v>
      </c>
      <c r="U577">
        <v>71.06</v>
      </c>
      <c r="V577">
        <v>55.31</v>
      </c>
      <c r="W577">
        <v>75.5</v>
      </c>
      <c r="X577">
        <v>86.63</v>
      </c>
      <c r="Y577">
        <v>36.049999999999997</v>
      </c>
      <c r="Z577">
        <v>102.49</v>
      </c>
      <c r="AA577">
        <v>76.87</v>
      </c>
      <c r="AB577">
        <v>84.42</v>
      </c>
      <c r="AC577">
        <v>27.09</v>
      </c>
      <c r="AD577">
        <v>46.78</v>
      </c>
      <c r="AE577">
        <v>21.8</v>
      </c>
      <c r="AF577">
        <v>36.36</v>
      </c>
      <c r="AG577">
        <v>24.55</v>
      </c>
      <c r="AH577">
        <v>45.1</v>
      </c>
      <c r="AI577">
        <v>1.6579999999999999</v>
      </c>
      <c r="AJ577"/>
      <c r="AK577"/>
      <c r="AL577">
        <f>20+16.5+6.5</f>
        <v>43</v>
      </c>
      <c r="AM577"/>
      <c r="AN577"/>
      <c r="AO577">
        <v>7</v>
      </c>
      <c r="AP577">
        <v>81.3</v>
      </c>
      <c r="AQ577">
        <v>28.3</v>
      </c>
      <c r="AR577">
        <v>59.5</v>
      </c>
      <c r="AS577">
        <v>25.5</v>
      </c>
      <c r="AT577"/>
      <c r="AU577"/>
    </row>
    <row r="578" spans="1:47" x14ac:dyDescent="0.2">
      <c r="A578" s="29">
        <v>582.99999999999841</v>
      </c>
      <c r="B578" s="17" t="s">
        <v>337</v>
      </c>
      <c r="C578">
        <v>22.577000000000002</v>
      </c>
      <c r="D578" s="74" t="s">
        <v>179</v>
      </c>
      <c r="E578" t="s">
        <v>180</v>
      </c>
      <c r="F578" t="s">
        <v>181</v>
      </c>
      <c r="G578"/>
      <c r="H578" t="s">
        <v>182</v>
      </c>
      <c r="I578" s="56">
        <v>44766</v>
      </c>
      <c r="J578" s="17" t="s">
        <v>238</v>
      </c>
      <c r="K578" s="17" t="s">
        <v>145</v>
      </c>
      <c r="L578">
        <v>265</v>
      </c>
      <c r="M578"/>
      <c r="N578" s="88">
        <v>218.9</v>
      </c>
      <c r="O578">
        <v>184.27</v>
      </c>
      <c r="P578">
        <v>197.22</v>
      </c>
      <c r="Q578">
        <v>44.04</v>
      </c>
      <c r="R578">
        <v>29.96</v>
      </c>
      <c r="S578">
        <v>121.24</v>
      </c>
      <c r="T578">
        <v>97.24</v>
      </c>
      <c r="U578">
        <v>65.900000000000006</v>
      </c>
      <c r="V578">
        <v>53.77</v>
      </c>
      <c r="W578">
        <v>73.11</v>
      </c>
      <c r="X578">
        <v>84.75</v>
      </c>
      <c r="Y578">
        <v>34.49</v>
      </c>
      <c r="Z578">
        <v>99.4</v>
      </c>
      <c r="AA578">
        <v>72.87</v>
      </c>
      <c r="AB578">
        <v>78.23</v>
      </c>
      <c r="AC578">
        <v>26.43</v>
      </c>
      <c r="AD578">
        <v>45.86</v>
      </c>
      <c r="AE578">
        <v>30.3</v>
      </c>
      <c r="AF578">
        <v>42.54</v>
      </c>
      <c r="AG578">
        <v>35.82</v>
      </c>
      <c r="AH578">
        <v>43.12</v>
      </c>
      <c r="AI578">
        <v>1.641</v>
      </c>
      <c r="AJ578"/>
      <c r="AK578"/>
      <c r="AL578">
        <v>44</v>
      </c>
      <c r="AM578"/>
      <c r="AN578"/>
      <c r="AO578">
        <v>7</v>
      </c>
      <c r="AP578">
        <v>74.8</v>
      </c>
      <c r="AQ578">
        <v>32.299999999999997</v>
      </c>
      <c r="AR578">
        <v>55.8</v>
      </c>
      <c r="AS578">
        <v>23.8</v>
      </c>
      <c r="AT578"/>
      <c r="AU578"/>
    </row>
    <row r="579" spans="1:47" ht="34" x14ac:dyDescent="0.2">
      <c r="A579" s="29">
        <v>583.99999999999966</v>
      </c>
      <c r="B579" s="17">
        <v>414</v>
      </c>
      <c r="C579">
        <v>22.577999999999999</v>
      </c>
      <c r="D579" s="78" t="s">
        <v>168</v>
      </c>
      <c r="E579" s="17" t="s">
        <v>169</v>
      </c>
      <c r="F579" s="59" t="s">
        <v>170</v>
      </c>
      <c r="G579" s="17"/>
      <c r="H579" s="17" t="s">
        <v>287</v>
      </c>
      <c r="I579" s="68">
        <v>44760</v>
      </c>
      <c r="J579" s="17" t="s">
        <v>142</v>
      </c>
      <c r="K579" s="17" t="s">
        <v>235</v>
      </c>
      <c r="L579"/>
      <c r="M579"/>
      <c r="N579" s="88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 t="s">
        <v>220</v>
      </c>
      <c r="AU579"/>
    </row>
    <row r="580" spans="1:47" ht="18" customHeight="1" x14ac:dyDescent="0.2">
      <c r="A580" s="29">
        <v>585.00000000000091</v>
      </c>
      <c r="B580" s="77">
        <v>442</v>
      </c>
      <c r="C580">
        <v>22.579000000000001</v>
      </c>
      <c r="D580" s="78" t="s">
        <v>168</v>
      </c>
      <c r="E580" s="17" t="s">
        <v>169</v>
      </c>
      <c r="F580" s="17" t="s">
        <v>170</v>
      </c>
      <c r="H580" s="17"/>
      <c r="I580" s="68">
        <v>44792</v>
      </c>
      <c r="J580" s="17" t="s">
        <v>142</v>
      </c>
      <c r="K580" s="17" t="s">
        <v>235</v>
      </c>
      <c r="L580"/>
      <c r="M580"/>
      <c r="N580" s="88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 t="s">
        <v>220</v>
      </c>
      <c r="AU580"/>
    </row>
    <row r="581" spans="1:47" x14ac:dyDescent="0.2">
      <c r="A581" s="29">
        <v>585.99999999999852</v>
      </c>
      <c r="B581" s="17">
        <v>318</v>
      </c>
      <c r="C581" s="5" t="s">
        <v>71</v>
      </c>
      <c r="D581" s="64" t="s">
        <v>223</v>
      </c>
      <c r="E581" t="s">
        <v>224</v>
      </c>
      <c r="F581" t="s">
        <v>73</v>
      </c>
      <c r="G581" t="s">
        <v>73</v>
      </c>
      <c r="H581"/>
      <c r="I581" s="32">
        <v>44819</v>
      </c>
      <c r="J581" s="17" t="s">
        <v>238</v>
      </c>
      <c r="K581" s="17" t="s">
        <v>235</v>
      </c>
      <c r="L581" s="101">
        <v>280</v>
      </c>
      <c r="M581"/>
      <c r="N581" s="88">
        <v>274.8</v>
      </c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  <c r="AA581" s="102"/>
      <c r="AB581" s="102"/>
      <c r="AC581" s="102"/>
      <c r="AD581" s="102"/>
      <c r="AE581" s="102"/>
      <c r="AF581" s="102"/>
      <c r="AG581" s="102"/>
      <c r="AH581" s="102"/>
      <c r="AI581">
        <v>1.6220000000000001</v>
      </c>
      <c r="AJ581">
        <v>40.5</v>
      </c>
      <c r="AK581" t="s">
        <v>173</v>
      </c>
      <c r="AL581"/>
      <c r="AM581">
        <v>41</v>
      </c>
      <c r="AN581">
        <v>42</v>
      </c>
      <c r="AO581"/>
      <c r="AP581"/>
      <c r="AQ581"/>
      <c r="AR581"/>
      <c r="AS581"/>
      <c r="AT581" t="s">
        <v>146</v>
      </c>
      <c r="AU581"/>
    </row>
    <row r="582" spans="1:47" x14ac:dyDescent="0.2">
      <c r="A582" s="29">
        <v>586.99999999999977</v>
      </c>
      <c r="B582" s="17">
        <v>319</v>
      </c>
      <c r="C582">
        <v>22.581</v>
      </c>
      <c r="D582" s="64" t="s">
        <v>223</v>
      </c>
      <c r="E582" t="s">
        <v>224</v>
      </c>
      <c r="F582" t="s">
        <v>73</v>
      </c>
      <c r="G582" t="s">
        <v>73</v>
      </c>
      <c r="H582"/>
      <c r="I582" s="32">
        <v>44823</v>
      </c>
      <c r="J582" s="17" t="s">
        <v>238</v>
      </c>
      <c r="K582" s="17" t="s">
        <v>235</v>
      </c>
      <c r="L582" s="101">
        <v>275</v>
      </c>
      <c r="M582"/>
      <c r="N582" s="88">
        <v>272.8</v>
      </c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  <c r="AA582" s="102"/>
      <c r="AB582" s="102"/>
      <c r="AC582" s="102"/>
      <c r="AD582" s="102"/>
      <c r="AE582" s="102"/>
      <c r="AF582" s="102"/>
      <c r="AG582" s="102"/>
      <c r="AH582" s="102"/>
      <c r="AI582">
        <v>1.4710000000000001</v>
      </c>
      <c r="AJ582">
        <v>41.9</v>
      </c>
      <c r="AK582" t="s">
        <v>173</v>
      </c>
      <c r="AL582">
        <v>11</v>
      </c>
      <c r="AM582">
        <v>59</v>
      </c>
      <c r="AN582"/>
      <c r="AO582"/>
      <c r="AP582"/>
      <c r="AQ582"/>
      <c r="AR582"/>
      <c r="AS582"/>
      <c r="AT582" t="s">
        <v>146</v>
      </c>
      <c r="AU582"/>
    </row>
    <row r="583" spans="1:47" x14ac:dyDescent="0.2">
      <c r="A583" s="29">
        <v>588.00000000000091</v>
      </c>
      <c r="B583" s="17">
        <v>308</v>
      </c>
      <c r="C583">
        <v>22.582000000000001</v>
      </c>
      <c r="D583" s="64" t="s">
        <v>223</v>
      </c>
      <c r="E583" t="s">
        <v>224</v>
      </c>
      <c r="F583" t="s">
        <v>73</v>
      </c>
      <c r="G583" t="s">
        <v>73</v>
      </c>
      <c r="H583"/>
      <c r="I583" s="32">
        <v>44806</v>
      </c>
      <c r="J583" s="17" t="s">
        <v>238</v>
      </c>
      <c r="K583" s="17" t="s">
        <v>235</v>
      </c>
      <c r="L583" s="101">
        <v>285</v>
      </c>
      <c r="M583"/>
      <c r="N583" s="88">
        <v>284.89999999999998</v>
      </c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  <c r="AA583" s="102"/>
      <c r="AB583" s="102"/>
      <c r="AC583" s="102"/>
      <c r="AD583" s="102"/>
      <c r="AE583" s="102"/>
      <c r="AF583" s="102"/>
      <c r="AG583" s="102"/>
      <c r="AH583" s="102"/>
      <c r="AI583">
        <v>1.5249999999999999</v>
      </c>
      <c r="AJ583">
        <v>43.4</v>
      </c>
      <c r="AK583" t="s">
        <v>172</v>
      </c>
      <c r="AL583"/>
      <c r="AM583"/>
      <c r="AN583">
        <v>89</v>
      </c>
      <c r="AO583"/>
      <c r="AP583"/>
      <c r="AQ583"/>
      <c r="AR583"/>
      <c r="AS583"/>
      <c r="AT583" t="s">
        <v>146</v>
      </c>
      <c r="AU583"/>
    </row>
    <row r="584" spans="1:47" x14ac:dyDescent="0.2">
      <c r="A584" s="29">
        <v>588.99999999999864</v>
      </c>
      <c r="B584" s="17">
        <v>310</v>
      </c>
      <c r="C584">
        <v>22.582999999999998</v>
      </c>
      <c r="D584" s="64" t="s">
        <v>223</v>
      </c>
      <c r="E584" t="s">
        <v>224</v>
      </c>
      <c r="F584" t="s">
        <v>73</v>
      </c>
      <c r="G584" t="s">
        <v>73</v>
      </c>
      <c r="H584"/>
      <c r="I584" s="32">
        <v>44806</v>
      </c>
      <c r="J584" s="17" t="s">
        <v>238</v>
      </c>
      <c r="K584" s="17" t="s">
        <v>235</v>
      </c>
      <c r="L584" s="101">
        <v>290</v>
      </c>
      <c r="M584"/>
      <c r="N584" s="88">
        <v>287.89999999999998</v>
      </c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  <c r="AA584" s="102"/>
      <c r="AB584" s="102"/>
      <c r="AC584" s="102"/>
      <c r="AD584" s="102"/>
      <c r="AE584" s="102"/>
      <c r="AF584" s="102"/>
      <c r="AG584" s="102"/>
      <c r="AH584" s="102"/>
      <c r="AI584">
        <v>1.6439999999999999</v>
      </c>
      <c r="AJ584">
        <v>42.6</v>
      </c>
      <c r="AK584" t="s">
        <v>172</v>
      </c>
      <c r="AL584"/>
      <c r="AM584"/>
      <c r="AN584">
        <v>83</v>
      </c>
      <c r="AO584"/>
      <c r="AP584"/>
      <c r="AQ584"/>
      <c r="AR584"/>
      <c r="AS584"/>
      <c r="AT584" t="s">
        <v>146</v>
      </c>
      <c r="AU584"/>
    </row>
    <row r="585" spans="1:47" x14ac:dyDescent="0.2">
      <c r="A585" s="29">
        <v>589.99999999999989</v>
      </c>
      <c r="B585" s="17">
        <v>313</v>
      </c>
      <c r="C585">
        <v>22.584</v>
      </c>
      <c r="D585" s="64" t="s">
        <v>223</v>
      </c>
      <c r="E585" t="s">
        <v>224</v>
      </c>
      <c r="F585" t="s">
        <v>73</v>
      </c>
      <c r="G585" t="s">
        <v>73</v>
      </c>
      <c r="H585"/>
      <c r="I585" s="32">
        <v>44816</v>
      </c>
      <c r="J585" s="17" t="s">
        <v>238</v>
      </c>
      <c r="K585" s="17" t="s">
        <v>235</v>
      </c>
      <c r="L585" s="101">
        <v>285</v>
      </c>
      <c r="M585"/>
      <c r="N585" s="88">
        <v>286.3</v>
      </c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  <c r="AA585" s="102"/>
      <c r="AB585" s="102"/>
      <c r="AC585" s="102"/>
      <c r="AD585" s="102"/>
      <c r="AE585" s="102"/>
      <c r="AF585" s="102"/>
      <c r="AG585" s="102"/>
      <c r="AH585" s="102"/>
      <c r="AI585">
        <v>1.589</v>
      </c>
      <c r="AJ585">
        <v>39.6</v>
      </c>
      <c r="AK585" t="s">
        <v>173</v>
      </c>
      <c r="AL585">
        <v>7</v>
      </c>
      <c r="AM585"/>
      <c r="AN585">
        <v>65</v>
      </c>
      <c r="AO585"/>
      <c r="AP585"/>
      <c r="AQ585"/>
      <c r="AR585"/>
      <c r="AS585"/>
      <c r="AT585" t="s">
        <v>146</v>
      </c>
      <c r="AU585"/>
    </row>
    <row r="586" spans="1:47" x14ac:dyDescent="0.2">
      <c r="A586" s="29">
        <v>591.00000000000114</v>
      </c>
      <c r="B586" s="17">
        <v>314</v>
      </c>
      <c r="C586">
        <v>22.585000000000001</v>
      </c>
      <c r="D586" s="64" t="s">
        <v>223</v>
      </c>
      <c r="E586" t="s">
        <v>224</v>
      </c>
      <c r="F586" t="s">
        <v>73</v>
      </c>
      <c r="G586" t="s">
        <v>73</v>
      </c>
      <c r="H586"/>
      <c r="I586" s="32">
        <v>44816</v>
      </c>
      <c r="J586" s="17" t="s">
        <v>238</v>
      </c>
      <c r="K586" s="17" t="s">
        <v>235</v>
      </c>
      <c r="L586" s="101">
        <v>280</v>
      </c>
      <c r="M586"/>
      <c r="N586" s="88">
        <v>278.39999999999998</v>
      </c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  <c r="AA586" s="102"/>
      <c r="AB586" s="102"/>
      <c r="AC586" s="102"/>
      <c r="AD586" s="102"/>
      <c r="AE586" s="102"/>
      <c r="AF586" s="102"/>
      <c r="AG586" s="102"/>
      <c r="AH586" s="102"/>
      <c r="AI586">
        <v>1.5329999999999999</v>
      </c>
      <c r="AJ586">
        <v>41.7</v>
      </c>
      <c r="AK586" t="s">
        <v>173</v>
      </c>
      <c r="AL586"/>
      <c r="AM586"/>
      <c r="AN586">
        <v>56</v>
      </c>
      <c r="AO586"/>
      <c r="AP586"/>
      <c r="AQ586"/>
      <c r="AR586"/>
      <c r="AS586"/>
      <c r="AT586" t="s">
        <v>146</v>
      </c>
      <c r="AU586"/>
    </row>
    <row r="587" spans="1:47" x14ac:dyDescent="0.2">
      <c r="A587" s="29">
        <v>591.99999999999875</v>
      </c>
      <c r="B587" s="17">
        <v>317</v>
      </c>
      <c r="C587">
        <v>22.585999999999999</v>
      </c>
      <c r="D587" s="64" t="s">
        <v>223</v>
      </c>
      <c r="E587" t="s">
        <v>224</v>
      </c>
      <c r="F587" t="s">
        <v>73</v>
      </c>
      <c r="G587" t="s">
        <v>73</v>
      </c>
      <c r="H587"/>
      <c r="I587" s="32">
        <v>44819</v>
      </c>
      <c r="J587" s="17" t="s">
        <v>238</v>
      </c>
      <c r="K587" s="17" t="s">
        <v>235</v>
      </c>
      <c r="L587" s="101">
        <v>270</v>
      </c>
      <c r="M587"/>
      <c r="N587" s="88">
        <v>274.10000000000002</v>
      </c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  <c r="AA587" s="102"/>
      <c r="AB587" s="102"/>
      <c r="AC587" s="102"/>
      <c r="AD587" s="102"/>
      <c r="AE587" s="102"/>
      <c r="AF587" s="102"/>
      <c r="AG587" s="102"/>
      <c r="AH587" s="102"/>
      <c r="AI587">
        <v>1.5009999999999999</v>
      </c>
      <c r="AJ587">
        <v>42.1</v>
      </c>
      <c r="AK587" t="s">
        <v>173</v>
      </c>
      <c r="AL587">
        <v>12</v>
      </c>
      <c r="AM587"/>
      <c r="AN587">
        <v>67</v>
      </c>
      <c r="AO587"/>
      <c r="AP587"/>
      <c r="AQ587"/>
      <c r="AR587"/>
      <c r="AS587"/>
      <c r="AT587" t="s">
        <v>146</v>
      </c>
      <c r="AU587"/>
    </row>
    <row r="588" spans="1:47" x14ac:dyDescent="0.2">
      <c r="A588" s="29">
        <v>593</v>
      </c>
      <c r="B588" s="17">
        <v>312</v>
      </c>
      <c r="C588">
        <v>22.587</v>
      </c>
      <c r="D588" s="64" t="s">
        <v>223</v>
      </c>
      <c r="E588" t="s">
        <v>224</v>
      </c>
      <c r="F588" t="s">
        <v>73</v>
      </c>
      <c r="G588" t="s">
        <v>73</v>
      </c>
      <c r="H588"/>
      <c r="I588" s="32">
        <v>44812</v>
      </c>
      <c r="J588" s="17" t="s">
        <v>238</v>
      </c>
      <c r="K588" s="17" t="s">
        <v>235</v>
      </c>
      <c r="L588" s="101">
        <v>290</v>
      </c>
      <c r="M588"/>
      <c r="N588" s="88">
        <v>284.3</v>
      </c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  <c r="AA588" s="102"/>
      <c r="AB588" s="102"/>
      <c r="AC588" s="102"/>
      <c r="AD588" s="102"/>
      <c r="AE588" s="102"/>
      <c r="AF588" s="102"/>
      <c r="AG588" s="102"/>
      <c r="AH588" s="102"/>
      <c r="AI588">
        <v>1.4490000000000001</v>
      </c>
      <c r="AJ588">
        <v>42.7</v>
      </c>
      <c r="AK588" t="s">
        <v>173</v>
      </c>
      <c r="AL588">
        <v>8</v>
      </c>
      <c r="AM588"/>
      <c r="AN588">
        <v>73</v>
      </c>
      <c r="AO588"/>
      <c r="AP588"/>
      <c r="AQ588"/>
      <c r="AR588"/>
      <c r="AS588"/>
      <c r="AT588" t="s">
        <v>146</v>
      </c>
      <c r="AU588"/>
    </row>
    <row r="589" spans="1:47" x14ac:dyDescent="0.2">
      <c r="A589" s="29">
        <v>594.00000000000114</v>
      </c>
      <c r="B589" s="17">
        <v>315</v>
      </c>
      <c r="C589">
        <v>22.588000000000001</v>
      </c>
      <c r="D589" s="64" t="s">
        <v>223</v>
      </c>
      <c r="E589" t="s">
        <v>224</v>
      </c>
      <c r="F589" t="s">
        <v>73</v>
      </c>
      <c r="G589" t="s">
        <v>73</v>
      </c>
      <c r="H589"/>
      <c r="I589" s="32">
        <v>44816</v>
      </c>
      <c r="J589" s="17" t="s">
        <v>238</v>
      </c>
      <c r="K589" s="17" t="s">
        <v>235</v>
      </c>
      <c r="L589" s="101">
        <v>275</v>
      </c>
      <c r="M589"/>
      <c r="N589" s="88">
        <v>272.39999999999998</v>
      </c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  <c r="AA589" s="102"/>
      <c r="AB589" s="102"/>
      <c r="AC589" s="102"/>
      <c r="AD589" s="102"/>
      <c r="AE589" s="102"/>
      <c r="AF589" s="102"/>
      <c r="AG589" s="102"/>
      <c r="AH589" s="102"/>
      <c r="AI589">
        <v>1.413</v>
      </c>
      <c r="AJ589">
        <v>46.8</v>
      </c>
      <c r="AK589" t="s">
        <v>173</v>
      </c>
      <c r="AL589">
        <v>8</v>
      </c>
      <c r="AM589"/>
      <c r="AN589">
        <v>52</v>
      </c>
      <c r="AO589"/>
      <c r="AP589"/>
      <c r="AQ589"/>
      <c r="AR589"/>
      <c r="AS589"/>
      <c r="AT589" t="s">
        <v>146</v>
      </c>
      <c r="AU589"/>
    </row>
    <row r="590" spans="1:47" x14ac:dyDescent="0.2">
      <c r="A590" s="29">
        <v>594.99999999999886</v>
      </c>
      <c r="B590" s="17">
        <v>309</v>
      </c>
      <c r="C590">
        <v>22.588999999999999</v>
      </c>
      <c r="D590" s="64" t="s">
        <v>223</v>
      </c>
      <c r="E590" t="s">
        <v>224</v>
      </c>
      <c r="F590" t="s">
        <v>73</v>
      </c>
      <c r="G590" t="s">
        <v>73</v>
      </c>
      <c r="H590"/>
      <c r="I590" s="32">
        <v>44806</v>
      </c>
      <c r="J590" s="17" t="s">
        <v>238</v>
      </c>
      <c r="K590" s="17" t="s">
        <v>235</v>
      </c>
      <c r="L590" s="101">
        <v>285</v>
      </c>
      <c r="M590"/>
      <c r="N590" s="88">
        <v>284.8</v>
      </c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  <c r="AA590" s="102"/>
      <c r="AB590" s="102"/>
      <c r="AC590" s="102"/>
      <c r="AD590" s="102"/>
      <c r="AE590" s="102"/>
      <c r="AF590" s="102"/>
      <c r="AG590" s="102"/>
      <c r="AH590" s="102"/>
      <c r="AI590">
        <v>1.57</v>
      </c>
      <c r="AJ590">
        <v>39.799999999999997</v>
      </c>
      <c r="AK590" t="s">
        <v>173</v>
      </c>
      <c r="AL590">
        <v>8</v>
      </c>
      <c r="AM590">
        <v>77</v>
      </c>
      <c r="AN590"/>
      <c r="AO590"/>
      <c r="AP590"/>
      <c r="AQ590"/>
      <c r="AR590"/>
      <c r="AS590"/>
      <c r="AT590" t="s">
        <v>146</v>
      </c>
      <c r="AU590"/>
    </row>
    <row r="591" spans="1:47" x14ac:dyDescent="0.2">
      <c r="A591" s="29">
        <v>596.00000000000011</v>
      </c>
      <c r="B591" s="17">
        <v>311</v>
      </c>
      <c r="C591" s="5" t="s">
        <v>70</v>
      </c>
      <c r="D591" s="64" t="s">
        <v>223</v>
      </c>
      <c r="E591" t="s">
        <v>224</v>
      </c>
      <c r="F591" t="s">
        <v>73</v>
      </c>
      <c r="G591" t="s">
        <v>73</v>
      </c>
      <c r="H591"/>
      <c r="I591" s="32">
        <v>44812</v>
      </c>
      <c r="J591" s="17" t="s">
        <v>238</v>
      </c>
      <c r="K591" s="17" t="s">
        <v>235</v>
      </c>
      <c r="L591" s="101">
        <v>300</v>
      </c>
      <c r="M591"/>
      <c r="N591" s="88">
        <v>292.7</v>
      </c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  <c r="AA591" s="102"/>
      <c r="AB591" s="102"/>
      <c r="AC591" s="102"/>
      <c r="AD591" s="102"/>
      <c r="AE591" s="102"/>
      <c r="AF591" s="102"/>
      <c r="AG591" s="102"/>
      <c r="AH591" s="102"/>
      <c r="AI591">
        <v>1.635</v>
      </c>
      <c r="AJ591">
        <v>42</v>
      </c>
      <c r="AK591" t="s">
        <v>173</v>
      </c>
      <c r="AL591">
        <v>1.5</v>
      </c>
      <c r="AM591"/>
      <c r="AN591">
        <v>77</v>
      </c>
      <c r="AO591"/>
      <c r="AP591"/>
      <c r="AQ591"/>
      <c r="AR591"/>
      <c r="AS591"/>
      <c r="AT591" t="s">
        <v>146</v>
      </c>
      <c r="AU591"/>
    </row>
    <row r="592" spans="1:47" x14ac:dyDescent="0.2">
      <c r="A592" s="29">
        <v>597.00000000000136</v>
      </c>
      <c r="B592" s="17">
        <v>316</v>
      </c>
      <c r="C592">
        <v>22.591000000000001</v>
      </c>
      <c r="D592" s="64" t="s">
        <v>223</v>
      </c>
      <c r="E592" t="s">
        <v>224</v>
      </c>
      <c r="F592" t="s">
        <v>73</v>
      </c>
      <c r="G592" t="s">
        <v>73</v>
      </c>
      <c r="H592"/>
      <c r="I592" s="32">
        <v>44816</v>
      </c>
      <c r="J592" s="17" t="s">
        <v>238</v>
      </c>
      <c r="K592" s="17" t="s">
        <v>235</v>
      </c>
      <c r="L592" s="101">
        <v>285</v>
      </c>
      <c r="M592"/>
      <c r="N592" s="88">
        <v>284.7</v>
      </c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  <c r="AA592" s="102"/>
      <c r="AB592" s="102"/>
      <c r="AC592" s="102"/>
      <c r="AD592" s="102"/>
      <c r="AE592" s="102"/>
      <c r="AF592" s="102"/>
      <c r="AG592" s="102"/>
      <c r="AH592" s="102"/>
      <c r="AI592">
        <v>1.5660000000000001</v>
      </c>
      <c r="AJ592">
        <v>41.6</v>
      </c>
      <c r="AK592" t="s">
        <v>173</v>
      </c>
      <c r="AL592">
        <v>0.5</v>
      </c>
      <c r="AM592"/>
      <c r="AN592">
        <v>68</v>
      </c>
      <c r="AO592"/>
      <c r="AP592"/>
      <c r="AQ592"/>
      <c r="AR592"/>
      <c r="AS592"/>
      <c r="AT592" t="s">
        <v>146</v>
      </c>
      <c r="AU592"/>
    </row>
    <row r="593" spans="1:47" x14ac:dyDescent="0.2">
      <c r="A593" s="29">
        <v>597.99999999999898</v>
      </c>
      <c r="B593">
        <v>114</v>
      </c>
      <c r="C593" s="3">
        <v>22.591999999999999</v>
      </c>
      <c r="D593" s="31" t="s">
        <v>140</v>
      </c>
      <c r="E593" s="3" t="s">
        <v>141</v>
      </c>
      <c r="F593" s="3" t="s">
        <v>60</v>
      </c>
      <c r="G593" s="3" t="s">
        <v>60</v>
      </c>
      <c r="I593" s="32">
        <v>44786</v>
      </c>
      <c r="J593" s="3" t="s">
        <v>142</v>
      </c>
      <c r="K593" s="3" t="s">
        <v>204</v>
      </c>
      <c r="M593" s="17">
        <v>273.2</v>
      </c>
      <c r="N593" s="88">
        <v>274.2</v>
      </c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>
        <v>1.7909999999999999</v>
      </c>
      <c r="AJ593">
        <v>45</v>
      </c>
      <c r="AK593" t="s">
        <v>172</v>
      </c>
      <c r="AL593"/>
      <c r="AM593"/>
      <c r="AN593">
        <v>128</v>
      </c>
      <c r="AO593"/>
      <c r="AP593"/>
      <c r="AQ593"/>
      <c r="AR593"/>
      <c r="AS593"/>
      <c r="AT593"/>
      <c r="AU593"/>
    </row>
    <row r="594" spans="1:47" x14ac:dyDescent="0.2">
      <c r="A594" s="29">
        <v>599.00000000000023</v>
      </c>
      <c r="B594">
        <v>118</v>
      </c>
      <c r="C594">
        <v>22.593</v>
      </c>
      <c r="D594" s="31" t="s">
        <v>140</v>
      </c>
      <c r="E594" s="3" t="s">
        <v>141</v>
      </c>
      <c r="F594" s="3" t="s">
        <v>61</v>
      </c>
      <c r="H594" s="3" t="s">
        <v>61</v>
      </c>
      <c r="I594" s="32">
        <v>44796</v>
      </c>
      <c r="J594" s="3" t="s">
        <v>142</v>
      </c>
      <c r="K594" s="3" t="s">
        <v>204</v>
      </c>
      <c r="M594" s="17">
        <v>250.8</v>
      </c>
      <c r="N594" s="88">
        <v>255.5</v>
      </c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>
        <v>1.1819999999999999</v>
      </c>
      <c r="AJ594">
        <v>46.2</v>
      </c>
      <c r="AK594" t="s">
        <v>172</v>
      </c>
      <c r="AL594"/>
      <c r="AM594"/>
      <c r="AN594">
        <v>100</v>
      </c>
      <c r="AO594"/>
      <c r="AP594"/>
      <c r="AQ594"/>
      <c r="AR594"/>
      <c r="AS594"/>
      <c r="AT594"/>
      <c r="AU594"/>
    </row>
    <row r="595" spans="1:47" x14ac:dyDescent="0.2">
      <c r="A595" s="29">
        <v>600.00000000000136</v>
      </c>
      <c r="B595">
        <v>117</v>
      </c>
      <c r="C595">
        <v>22.594000000000001</v>
      </c>
      <c r="D595" s="31" t="s">
        <v>140</v>
      </c>
      <c r="E595" s="3" t="s">
        <v>141</v>
      </c>
      <c r="F595" s="3" t="s">
        <v>60</v>
      </c>
      <c r="G595" s="3" t="s">
        <v>60</v>
      </c>
      <c r="H595" s="3" t="s">
        <v>60</v>
      </c>
      <c r="I595" s="32">
        <v>44796</v>
      </c>
      <c r="J595" s="3" t="s">
        <v>142</v>
      </c>
      <c r="K595" s="3" t="s">
        <v>204</v>
      </c>
      <c r="M595" s="17">
        <v>271.7</v>
      </c>
      <c r="N595" s="88">
        <v>271.39999999999998</v>
      </c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>
        <v>1.65</v>
      </c>
      <c r="AJ595">
        <v>49.3</v>
      </c>
      <c r="AK595" t="s">
        <v>172</v>
      </c>
      <c r="AL595"/>
      <c r="AM595"/>
      <c r="AN595">
        <v>105</v>
      </c>
      <c r="AO595"/>
      <c r="AP595"/>
      <c r="AQ595"/>
      <c r="AR595"/>
      <c r="AS595"/>
      <c r="AT595"/>
      <c r="AU595"/>
    </row>
    <row r="596" spans="1:47" x14ac:dyDescent="0.2">
      <c r="A596" s="29">
        <v>600.99999999999909</v>
      </c>
      <c r="B596">
        <v>120</v>
      </c>
      <c r="C596">
        <v>22.594999999999999</v>
      </c>
      <c r="D596" s="31" t="s">
        <v>140</v>
      </c>
      <c r="E596" s="3" t="s">
        <v>141</v>
      </c>
      <c r="F596" s="3" t="s">
        <v>61</v>
      </c>
      <c r="G596" s="3" t="s">
        <v>61</v>
      </c>
      <c r="H596" s="3" t="s">
        <v>61</v>
      </c>
      <c r="I596" s="32">
        <v>44797</v>
      </c>
      <c r="J596" s="3" t="s">
        <v>142</v>
      </c>
      <c r="K596" s="3" t="s">
        <v>204</v>
      </c>
      <c r="M596" s="17">
        <v>247.4</v>
      </c>
      <c r="N596" s="88">
        <v>252.1</v>
      </c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>
        <v>1.095</v>
      </c>
      <c r="AJ596">
        <v>44.5</v>
      </c>
      <c r="AK596" t="s">
        <v>172</v>
      </c>
      <c r="AL596"/>
      <c r="AM596"/>
      <c r="AN596">
        <v>112</v>
      </c>
      <c r="AO596"/>
      <c r="AP596"/>
      <c r="AQ596"/>
      <c r="AR596"/>
      <c r="AS596"/>
      <c r="AT596"/>
      <c r="AU596"/>
    </row>
    <row r="597" spans="1:47" x14ac:dyDescent="0.2">
      <c r="A597" s="29">
        <v>602.00000000000034</v>
      </c>
      <c r="B597">
        <v>116</v>
      </c>
      <c r="C597">
        <v>22.596</v>
      </c>
      <c r="D597" s="31" t="s">
        <v>140</v>
      </c>
      <c r="E597" s="3" t="s">
        <v>141</v>
      </c>
      <c r="F597" s="3" t="s">
        <v>61</v>
      </c>
      <c r="H597" s="3" t="s">
        <v>61</v>
      </c>
      <c r="I597" s="32">
        <v>44793</v>
      </c>
      <c r="J597" s="3" t="s">
        <v>142</v>
      </c>
      <c r="K597" s="3" t="s">
        <v>204</v>
      </c>
      <c r="M597" s="17">
        <v>246.4</v>
      </c>
      <c r="N597" s="88">
        <v>251.1</v>
      </c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>
        <v>1.0349999999999999</v>
      </c>
      <c r="AJ597">
        <v>41.4</v>
      </c>
      <c r="AK597" t="s">
        <v>172</v>
      </c>
      <c r="AL597"/>
      <c r="AM597"/>
      <c r="AN597">
        <v>111</v>
      </c>
      <c r="AO597"/>
      <c r="AP597"/>
      <c r="AQ597"/>
      <c r="AR597"/>
      <c r="AS597"/>
      <c r="AT597"/>
      <c r="AU597"/>
    </row>
    <row r="598" spans="1:47" x14ac:dyDescent="0.2">
      <c r="A598" s="29">
        <v>603.00000000000159</v>
      </c>
      <c r="B598">
        <v>128</v>
      </c>
      <c r="C598">
        <v>22.597000000000001</v>
      </c>
      <c r="D598" s="31" t="s">
        <v>140</v>
      </c>
      <c r="E598" s="3" t="s">
        <v>141</v>
      </c>
      <c r="F598" s="3" t="s">
        <v>60</v>
      </c>
      <c r="H598" s="3" t="s">
        <v>60</v>
      </c>
      <c r="I598" s="32">
        <v>44810</v>
      </c>
      <c r="J598" s="3" t="s">
        <v>142</v>
      </c>
      <c r="K598" s="3" t="s">
        <v>204</v>
      </c>
      <c r="M598" s="17">
        <v>263.7</v>
      </c>
      <c r="N598" s="8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 t="s">
        <v>338</v>
      </c>
      <c r="AL598"/>
      <c r="AM598"/>
      <c r="AN598"/>
      <c r="AO598"/>
      <c r="AP598"/>
      <c r="AQ598"/>
      <c r="AR598"/>
      <c r="AS598"/>
      <c r="AT598"/>
      <c r="AU598"/>
    </row>
    <row r="599" spans="1:47" x14ac:dyDescent="0.2">
      <c r="A599" s="29">
        <v>603.9999999999992</v>
      </c>
      <c r="B599" s="17" t="s">
        <v>339</v>
      </c>
      <c r="C599">
        <v>22.597999999999999</v>
      </c>
      <c r="D599" s="74" t="s">
        <v>179</v>
      </c>
      <c r="E599" t="s">
        <v>180</v>
      </c>
      <c r="F599" t="s">
        <v>181</v>
      </c>
      <c r="G599"/>
      <c r="H599" t="s">
        <v>280</v>
      </c>
      <c r="I599" s="32">
        <v>44778</v>
      </c>
      <c r="J599" s="17" t="s">
        <v>238</v>
      </c>
      <c r="K599" s="17" t="s">
        <v>235</v>
      </c>
      <c r="L599">
        <v>260</v>
      </c>
      <c r="M599"/>
      <c r="N599" s="88">
        <v>261.5</v>
      </c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  <c r="AA599" s="102"/>
      <c r="AB599" s="102"/>
      <c r="AC599" s="102"/>
      <c r="AD599" s="102"/>
      <c r="AE599" s="102"/>
      <c r="AF599" s="102"/>
      <c r="AG599" s="102"/>
      <c r="AH599" s="102"/>
      <c r="AI599">
        <v>1.0369999999999999</v>
      </c>
      <c r="AJ599">
        <v>32.5</v>
      </c>
      <c r="AK599" t="s">
        <v>172</v>
      </c>
      <c r="AL599"/>
      <c r="AM599"/>
      <c r="AN599">
        <v>111</v>
      </c>
      <c r="AO599"/>
      <c r="AP599"/>
      <c r="AQ599"/>
      <c r="AR599"/>
      <c r="AS599"/>
      <c r="AT599" t="s">
        <v>146</v>
      </c>
      <c r="AU599"/>
    </row>
    <row r="600" spans="1:47" x14ac:dyDescent="0.2">
      <c r="A600" s="29">
        <v>605.00000000000045</v>
      </c>
      <c r="B600" s="17" t="s">
        <v>340</v>
      </c>
      <c r="C600">
        <v>22.599</v>
      </c>
      <c r="D600" s="74" t="s">
        <v>179</v>
      </c>
      <c r="E600" t="s">
        <v>180</v>
      </c>
      <c r="F600" t="s">
        <v>181</v>
      </c>
      <c r="G600"/>
      <c r="H600" t="s">
        <v>268</v>
      </c>
      <c r="I600" s="32">
        <v>44779</v>
      </c>
      <c r="J600" s="17" t="s">
        <v>238</v>
      </c>
      <c r="K600" s="17" t="s">
        <v>235</v>
      </c>
      <c r="L600">
        <v>285</v>
      </c>
      <c r="M600"/>
      <c r="N600" s="88">
        <v>285.3</v>
      </c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  <c r="AA600" s="102"/>
      <c r="AB600" s="102"/>
      <c r="AC600" s="102"/>
      <c r="AD600" s="102"/>
      <c r="AE600" s="102"/>
      <c r="AF600" s="102"/>
      <c r="AG600" s="102"/>
      <c r="AH600" s="102"/>
      <c r="AI600">
        <v>1.129</v>
      </c>
      <c r="AJ600">
        <v>42.8</v>
      </c>
      <c r="AK600" t="s">
        <v>172</v>
      </c>
      <c r="AL600"/>
      <c r="AM600"/>
      <c r="AN600">
        <v>143</v>
      </c>
      <c r="AO600"/>
      <c r="AP600"/>
      <c r="AQ600"/>
      <c r="AR600"/>
      <c r="AS600"/>
      <c r="AT600" t="s">
        <v>146</v>
      </c>
      <c r="AU600"/>
    </row>
    <row r="601" spans="1:47" x14ac:dyDescent="0.2">
      <c r="A601" s="29">
        <v>606.00000000000159</v>
      </c>
      <c r="B601" s="17" t="s">
        <v>341</v>
      </c>
      <c r="C601" s="5" t="s">
        <v>40</v>
      </c>
      <c r="D601" s="74" t="s">
        <v>179</v>
      </c>
      <c r="E601" t="s">
        <v>180</v>
      </c>
      <c r="F601" t="s">
        <v>181</v>
      </c>
      <c r="G601"/>
      <c r="H601" t="s">
        <v>268</v>
      </c>
      <c r="I601" s="32">
        <v>44779</v>
      </c>
      <c r="J601" s="17" t="s">
        <v>238</v>
      </c>
      <c r="K601" s="17" t="s">
        <v>235</v>
      </c>
      <c r="L601">
        <v>280</v>
      </c>
      <c r="M601"/>
      <c r="N601" s="88">
        <v>280.5</v>
      </c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  <c r="AA601" s="102"/>
      <c r="AB601" s="102"/>
      <c r="AC601" s="102"/>
      <c r="AD601" s="102"/>
      <c r="AE601" s="102"/>
      <c r="AF601" s="102"/>
      <c r="AG601" s="102"/>
      <c r="AH601" s="102"/>
      <c r="AI601">
        <v>0.91900000000000004</v>
      </c>
      <c r="AJ601">
        <v>45.7</v>
      </c>
      <c r="AK601" t="s">
        <v>172</v>
      </c>
      <c r="AL601"/>
      <c r="AM601"/>
      <c r="AN601">
        <v>136</v>
      </c>
      <c r="AO601"/>
      <c r="AP601"/>
      <c r="AQ601"/>
      <c r="AR601"/>
      <c r="AS601"/>
      <c r="AT601" t="s">
        <v>146</v>
      </c>
      <c r="AU601"/>
    </row>
    <row r="602" spans="1:47" x14ac:dyDescent="0.2">
      <c r="A602" s="29">
        <v>606.99999999999932</v>
      </c>
      <c r="B602" s="17" t="s">
        <v>342</v>
      </c>
      <c r="C602">
        <v>22.600999999999999</v>
      </c>
      <c r="D602" s="74" t="s">
        <v>179</v>
      </c>
      <c r="E602" t="s">
        <v>180</v>
      </c>
      <c r="F602" t="s">
        <v>181</v>
      </c>
      <c r="G602"/>
      <c r="H602" t="s">
        <v>268</v>
      </c>
      <c r="I602" s="32">
        <v>44793</v>
      </c>
      <c r="J602" s="17" t="s">
        <v>238</v>
      </c>
      <c r="K602" s="17" t="s">
        <v>235</v>
      </c>
      <c r="L602">
        <v>280</v>
      </c>
      <c r="M602"/>
      <c r="N602" s="88">
        <v>247.9</v>
      </c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  <c r="AA602" s="102"/>
      <c r="AB602" s="102"/>
      <c r="AC602" s="102"/>
      <c r="AD602" s="102"/>
      <c r="AE602" s="102"/>
      <c r="AF602" s="102"/>
      <c r="AG602" s="102"/>
      <c r="AH602" s="102"/>
      <c r="AI602">
        <v>0.97399999999999998</v>
      </c>
      <c r="AJ602">
        <v>38.4</v>
      </c>
      <c r="AK602" t="s">
        <v>172</v>
      </c>
      <c r="AL602"/>
      <c r="AM602"/>
      <c r="AN602">
        <v>128</v>
      </c>
      <c r="AO602"/>
      <c r="AP602"/>
      <c r="AQ602"/>
      <c r="AR602"/>
      <c r="AS602"/>
      <c r="AT602" t="s">
        <v>146</v>
      </c>
      <c r="AU602"/>
    </row>
    <row r="603" spans="1:47" x14ac:dyDescent="0.2">
      <c r="A603" s="29">
        <v>608.00000000000057</v>
      </c>
      <c r="B603" s="17" t="s">
        <v>343</v>
      </c>
      <c r="C603">
        <v>22.602</v>
      </c>
      <c r="D603" s="74" t="s">
        <v>179</v>
      </c>
      <c r="E603" t="s">
        <v>180</v>
      </c>
      <c r="F603" t="s">
        <v>181</v>
      </c>
      <c r="G603"/>
      <c r="H603" t="s">
        <v>268</v>
      </c>
      <c r="I603" s="32">
        <v>44794</v>
      </c>
      <c r="J603" s="17" t="s">
        <v>238</v>
      </c>
      <c r="K603" s="17" t="s">
        <v>235</v>
      </c>
      <c r="L603">
        <v>275</v>
      </c>
      <c r="M603"/>
      <c r="N603" s="88">
        <v>275.3</v>
      </c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  <c r="AA603" s="102"/>
      <c r="AB603" s="102"/>
      <c r="AC603" s="102"/>
      <c r="AD603" s="102"/>
      <c r="AE603" s="102"/>
      <c r="AF603" s="102"/>
      <c r="AG603" s="102"/>
      <c r="AH603" s="102"/>
      <c r="AI603">
        <v>0.98299999999999998</v>
      </c>
      <c r="AJ603">
        <v>42.4</v>
      </c>
      <c r="AK603" t="s">
        <v>172</v>
      </c>
      <c r="AL603"/>
      <c r="AM603"/>
      <c r="AN603">
        <v>125</v>
      </c>
      <c r="AO603"/>
      <c r="AP603"/>
      <c r="AQ603"/>
      <c r="AR603"/>
      <c r="AS603"/>
      <c r="AT603" t="s">
        <v>146</v>
      </c>
      <c r="AU603"/>
    </row>
    <row r="604" spans="1:47" x14ac:dyDescent="0.2">
      <c r="A604" s="29">
        <v>609.00000000000182</v>
      </c>
      <c r="B604" s="17" t="s">
        <v>344</v>
      </c>
      <c r="C604">
        <v>22.603000000000002</v>
      </c>
      <c r="D604" s="74" t="s">
        <v>179</v>
      </c>
      <c r="E604" t="s">
        <v>180</v>
      </c>
      <c r="F604" t="s">
        <v>181</v>
      </c>
      <c r="G604">
        <v>8</v>
      </c>
      <c r="H604">
        <v>8</v>
      </c>
      <c r="I604" s="32">
        <v>44802</v>
      </c>
      <c r="J604" s="17" t="s">
        <v>238</v>
      </c>
      <c r="K604" s="17" t="s">
        <v>235</v>
      </c>
      <c r="L604">
        <v>255</v>
      </c>
      <c r="M604"/>
      <c r="N604" s="88">
        <v>252.3</v>
      </c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  <c r="AA604" s="102"/>
      <c r="AB604" s="102"/>
      <c r="AC604" s="102"/>
      <c r="AD604" s="102"/>
      <c r="AE604" s="102"/>
      <c r="AF604" s="102"/>
      <c r="AG604" s="102"/>
      <c r="AH604" s="102"/>
      <c r="AI604">
        <v>1.1259999999999999</v>
      </c>
      <c r="AJ604">
        <v>39</v>
      </c>
      <c r="AK604" t="s">
        <v>173</v>
      </c>
      <c r="AL604"/>
      <c r="AM604"/>
      <c r="AN604">
        <v>76</v>
      </c>
      <c r="AO604"/>
      <c r="AP604"/>
      <c r="AQ604"/>
      <c r="AR604"/>
      <c r="AS604"/>
      <c r="AT604" t="s">
        <v>146</v>
      </c>
      <c r="AU604"/>
    </row>
    <row r="605" spans="1:47" x14ac:dyDescent="0.2">
      <c r="A605" s="29">
        <v>609.99999999999943</v>
      </c>
      <c r="B605" s="17" t="s">
        <v>345</v>
      </c>
      <c r="C605">
        <v>22.603999999999999</v>
      </c>
      <c r="D605" s="74" t="s">
        <v>179</v>
      </c>
      <c r="E605" t="s">
        <v>180</v>
      </c>
      <c r="F605" t="s">
        <v>181</v>
      </c>
      <c r="G605"/>
      <c r="H605" t="s">
        <v>199</v>
      </c>
      <c r="I605" s="32">
        <v>44802</v>
      </c>
      <c r="J605" s="17" t="s">
        <v>238</v>
      </c>
      <c r="K605" s="17" t="s">
        <v>235</v>
      </c>
      <c r="L605">
        <v>250</v>
      </c>
      <c r="M605"/>
      <c r="N605" s="88">
        <v>250</v>
      </c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  <c r="AA605" s="102"/>
      <c r="AB605" s="102"/>
      <c r="AC605" s="102"/>
      <c r="AD605" s="102"/>
      <c r="AE605" s="102"/>
      <c r="AF605" s="102"/>
      <c r="AG605" s="102"/>
      <c r="AH605" s="102"/>
      <c r="AI605">
        <v>1.103</v>
      </c>
      <c r="AJ605">
        <v>30.4</v>
      </c>
      <c r="AK605" t="s">
        <v>173</v>
      </c>
      <c r="AL605"/>
      <c r="AM605"/>
      <c r="AN605">
        <v>86</v>
      </c>
      <c r="AO605"/>
      <c r="AP605"/>
      <c r="AQ605"/>
      <c r="AR605"/>
      <c r="AS605"/>
      <c r="AT605" t="s">
        <v>146</v>
      </c>
      <c r="AU605"/>
    </row>
    <row r="606" spans="1:47" x14ac:dyDescent="0.2">
      <c r="A606" s="29">
        <v>611.00000000000068</v>
      </c>
      <c r="B606" s="17" t="s">
        <v>346</v>
      </c>
      <c r="C606">
        <v>22.605</v>
      </c>
      <c r="D606" s="74" t="s">
        <v>179</v>
      </c>
      <c r="E606" t="s">
        <v>180</v>
      </c>
      <c r="F606" t="s">
        <v>181</v>
      </c>
      <c r="G606">
        <v>8</v>
      </c>
      <c r="H606">
        <v>8</v>
      </c>
      <c r="I606" s="32">
        <v>44802</v>
      </c>
      <c r="J606" s="17" t="s">
        <v>238</v>
      </c>
      <c r="K606" s="17" t="s">
        <v>235</v>
      </c>
      <c r="L606">
        <v>250</v>
      </c>
      <c r="M606"/>
      <c r="N606" s="88">
        <v>249</v>
      </c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  <c r="AA606" s="102"/>
      <c r="AB606" s="102"/>
      <c r="AC606" s="102"/>
      <c r="AD606" s="102"/>
      <c r="AE606" s="102"/>
      <c r="AF606" s="102"/>
      <c r="AG606" s="102"/>
      <c r="AH606" s="102"/>
      <c r="AI606">
        <v>1.216</v>
      </c>
      <c r="AJ606">
        <v>29</v>
      </c>
      <c r="AK606" t="s">
        <v>173</v>
      </c>
      <c r="AL606">
        <v>2</v>
      </c>
      <c r="AM606"/>
      <c r="AN606">
        <v>75</v>
      </c>
      <c r="AO606"/>
      <c r="AP606"/>
      <c r="AQ606"/>
      <c r="AR606"/>
      <c r="AS606"/>
      <c r="AT606" t="s">
        <v>146</v>
      </c>
      <c r="AU606"/>
    </row>
    <row r="607" spans="1:47" x14ac:dyDescent="0.2">
      <c r="A607" s="29">
        <v>611.99999999999829</v>
      </c>
      <c r="B607" s="17" t="s">
        <v>347</v>
      </c>
      <c r="C607">
        <v>22.606000000000002</v>
      </c>
      <c r="D607" s="74" t="s">
        <v>179</v>
      </c>
      <c r="E607" t="s">
        <v>180</v>
      </c>
      <c r="F607" t="s">
        <v>181</v>
      </c>
      <c r="G607"/>
      <c r="H607" t="s">
        <v>199</v>
      </c>
      <c r="I607" s="32">
        <v>44802</v>
      </c>
      <c r="J607" s="17" t="s">
        <v>238</v>
      </c>
      <c r="K607" s="17" t="s">
        <v>235</v>
      </c>
      <c r="L607">
        <v>275</v>
      </c>
      <c r="M607"/>
      <c r="N607" s="88">
        <v>273.5</v>
      </c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  <c r="AA607" s="102"/>
      <c r="AB607" s="102"/>
      <c r="AC607" s="102"/>
      <c r="AD607" s="102"/>
      <c r="AE607" s="102"/>
      <c r="AF607" s="102"/>
      <c r="AG607" s="102"/>
      <c r="AH607" s="102"/>
      <c r="AI607">
        <v>1.006</v>
      </c>
      <c r="AJ607">
        <v>39.4</v>
      </c>
      <c r="AK607" t="s">
        <v>172</v>
      </c>
      <c r="AL607"/>
      <c r="AM607"/>
      <c r="AN607">
        <v>141</v>
      </c>
      <c r="AO607"/>
      <c r="AP607"/>
      <c r="AQ607"/>
      <c r="AR607"/>
      <c r="AS607"/>
      <c r="AT607"/>
      <c r="AU607"/>
    </row>
    <row r="608" spans="1:47" x14ac:dyDescent="0.2">
      <c r="A608" s="29">
        <v>612.99999999999955</v>
      </c>
      <c r="B608" s="17" t="s">
        <v>348</v>
      </c>
      <c r="C608">
        <v>22.606999999999999</v>
      </c>
      <c r="D608" s="74" t="s">
        <v>179</v>
      </c>
      <c r="E608" t="s">
        <v>180</v>
      </c>
      <c r="F608" t="s">
        <v>181</v>
      </c>
      <c r="G608">
        <v>8</v>
      </c>
      <c r="H608">
        <v>8</v>
      </c>
      <c r="I608" s="32">
        <v>44802</v>
      </c>
      <c r="J608" s="17" t="s">
        <v>238</v>
      </c>
      <c r="K608" s="17" t="s">
        <v>235</v>
      </c>
      <c r="L608">
        <v>260</v>
      </c>
      <c r="M608"/>
      <c r="N608" s="88">
        <v>255.3</v>
      </c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  <c r="AA608" s="102"/>
      <c r="AB608" s="102"/>
      <c r="AC608" s="102"/>
      <c r="AD608" s="102"/>
      <c r="AE608" s="102"/>
      <c r="AF608" s="102"/>
      <c r="AG608" s="102"/>
      <c r="AH608" s="102"/>
      <c r="AI608">
        <v>1.087</v>
      </c>
      <c r="AJ608">
        <v>29.6</v>
      </c>
      <c r="AK608" t="s">
        <v>173</v>
      </c>
      <c r="AL608">
        <v>8</v>
      </c>
      <c r="AM608"/>
      <c r="AN608">
        <v>85</v>
      </c>
      <c r="AO608"/>
      <c r="AP608"/>
      <c r="AQ608"/>
      <c r="AR608"/>
      <c r="AS608"/>
      <c r="AT608"/>
      <c r="AU608"/>
    </row>
    <row r="609" spans="1:47" x14ac:dyDescent="0.2">
      <c r="A609" s="29">
        <v>614.0000000000008</v>
      </c>
      <c r="B609" s="17" t="s">
        <v>349</v>
      </c>
      <c r="C609">
        <v>22.608000000000001</v>
      </c>
      <c r="D609" s="74" t="s">
        <v>179</v>
      </c>
      <c r="E609" t="s">
        <v>180</v>
      </c>
      <c r="F609" t="s">
        <v>181</v>
      </c>
      <c r="G609" s="11">
        <v>259</v>
      </c>
      <c r="H609" s="11">
        <v>259</v>
      </c>
      <c r="I609" s="32">
        <v>44794</v>
      </c>
      <c r="J609" s="17" t="s">
        <v>238</v>
      </c>
      <c r="K609" s="17" t="s">
        <v>235</v>
      </c>
      <c r="L609">
        <v>270</v>
      </c>
      <c r="M609"/>
      <c r="N609" s="88">
        <v>271.8</v>
      </c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  <c r="AA609" s="102"/>
      <c r="AB609" s="102"/>
      <c r="AC609" s="102"/>
      <c r="AD609" s="102"/>
      <c r="AE609" s="102"/>
      <c r="AF609" s="102"/>
      <c r="AG609" s="102"/>
      <c r="AH609" s="102"/>
      <c r="AI609">
        <v>1.1719999999999999</v>
      </c>
      <c r="AJ609">
        <v>40.9</v>
      </c>
      <c r="AK609" t="s">
        <v>173</v>
      </c>
      <c r="AL609"/>
      <c r="AM609"/>
      <c r="AN609">
        <v>119</v>
      </c>
      <c r="AO609"/>
      <c r="AP609"/>
      <c r="AQ609"/>
      <c r="AR609"/>
      <c r="AS609"/>
      <c r="AT609"/>
      <c r="AU609"/>
    </row>
    <row r="610" spans="1:47" x14ac:dyDescent="0.2">
      <c r="A610" s="29">
        <v>614.99999999999841</v>
      </c>
      <c r="B610" s="17" t="s">
        <v>350</v>
      </c>
      <c r="C610">
        <v>22.609000000000002</v>
      </c>
      <c r="D610" s="74" t="s">
        <v>179</v>
      </c>
      <c r="E610" t="s">
        <v>180</v>
      </c>
      <c r="F610" t="s">
        <v>181</v>
      </c>
      <c r="G610"/>
      <c r="H610" t="s">
        <v>268</v>
      </c>
      <c r="I610" s="56">
        <v>44765</v>
      </c>
      <c r="J610" s="17" t="s">
        <v>351</v>
      </c>
      <c r="K610" s="17" t="s">
        <v>235</v>
      </c>
      <c r="L610">
        <v>260</v>
      </c>
      <c r="M610"/>
      <c r="N610" s="88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  <c r="AA610" s="102"/>
      <c r="AB610" s="102"/>
      <c r="AC610" s="102"/>
      <c r="AD610" s="102"/>
      <c r="AE610" s="102"/>
      <c r="AF610" s="102"/>
      <c r="AG610" s="102"/>
      <c r="AH610" s="102"/>
      <c r="AI610">
        <v>0.76200000000000001</v>
      </c>
      <c r="AJ610"/>
      <c r="AK610"/>
      <c r="AL610"/>
      <c r="AM610"/>
      <c r="AN610"/>
      <c r="AO610"/>
      <c r="AP610"/>
      <c r="AQ610"/>
      <c r="AR610"/>
      <c r="AS610"/>
      <c r="AT610"/>
      <c r="AU610"/>
    </row>
    <row r="611" spans="1:47" x14ac:dyDescent="0.2">
      <c r="A611" s="29">
        <v>615.99999999999966</v>
      </c>
      <c r="B611" s="17" t="s">
        <v>352</v>
      </c>
      <c r="C611" s="5" t="s">
        <v>353</v>
      </c>
      <c r="D611" s="74" t="s">
        <v>179</v>
      </c>
      <c r="E611" t="s">
        <v>180</v>
      </c>
      <c r="F611" t="s">
        <v>181</v>
      </c>
      <c r="G611"/>
      <c r="H611" t="s">
        <v>182</v>
      </c>
      <c r="I611" s="32">
        <v>44778</v>
      </c>
      <c r="J611" s="17" t="s">
        <v>238</v>
      </c>
      <c r="K611" s="17" t="s">
        <v>203</v>
      </c>
      <c r="L611">
        <v>235</v>
      </c>
      <c r="M611"/>
      <c r="N611" s="88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  <c r="AA611" s="102"/>
      <c r="AB611" s="102"/>
      <c r="AC611" s="102"/>
      <c r="AD611" s="102"/>
      <c r="AE611" s="102"/>
      <c r="AF611" s="102"/>
      <c r="AG611" s="102"/>
      <c r="AH611" s="102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</row>
    <row r="612" spans="1:47" x14ac:dyDescent="0.2">
      <c r="A612" s="29">
        <v>617.00000000000091</v>
      </c>
      <c r="B612" s="17" t="s">
        <v>354</v>
      </c>
      <c r="C612">
        <v>22.611000000000001</v>
      </c>
      <c r="D612" s="74" t="s">
        <v>179</v>
      </c>
      <c r="E612" t="s">
        <v>180</v>
      </c>
      <c r="F612" t="s">
        <v>181</v>
      </c>
      <c r="G612"/>
      <c r="H612" t="s">
        <v>280</v>
      </c>
      <c r="I612" s="32">
        <v>44765</v>
      </c>
      <c r="J612" s="17" t="s">
        <v>351</v>
      </c>
      <c r="K612" s="17" t="s">
        <v>235</v>
      </c>
      <c r="L612">
        <v>325</v>
      </c>
    </row>
    <row r="613" spans="1:47" x14ac:dyDescent="0.2">
      <c r="A613" s="29">
        <v>617.99999999999852</v>
      </c>
      <c r="B613" s="17" t="s">
        <v>355</v>
      </c>
      <c r="C613">
        <v>22.611999999999998</v>
      </c>
      <c r="D613" s="74" t="s">
        <v>179</v>
      </c>
      <c r="E613" t="s">
        <v>180</v>
      </c>
      <c r="F613" t="s">
        <v>181</v>
      </c>
      <c r="G613"/>
      <c r="H613" t="s">
        <v>280</v>
      </c>
      <c r="I613" s="32">
        <v>44779</v>
      </c>
      <c r="J613" s="17" t="s">
        <v>351</v>
      </c>
      <c r="K613" s="17" t="s">
        <v>235</v>
      </c>
      <c r="L613">
        <v>265</v>
      </c>
    </row>
    <row r="614" spans="1:47" x14ac:dyDescent="0.2">
      <c r="A614" s="29">
        <v>618.99999999999977</v>
      </c>
      <c r="B614" s="17">
        <v>294</v>
      </c>
      <c r="C614">
        <v>22.613</v>
      </c>
      <c r="D614" s="64" t="s">
        <v>223</v>
      </c>
      <c r="E614" t="s">
        <v>236</v>
      </c>
      <c r="F614" t="s">
        <v>73</v>
      </c>
      <c r="G614" t="s">
        <v>73</v>
      </c>
      <c r="H614"/>
      <c r="I614" s="32">
        <v>44768</v>
      </c>
      <c r="J614" s="17" t="s">
        <v>238</v>
      </c>
      <c r="K614" s="17" t="s">
        <v>203</v>
      </c>
      <c r="L614" s="17">
        <v>255</v>
      </c>
      <c r="M614"/>
      <c r="N614" s="88">
        <v>247.2</v>
      </c>
      <c r="O614" s="58">
        <v>163.44999999999999</v>
      </c>
      <c r="P614" s="58">
        <v>170.05</v>
      </c>
      <c r="Q614" s="58">
        <v>40.630000000000003</v>
      </c>
      <c r="R614" s="58">
        <v>14.73</v>
      </c>
      <c r="S614" s="58">
        <v>108.32</v>
      </c>
      <c r="T614" s="58">
        <v>85.37</v>
      </c>
      <c r="U614" s="58">
        <v>76.38</v>
      </c>
      <c r="V614" s="58">
        <v>54.7</v>
      </c>
      <c r="W614" s="58">
        <v>77.88</v>
      </c>
      <c r="X614" s="58">
        <v>91.32</v>
      </c>
      <c r="Y614" s="58">
        <v>43.65</v>
      </c>
      <c r="Z614" s="58">
        <v>102.09</v>
      </c>
      <c r="AA614" s="58">
        <v>77.81</v>
      </c>
      <c r="AB614" s="58">
        <v>84.53</v>
      </c>
      <c r="AC614" s="58">
        <v>29.05</v>
      </c>
      <c r="AD614" s="58">
        <v>51.03</v>
      </c>
      <c r="AE614" s="58">
        <v>31.96</v>
      </c>
      <c r="AF614" s="58">
        <v>39.51</v>
      </c>
      <c r="AG614" s="58">
        <v>34.22</v>
      </c>
      <c r="AH614" s="58">
        <v>37.74</v>
      </c>
      <c r="AI614" s="58">
        <v>1.9610000000000001</v>
      </c>
      <c r="AJ614"/>
      <c r="AK614"/>
      <c r="AL614" s="58">
        <v>17</v>
      </c>
      <c r="AM614"/>
      <c r="AN614"/>
      <c r="AO614">
        <v>9.1999999999999993</v>
      </c>
      <c r="AP614">
        <v>98.7</v>
      </c>
      <c r="AQ614">
        <v>51.6</v>
      </c>
      <c r="AR614">
        <v>68</v>
      </c>
      <c r="AS614"/>
      <c r="AT614" t="s">
        <v>147</v>
      </c>
      <c r="AU614" t="s">
        <v>147</v>
      </c>
    </row>
    <row r="615" spans="1:47" x14ac:dyDescent="0.2">
      <c r="A615" s="29">
        <v>620.00000000000102</v>
      </c>
      <c r="B615" s="17">
        <v>299</v>
      </c>
      <c r="C615">
        <v>22.614000000000001</v>
      </c>
      <c r="D615" s="64" t="s">
        <v>223</v>
      </c>
      <c r="E615" t="s">
        <v>236</v>
      </c>
      <c r="F615" t="s">
        <v>73</v>
      </c>
      <c r="G615" t="s">
        <v>73</v>
      </c>
      <c r="H615"/>
      <c r="I615" s="32">
        <v>44779</v>
      </c>
      <c r="J615" s="17" t="s">
        <v>238</v>
      </c>
      <c r="K615" s="17" t="s">
        <v>203</v>
      </c>
      <c r="L615" s="17">
        <v>245</v>
      </c>
      <c r="M615"/>
      <c r="N615" s="88">
        <v>243.6</v>
      </c>
      <c r="O615" s="58">
        <v>168.21</v>
      </c>
      <c r="P615" s="58">
        <v>166.22</v>
      </c>
      <c r="Q615" s="58">
        <v>34.78</v>
      </c>
      <c r="R615" s="58">
        <v>18.79</v>
      </c>
      <c r="S615" s="58">
        <v>110.15</v>
      </c>
      <c r="T615" s="58">
        <v>86.94</v>
      </c>
      <c r="U615" s="58">
        <v>75.8</v>
      </c>
      <c r="V615" s="58">
        <v>52.87</v>
      </c>
      <c r="W615" s="58">
        <v>78.48</v>
      </c>
      <c r="X615" s="58">
        <v>90.08</v>
      </c>
      <c r="Y615" s="58">
        <v>41.12</v>
      </c>
      <c r="Z615" s="58">
        <v>101.75</v>
      </c>
      <c r="AA615" s="58">
        <v>75.75</v>
      </c>
      <c r="AB615" s="58">
        <v>83.24</v>
      </c>
      <c r="AC615" s="58">
        <v>33.15</v>
      </c>
      <c r="AD615" s="58">
        <v>50.88</v>
      </c>
      <c r="AE615" s="58">
        <v>34.42</v>
      </c>
      <c r="AF615" s="58">
        <v>38.01</v>
      </c>
      <c r="AG615" s="58">
        <v>35.68</v>
      </c>
      <c r="AH615" s="58">
        <v>33.619999999999997</v>
      </c>
      <c r="AI615" s="58">
        <v>1.952</v>
      </c>
      <c r="AJ615"/>
      <c r="AK615"/>
      <c r="AL615">
        <f>18+4.5</f>
        <v>22.5</v>
      </c>
      <c r="AM615"/>
      <c r="AN615"/>
      <c r="AO615">
        <v>8.8000000000000007</v>
      </c>
      <c r="AP615">
        <v>98.3</v>
      </c>
      <c r="AQ615">
        <v>45.9</v>
      </c>
      <c r="AR615">
        <v>65.8</v>
      </c>
      <c r="AS615"/>
      <c r="AT615" t="s">
        <v>147</v>
      </c>
      <c r="AU615" t="s">
        <v>147</v>
      </c>
    </row>
    <row r="616" spans="1:47" x14ac:dyDescent="0.2">
      <c r="A616" s="29">
        <v>620.99999999999864</v>
      </c>
      <c r="B616" s="17">
        <v>295</v>
      </c>
      <c r="C616">
        <v>22.614999999999998</v>
      </c>
      <c r="D616" s="64" t="s">
        <v>223</v>
      </c>
      <c r="E616" t="s">
        <v>236</v>
      </c>
      <c r="F616" t="s">
        <v>73</v>
      </c>
      <c r="G616" t="s">
        <v>73</v>
      </c>
      <c r="H616"/>
      <c r="I616" s="32">
        <v>44771</v>
      </c>
      <c r="J616" s="17" t="s">
        <v>238</v>
      </c>
      <c r="K616" s="17" t="s">
        <v>203</v>
      </c>
      <c r="L616" s="17">
        <v>250</v>
      </c>
      <c r="M616"/>
      <c r="N616" s="88">
        <v>249.5</v>
      </c>
      <c r="O616" s="58">
        <v>164.36</v>
      </c>
      <c r="P616" s="58">
        <v>162</v>
      </c>
      <c r="Q616" s="58">
        <v>37.29</v>
      </c>
      <c r="R616" s="58">
        <v>15.86</v>
      </c>
      <c r="S616" s="58">
        <v>106.7</v>
      </c>
      <c r="T616" s="58">
        <v>83.51</v>
      </c>
      <c r="U616" s="58">
        <v>74.010000000000005</v>
      </c>
      <c r="V616" s="58">
        <v>54.57</v>
      </c>
      <c r="W616" s="58">
        <v>79.349999999999994</v>
      </c>
      <c r="X616" s="58">
        <v>92.96</v>
      </c>
      <c r="Y616" s="58">
        <v>41.41</v>
      </c>
      <c r="Z616" s="58">
        <v>104.51</v>
      </c>
      <c r="AA616" s="58">
        <v>76.45</v>
      </c>
      <c r="AB616" s="58">
        <v>86.92</v>
      </c>
      <c r="AC616" s="58">
        <v>28.4</v>
      </c>
      <c r="AD616" s="58">
        <v>51.56</v>
      </c>
      <c r="AE616" s="58">
        <v>34.85</v>
      </c>
      <c r="AF616" s="58">
        <v>40.64</v>
      </c>
      <c r="AG616" s="58">
        <v>35.869999999999997</v>
      </c>
      <c r="AH616" s="58">
        <v>38.44</v>
      </c>
      <c r="AI616" s="58">
        <v>1.9379999999999999</v>
      </c>
      <c r="AJ616"/>
      <c r="AK616"/>
      <c r="AL616" s="58">
        <v>24.5</v>
      </c>
      <c r="AM616"/>
      <c r="AN616"/>
      <c r="AO616">
        <v>7.6</v>
      </c>
      <c r="AP616">
        <v>97.3</v>
      </c>
      <c r="AQ616">
        <v>49.6</v>
      </c>
      <c r="AR616">
        <v>67.5</v>
      </c>
      <c r="AS616"/>
      <c r="AT616" t="s">
        <v>147</v>
      </c>
      <c r="AU616" t="s">
        <v>147</v>
      </c>
    </row>
    <row r="617" spans="1:47" x14ac:dyDescent="0.2">
      <c r="A617" s="29">
        <v>621.99999999999989</v>
      </c>
      <c r="B617">
        <v>134</v>
      </c>
      <c r="C617">
        <v>22.616</v>
      </c>
      <c r="D617" s="31" t="s">
        <v>140</v>
      </c>
      <c r="E617" s="3" t="s">
        <v>141</v>
      </c>
      <c r="F617" s="3" t="s">
        <v>60</v>
      </c>
      <c r="H617" s="3" t="s">
        <v>60</v>
      </c>
      <c r="I617" s="32">
        <v>44811</v>
      </c>
      <c r="J617" s="3" t="s">
        <v>142</v>
      </c>
      <c r="K617" s="3" t="s">
        <v>203</v>
      </c>
      <c r="M617" s="17">
        <v>212.3</v>
      </c>
      <c r="N617" s="88">
        <v>215.2</v>
      </c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>
        <v>2.0219999999999998</v>
      </c>
      <c r="AJ617"/>
      <c r="AK617"/>
      <c r="AL617">
        <v>3</v>
      </c>
      <c r="AM617"/>
      <c r="AN617"/>
      <c r="AO617">
        <v>9</v>
      </c>
      <c r="AP617">
        <v>63.4</v>
      </c>
      <c r="AQ617">
        <v>86.1</v>
      </c>
      <c r="AR617">
        <v>49.5</v>
      </c>
      <c r="AS617">
        <v>22</v>
      </c>
      <c r="AT617" t="s">
        <v>147</v>
      </c>
    </row>
    <row r="618" spans="1:47" x14ac:dyDescent="0.2">
      <c r="A618" s="29">
        <v>623.00000000000114</v>
      </c>
      <c r="B618" s="3">
        <v>138</v>
      </c>
      <c r="C618">
        <v>22.617000000000001</v>
      </c>
      <c r="D618" s="31" t="s">
        <v>140</v>
      </c>
      <c r="E618" s="3" t="s">
        <v>141</v>
      </c>
      <c r="F618" s="3" t="s">
        <v>60</v>
      </c>
      <c r="H618" s="3" t="s">
        <v>60</v>
      </c>
      <c r="I618" s="32">
        <v>44811</v>
      </c>
      <c r="J618" s="3" t="s">
        <v>142</v>
      </c>
      <c r="K618" s="3" t="s">
        <v>206</v>
      </c>
      <c r="M618" s="17">
        <v>225.8</v>
      </c>
      <c r="N618" s="88">
        <v>239.2</v>
      </c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 s="58">
        <v>1.95</v>
      </c>
      <c r="AJ618"/>
      <c r="AK618"/>
      <c r="AL618"/>
      <c r="AM618"/>
      <c r="AN618"/>
      <c r="AO618"/>
      <c r="AP618"/>
      <c r="AQ618"/>
      <c r="AR618"/>
      <c r="AS618"/>
      <c r="AT618" t="s">
        <v>147</v>
      </c>
    </row>
    <row r="619" spans="1:47" x14ac:dyDescent="0.2">
      <c r="A619" s="29">
        <v>623.99999999999875</v>
      </c>
      <c r="B619" s="3">
        <v>140</v>
      </c>
      <c r="C619">
        <v>22.617999999999999</v>
      </c>
      <c r="D619" s="31" t="s">
        <v>140</v>
      </c>
      <c r="E619" s="3" t="s">
        <v>141</v>
      </c>
      <c r="F619" s="3" t="s">
        <v>61</v>
      </c>
      <c r="H619" s="3" t="s">
        <v>61</v>
      </c>
      <c r="I619" s="32">
        <v>44811</v>
      </c>
      <c r="J619" s="3" t="s">
        <v>142</v>
      </c>
      <c r="K619" s="3" t="s">
        <v>203</v>
      </c>
      <c r="M619" s="17">
        <v>201.9</v>
      </c>
      <c r="N619" s="88">
        <v>202</v>
      </c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 s="58">
        <v>1.284</v>
      </c>
      <c r="AJ619"/>
      <c r="AK619"/>
      <c r="AL619">
        <v>23.5</v>
      </c>
      <c r="AM619"/>
      <c r="AN619"/>
      <c r="AO619">
        <f>8.9-2.5</f>
        <v>6.4</v>
      </c>
      <c r="AP619">
        <f>100.3-32.4</f>
        <v>67.900000000000006</v>
      </c>
      <c r="AQ619">
        <f>83.7-24.2</f>
        <v>59.5</v>
      </c>
      <c r="AR619">
        <v>40.700000000000003</v>
      </c>
      <c r="AS619">
        <v>17.899999999999999</v>
      </c>
      <c r="AT619" t="s">
        <v>147</v>
      </c>
    </row>
    <row r="620" spans="1:47" x14ac:dyDescent="0.2">
      <c r="A620" s="29">
        <v>625</v>
      </c>
      <c r="B620" s="18">
        <v>85</v>
      </c>
      <c r="C620" s="18">
        <v>22.619</v>
      </c>
      <c r="D620" s="31" t="s">
        <v>140</v>
      </c>
      <c r="E620" s="14" t="s">
        <v>141</v>
      </c>
      <c r="F620" s="17" t="s">
        <v>62</v>
      </c>
      <c r="H620" s="17" t="s">
        <v>62</v>
      </c>
      <c r="I620" s="76">
        <v>44700</v>
      </c>
      <c r="J620" s="14" t="s">
        <v>142</v>
      </c>
      <c r="K620" s="14" t="s">
        <v>166</v>
      </c>
      <c r="L620" s="14">
        <v>228.2</v>
      </c>
      <c r="M620" s="28"/>
      <c r="N620" s="90">
        <v>239.7</v>
      </c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>
        <v>1.5129999999999999</v>
      </c>
      <c r="AJ620" s="18"/>
      <c r="AK620" s="18"/>
      <c r="AL620" s="103"/>
      <c r="AM620" s="18"/>
      <c r="AN620" s="18"/>
      <c r="AO620" s="18">
        <v>5.2</v>
      </c>
      <c r="AP620" s="18">
        <v>46.7</v>
      </c>
      <c r="AQ620" s="18">
        <f>162.9-38.8+4</f>
        <v>128.10000000000002</v>
      </c>
      <c r="AR620" s="18">
        <v>52.8</v>
      </c>
      <c r="AS620" s="18">
        <v>22.6</v>
      </c>
      <c r="AT620" s="18" t="s">
        <v>147</v>
      </c>
      <c r="AU620" s="18" t="s">
        <v>245</v>
      </c>
    </row>
    <row r="621" spans="1:47" ht="21" customHeight="1" x14ac:dyDescent="0.25">
      <c r="A621" s="29">
        <v>626.00000000000125</v>
      </c>
      <c r="B621" s="17" t="s">
        <v>337</v>
      </c>
      <c r="C621" s="5" t="s">
        <v>38</v>
      </c>
      <c r="D621" s="74" t="s">
        <v>179</v>
      </c>
      <c r="E621" t="s">
        <v>180</v>
      </c>
      <c r="F621" t="s">
        <v>181</v>
      </c>
      <c r="G621" s="104">
        <v>259</v>
      </c>
      <c r="H621" s="104"/>
      <c r="I621" s="56">
        <v>44766</v>
      </c>
      <c r="J621" s="17" t="s">
        <v>356</v>
      </c>
      <c r="K621" s="17" t="s">
        <v>235</v>
      </c>
      <c r="L621"/>
      <c r="M621"/>
      <c r="N621" s="88">
        <v>270.89999999999998</v>
      </c>
      <c r="O621">
        <v>192.56</v>
      </c>
      <c r="P621">
        <v>201.66</v>
      </c>
      <c r="Q621">
        <v>40.520000000000003</v>
      </c>
      <c r="R621">
        <v>21.05</v>
      </c>
      <c r="S621">
        <v>135.15</v>
      </c>
      <c r="T621">
        <v>104.95</v>
      </c>
      <c r="U621">
        <v>58.57</v>
      </c>
      <c r="V621">
        <v>43.67</v>
      </c>
      <c r="W621">
        <v>64.150000000000006</v>
      </c>
      <c r="X621">
        <v>83.68</v>
      </c>
      <c r="Y621">
        <v>37.76</v>
      </c>
      <c r="Z621">
        <v>95.55</v>
      </c>
      <c r="AA621">
        <v>83.06</v>
      </c>
      <c r="AB621">
        <v>69.67</v>
      </c>
      <c r="AC621">
        <v>2.79</v>
      </c>
      <c r="AD621">
        <v>51.39</v>
      </c>
      <c r="AE621">
        <v>3.01</v>
      </c>
      <c r="AF621">
        <v>39.29</v>
      </c>
      <c r="AG621">
        <v>33.44</v>
      </c>
      <c r="AH621">
        <v>43.27</v>
      </c>
      <c r="AI621">
        <v>0.93</v>
      </c>
      <c r="AJ621">
        <v>44.8</v>
      </c>
      <c r="AK621" t="s">
        <v>172</v>
      </c>
      <c r="AL621"/>
      <c r="AM621"/>
      <c r="AN621">
        <v>147</v>
      </c>
      <c r="AO621"/>
      <c r="AP621"/>
      <c r="AQ621"/>
      <c r="AR621"/>
      <c r="AS621"/>
      <c r="AT621" t="s">
        <v>146</v>
      </c>
      <c r="AU621" t="s">
        <v>146</v>
      </c>
    </row>
    <row r="622" spans="1:47" x14ac:dyDescent="0.2">
      <c r="A622" s="29">
        <v>626.99999999999886</v>
      </c>
      <c r="B622" s="17" t="s">
        <v>357</v>
      </c>
      <c r="C622">
        <v>22.620999999999999</v>
      </c>
      <c r="D622" s="74" t="s">
        <v>179</v>
      </c>
      <c r="E622" t="s">
        <v>180</v>
      </c>
      <c r="F622" t="s">
        <v>181</v>
      </c>
      <c r="G622" s="11">
        <v>259</v>
      </c>
      <c r="H622" s="11">
        <v>259</v>
      </c>
      <c r="I622" s="32">
        <v>44770</v>
      </c>
      <c r="J622" s="17" t="s">
        <v>356</v>
      </c>
      <c r="K622" s="17" t="s">
        <v>235</v>
      </c>
      <c r="L622">
        <v>275</v>
      </c>
      <c r="M622"/>
      <c r="N622" s="88">
        <v>278.60000000000002</v>
      </c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  <c r="AA622" s="102"/>
      <c r="AB622" s="102"/>
      <c r="AC622" s="102"/>
      <c r="AD622" s="102"/>
      <c r="AE622" s="102"/>
      <c r="AF622" s="102"/>
      <c r="AG622" s="102"/>
      <c r="AH622" s="102"/>
      <c r="AI622">
        <v>0.95599999999999996</v>
      </c>
      <c r="AJ622">
        <v>45</v>
      </c>
      <c r="AK622" t="s">
        <v>172</v>
      </c>
      <c r="AL622"/>
      <c r="AM622"/>
      <c r="AN622">
        <v>144</v>
      </c>
      <c r="AO622"/>
      <c r="AP622"/>
      <c r="AQ622"/>
      <c r="AR622"/>
      <c r="AS622"/>
      <c r="AT622" t="s">
        <v>146</v>
      </c>
      <c r="AU622" t="s">
        <v>358</v>
      </c>
    </row>
    <row r="623" spans="1:47" x14ac:dyDescent="0.2">
      <c r="A623" s="29">
        <v>628.00000000000011</v>
      </c>
      <c r="B623" s="17" t="s">
        <v>359</v>
      </c>
      <c r="C623">
        <v>22.622</v>
      </c>
      <c r="D623" s="74" t="s">
        <v>179</v>
      </c>
      <c r="E623" t="s">
        <v>180</v>
      </c>
      <c r="F623" t="s">
        <v>181</v>
      </c>
      <c r="G623" s="11">
        <v>8</v>
      </c>
      <c r="H623" s="11">
        <v>8</v>
      </c>
      <c r="I623" s="32">
        <v>44770</v>
      </c>
      <c r="J623" s="17" t="s">
        <v>356</v>
      </c>
      <c r="K623" s="17" t="s">
        <v>235</v>
      </c>
      <c r="L623">
        <v>250</v>
      </c>
      <c r="M623"/>
      <c r="N623" s="88">
        <v>249.9</v>
      </c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  <c r="AA623" s="102"/>
      <c r="AB623" s="102"/>
      <c r="AC623" s="102"/>
      <c r="AD623" s="102"/>
      <c r="AE623" s="102"/>
      <c r="AF623" s="102"/>
      <c r="AG623" s="102"/>
      <c r="AH623" s="102"/>
      <c r="AI623">
        <v>1.1479999999999999</v>
      </c>
      <c r="AJ623">
        <v>30.6</v>
      </c>
      <c r="AK623" t="s">
        <v>172</v>
      </c>
      <c r="AL623"/>
      <c r="AM623"/>
      <c r="AN623">
        <v>112</v>
      </c>
      <c r="AO623"/>
      <c r="AP623"/>
      <c r="AQ623"/>
      <c r="AR623"/>
      <c r="AS623"/>
      <c r="AT623" t="s">
        <v>146</v>
      </c>
      <c r="AU623" t="s">
        <v>358</v>
      </c>
    </row>
    <row r="624" spans="1:47" x14ac:dyDescent="0.2">
      <c r="A624" s="29">
        <v>629.00000000000136</v>
      </c>
      <c r="B624" s="17" t="s">
        <v>335</v>
      </c>
      <c r="C624">
        <v>22.623000000000001</v>
      </c>
      <c r="D624" s="74" t="s">
        <v>179</v>
      </c>
      <c r="E624" t="s">
        <v>180</v>
      </c>
      <c r="F624" t="s">
        <v>181</v>
      </c>
      <c r="G624"/>
      <c r="H624" t="s">
        <v>182</v>
      </c>
      <c r="I624" s="56">
        <v>44765</v>
      </c>
      <c r="J624" s="17" t="s">
        <v>356</v>
      </c>
      <c r="K624" s="17" t="s">
        <v>235</v>
      </c>
      <c r="L624"/>
      <c r="M624"/>
      <c r="N624" s="88">
        <v>255.7</v>
      </c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  <c r="AA624" s="102"/>
      <c r="AB624" s="102"/>
      <c r="AC624" s="102"/>
      <c r="AD624" s="102"/>
      <c r="AE624" s="102"/>
      <c r="AF624" s="102"/>
      <c r="AG624" s="102"/>
      <c r="AH624" s="102"/>
      <c r="AI624">
        <v>1.2010000000000001</v>
      </c>
      <c r="AJ624">
        <v>27.8</v>
      </c>
      <c r="AK624" t="s">
        <v>172</v>
      </c>
      <c r="AL624"/>
      <c r="AM624"/>
      <c r="AN624">
        <v>111</v>
      </c>
      <c r="AO624"/>
      <c r="AP624"/>
      <c r="AQ624"/>
      <c r="AR624"/>
      <c r="AS624"/>
      <c r="AT624" t="s">
        <v>146</v>
      </c>
      <c r="AU624" t="s">
        <v>358</v>
      </c>
    </row>
    <row r="625" spans="1:47" x14ac:dyDescent="0.2">
      <c r="A625" s="29">
        <v>629.99999999999898</v>
      </c>
      <c r="B625" s="17" t="s">
        <v>360</v>
      </c>
      <c r="C625">
        <v>22.623999999999999</v>
      </c>
      <c r="D625" s="74" t="s">
        <v>179</v>
      </c>
      <c r="E625" t="s">
        <v>180</v>
      </c>
      <c r="F625" t="s">
        <v>181</v>
      </c>
      <c r="G625" s="11">
        <v>259</v>
      </c>
      <c r="H625" s="11">
        <v>259</v>
      </c>
      <c r="I625" s="32">
        <v>44770</v>
      </c>
      <c r="J625" s="17" t="s">
        <v>356</v>
      </c>
      <c r="K625" s="17" t="s">
        <v>235</v>
      </c>
      <c r="L625">
        <v>275</v>
      </c>
      <c r="M625"/>
      <c r="N625" s="88">
        <v>270.89999999999998</v>
      </c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  <c r="AA625" s="102"/>
      <c r="AB625" s="102"/>
      <c r="AC625" s="102"/>
      <c r="AD625" s="102"/>
      <c r="AE625" s="102"/>
      <c r="AF625" s="102"/>
      <c r="AG625" s="102"/>
      <c r="AH625" s="102"/>
      <c r="AI625">
        <v>0.96599999999999997</v>
      </c>
      <c r="AJ625">
        <v>38.700000000000003</v>
      </c>
      <c r="AK625" t="s">
        <v>172</v>
      </c>
      <c r="AL625"/>
      <c r="AM625"/>
      <c r="AN625">
        <v>113</v>
      </c>
      <c r="AO625"/>
      <c r="AP625"/>
      <c r="AQ625"/>
      <c r="AR625"/>
      <c r="AS625"/>
      <c r="AT625" t="s">
        <v>146</v>
      </c>
      <c r="AU625" t="s">
        <v>358</v>
      </c>
    </row>
    <row r="626" spans="1:47" x14ac:dyDescent="0.2">
      <c r="A626" s="29">
        <v>631.00000000000023</v>
      </c>
      <c r="B626" s="17" t="s">
        <v>361</v>
      </c>
      <c r="C626">
        <v>22.625</v>
      </c>
      <c r="D626" s="74" t="s">
        <v>179</v>
      </c>
      <c r="E626" t="s">
        <v>180</v>
      </c>
      <c r="F626" t="s">
        <v>181</v>
      </c>
      <c r="G626"/>
      <c r="H626" t="s">
        <v>268</v>
      </c>
      <c r="I626" s="32">
        <v>44770</v>
      </c>
      <c r="J626" s="17" t="s">
        <v>356</v>
      </c>
      <c r="K626" s="17" t="s">
        <v>235</v>
      </c>
      <c r="L626">
        <v>280</v>
      </c>
      <c r="M626"/>
      <c r="N626" s="88">
        <v>275.60000000000002</v>
      </c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  <c r="AA626" s="102"/>
      <c r="AB626" s="102"/>
      <c r="AC626" s="102"/>
      <c r="AD626" s="102"/>
      <c r="AE626" s="102"/>
      <c r="AF626" s="102"/>
      <c r="AG626" s="102"/>
      <c r="AH626" s="102"/>
      <c r="AI626">
        <v>1.1319999999999999</v>
      </c>
      <c r="AJ626">
        <v>45.5</v>
      </c>
      <c r="AK626" t="s">
        <v>172</v>
      </c>
      <c r="AL626"/>
      <c r="AM626"/>
      <c r="AN626">
        <v>147</v>
      </c>
      <c r="AO626"/>
      <c r="AP626"/>
      <c r="AQ626"/>
      <c r="AR626"/>
      <c r="AS626"/>
      <c r="AT626" t="s">
        <v>146</v>
      </c>
      <c r="AU626" t="s">
        <v>358</v>
      </c>
    </row>
    <row r="627" spans="1:47" x14ac:dyDescent="0.2">
      <c r="A627" s="29">
        <v>632.00000000000148</v>
      </c>
      <c r="B627" s="3">
        <v>95</v>
      </c>
      <c r="C627" s="3">
        <v>22.626000000000001</v>
      </c>
      <c r="D627" s="31" t="s">
        <v>140</v>
      </c>
      <c r="E627" s="3" t="s">
        <v>141</v>
      </c>
      <c r="F627" s="17" t="s">
        <v>62</v>
      </c>
      <c r="H627" s="17" t="s">
        <v>62</v>
      </c>
      <c r="I627" s="81">
        <v>44732</v>
      </c>
      <c r="J627" s="3" t="s">
        <v>142</v>
      </c>
      <c r="K627" s="3" t="s">
        <v>203</v>
      </c>
      <c r="L627" s="3">
        <v>223</v>
      </c>
      <c r="N627" s="3">
        <v>226.2</v>
      </c>
      <c r="AI627" s="3">
        <v>1.5629999999999999</v>
      </c>
      <c r="AO627" s="3">
        <v>5.9</v>
      </c>
      <c r="AP627" s="3">
        <v>50.1</v>
      </c>
      <c r="AQ627" s="3">
        <v>121.4</v>
      </c>
      <c r="AR627" s="3">
        <v>43.7</v>
      </c>
      <c r="AS627" s="3">
        <v>19</v>
      </c>
    </row>
    <row r="628" spans="1:47" x14ac:dyDescent="0.2">
      <c r="A628" s="29">
        <v>632.99999999999909</v>
      </c>
      <c r="B628" s="3">
        <v>96</v>
      </c>
      <c r="C628" s="3">
        <v>22.626999999999999</v>
      </c>
      <c r="D628" s="31" t="s">
        <v>140</v>
      </c>
      <c r="E628" s="3" t="s">
        <v>141</v>
      </c>
      <c r="F628" s="17" t="s">
        <v>62</v>
      </c>
      <c r="H628" s="17" t="s">
        <v>62</v>
      </c>
      <c r="I628" s="81">
        <v>44733</v>
      </c>
      <c r="J628" s="3" t="s">
        <v>142</v>
      </c>
      <c r="K628" s="3" t="s">
        <v>203</v>
      </c>
      <c r="L628" s="3">
        <v>245.8</v>
      </c>
      <c r="N628" s="3">
        <v>256</v>
      </c>
      <c r="AI628" s="3">
        <v>1.5649999999999999</v>
      </c>
      <c r="AO628" s="3">
        <v>7.3</v>
      </c>
      <c r="AP628" s="3">
        <v>50.5</v>
      </c>
      <c r="AQ628" s="3">
        <v>141.5</v>
      </c>
      <c r="AR628" s="3">
        <v>50.9</v>
      </c>
      <c r="AS628" s="3">
        <v>22.3</v>
      </c>
    </row>
    <row r="629" spans="1:47" x14ac:dyDescent="0.2">
      <c r="A629" s="29">
        <v>634.00000000000034</v>
      </c>
      <c r="B629" s="17" t="s">
        <v>336</v>
      </c>
      <c r="C629">
        <v>22.628</v>
      </c>
      <c r="D629" s="74" t="s">
        <v>179</v>
      </c>
      <c r="E629" t="s">
        <v>180</v>
      </c>
      <c r="F629" t="s">
        <v>181</v>
      </c>
      <c r="G629" s="11">
        <v>259</v>
      </c>
      <c r="H629" s="11">
        <v>259</v>
      </c>
      <c r="I629" s="32">
        <v>44749</v>
      </c>
      <c r="J629" s="17" t="s">
        <v>238</v>
      </c>
      <c r="K629" s="17" t="s">
        <v>235</v>
      </c>
      <c r="L629">
        <v>265</v>
      </c>
      <c r="M629"/>
      <c r="N629" s="88">
        <v>272.8</v>
      </c>
      <c r="O629" s="58">
        <v>175.69</v>
      </c>
      <c r="P629" s="58">
        <v>191.2</v>
      </c>
      <c r="Q629" s="58">
        <v>37.75</v>
      </c>
      <c r="R629" s="58">
        <v>18.72</v>
      </c>
      <c r="S629" s="58">
        <v>127.72</v>
      </c>
      <c r="T629" s="58">
        <v>102.26</v>
      </c>
      <c r="U629" s="58">
        <v>62.16</v>
      </c>
      <c r="V629" s="58">
        <v>45.35</v>
      </c>
      <c r="W629" s="58">
        <v>67.349999999999994</v>
      </c>
      <c r="X629" s="58">
        <v>83.92</v>
      </c>
      <c r="Y629" s="58">
        <v>35.25</v>
      </c>
      <c r="Z629" s="58">
        <v>95.12</v>
      </c>
      <c r="AA629" s="58">
        <v>81.569999999999993</v>
      </c>
      <c r="AB629" s="58">
        <v>73.61</v>
      </c>
      <c r="AC629" s="58">
        <v>17</v>
      </c>
      <c r="AD629" s="58">
        <v>51.45</v>
      </c>
      <c r="AE629" s="58">
        <v>30.78</v>
      </c>
      <c r="AF629" s="58">
        <v>36.11</v>
      </c>
      <c r="AG629" s="58">
        <v>34.450000000000003</v>
      </c>
      <c r="AH629" s="58">
        <v>39.950000000000003</v>
      </c>
      <c r="AI629" s="58">
        <v>0.90800000000000003</v>
      </c>
      <c r="AJ629" s="58">
        <v>35.299999999999997</v>
      </c>
      <c r="AK629" s="58" t="s">
        <v>172</v>
      </c>
      <c r="AL629"/>
      <c r="AM629"/>
      <c r="AN629">
        <v>154</v>
      </c>
      <c r="AO629"/>
      <c r="AP629"/>
      <c r="AQ629"/>
      <c r="AR629"/>
      <c r="AS629"/>
      <c r="AT629" t="s">
        <v>146</v>
      </c>
      <c r="AU629" t="s">
        <v>358</v>
      </c>
    </row>
    <row r="630" spans="1:47" x14ac:dyDescent="0.2">
      <c r="A630" s="29">
        <v>635.00000000000159</v>
      </c>
      <c r="B630" s="17" t="s">
        <v>362</v>
      </c>
      <c r="C630">
        <v>22.629000000000001</v>
      </c>
      <c r="D630" s="74" t="s">
        <v>179</v>
      </c>
      <c r="E630" t="s">
        <v>180</v>
      </c>
      <c r="F630" t="s">
        <v>181</v>
      </c>
      <c r="G630" s="11">
        <v>8</v>
      </c>
      <c r="H630" s="11">
        <v>8</v>
      </c>
      <c r="I630" s="32">
        <v>44779</v>
      </c>
      <c r="J630" s="17" t="s">
        <v>238</v>
      </c>
      <c r="K630" s="17" t="s">
        <v>235</v>
      </c>
      <c r="L630">
        <v>265</v>
      </c>
      <c r="M630"/>
      <c r="N630" s="88">
        <v>252.9</v>
      </c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  <c r="AA630" s="102"/>
      <c r="AB630" s="102"/>
      <c r="AC630" s="102"/>
      <c r="AD630" s="102"/>
      <c r="AE630" s="102"/>
      <c r="AF630" s="102"/>
      <c r="AG630" s="102"/>
      <c r="AH630" s="102"/>
      <c r="AI630">
        <v>1.1539999999999999</v>
      </c>
      <c r="AJ630">
        <v>34</v>
      </c>
      <c r="AK630" t="s">
        <v>173</v>
      </c>
      <c r="AL630"/>
      <c r="AM630"/>
      <c r="AN630">
        <v>112</v>
      </c>
      <c r="AO630"/>
      <c r="AP630"/>
      <c r="AQ630"/>
      <c r="AR630"/>
      <c r="AS630"/>
      <c r="AT630" t="s">
        <v>146</v>
      </c>
      <c r="AU630" t="s">
        <v>358</v>
      </c>
    </row>
    <row r="631" spans="1:47" x14ac:dyDescent="0.2">
      <c r="A631" s="29">
        <v>635.9999999999992</v>
      </c>
      <c r="B631">
        <v>124</v>
      </c>
      <c r="C631" s="5" t="s">
        <v>55</v>
      </c>
      <c r="D631" s="31" t="s">
        <v>140</v>
      </c>
      <c r="E631" s="3" t="s">
        <v>141</v>
      </c>
      <c r="F631" s="3" t="s">
        <v>61</v>
      </c>
      <c r="H631" s="3" t="s">
        <v>61</v>
      </c>
      <c r="I631" s="32">
        <v>44801</v>
      </c>
      <c r="J631" s="3" t="s">
        <v>142</v>
      </c>
      <c r="K631" s="3" t="s">
        <v>204</v>
      </c>
      <c r="M631" s="17">
        <v>236.6</v>
      </c>
      <c r="N631" s="88">
        <v>245.5</v>
      </c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  <c r="AA631" s="102"/>
      <c r="AB631" s="102"/>
      <c r="AC631" s="102"/>
      <c r="AD631" s="102"/>
      <c r="AE631" s="102"/>
      <c r="AF631" s="102"/>
      <c r="AG631" s="102"/>
      <c r="AH631" s="102"/>
      <c r="AI631">
        <v>1.091</v>
      </c>
      <c r="AJ631">
        <v>45.8</v>
      </c>
      <c r="AK631" t="s">
        <v>172</v>
      </c>
      <c r="AL631"/>
      <c r="AM631"/>
      <c r="AN631">
        <v>112</v>
      </c>
      <c r="AO631"/>
      <c r="AP631"/>
      <c r="AQ631"/>
      <c r="AR631"/>
      <c r="AS631"/>
      <c r="AT631" t="s">
        <v>146</v>
      </c>
      <c r="AU631" t="s">
        <v>358</v>
      </c>
    </row>
    <row r="632" spans="1:47" x14ac:dyDescent="0.2">
      <c r="A632" s="29">
        <v>637.00000000000045</v>
      </c>
      <c r="B632">
        <v>147</v>
      </c>
      <c r="C632">
        <v>22.631</v>
      </c>
      <c r="D632" s="31" t="s">
        <v>140</v>
      </c>
      <c r="E632" s="3" t="s">
        <v>141</v>
      </c>
      <c r="F632" s="3" t="s">
        <v>60</v>
      </c>
      <c r="H632" s="3" t="s">
        <v>60</v>
      </c>
      <c r="I632" s="32">
        <v>44824</v>
      </c>
      <c r="J632" s="3" t="s">
        <v>142</v>
      </c>
      <c r="K632" s="3" t="s">
        <v>206</v>
      </c>
      <c r="M632" s="17">
        <v>247.1</v>
      </c>
      <c r="N632" s="88">
        <v>250</v>
      </c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  <c r="AA632" s="102"/>
      <c r="AB632" s="102"/>
      <c r="AC632" s="102"/>
      <c r="AD632" s="102"/>
      <c r="AE632" s="102"/>
      <c r="AF632" s="102"/>
      <c r="AG632" s="102"/>
      <c r="AH632" s="102"/>
      <c r="AI632">
        <v>2.371</v>
      </c>
      <c r="AJ632">
        <v>12.9</v>
      </c>
      <c r="AK632" t="s">
        <v>172</v>
      </c>
      <c r="AL632"/>
      <c r="AM632"/>
      <c r="AN632">
        <v>116</v>
      </c>
      <c r="AO632"/>
      <c r="AP632"/>
      <c r="AQ632"/>
      <c r="AR632"/>
      <c r="AS632"/>
      <c r="AT632" t="s">
        <v>146</v>
      </c>
      <c r="AU632" t="s">
        <v>358</v>
      </c>
    </row>
    <row r="633" spans="1:47" x14ac:dyDescent="0.2">
      <c r="A633" s="29">
        <v>638.00000000000171</v>
      </c>
      <c r="B633">
        <v>126</v>
      </c>
      <c r="C633">
        <v>22.632000000000001</v>
      </c>
      <c r="D633" s="31" t="s">
        <v>140</v>
      </c>
      <c r="E633" s="3" t="s">
        <v>141</v>
      </c>
      <c r="F633" s="3" t="s">
        <v>61</v>
      </c>
      <c r="G633" s="3" t="s">
        <v>61</v>
      </c>
      <c r="I633" s="32">
        <v>44802</v>
      </c>
      <c r="J633" s="3" t="s">
        <v>142</v>
      </c>
      <c r="K633" s="3" t="s">
        <v>204</v>
      </c>
      <c r="M633" s="17">
        <v>232.3</v>
      </c>
      <c r="N633" s="88">
        <v>247.3</v>
      </c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  <c r="AA633" s="102"/>
      <c r="AB633" s="102"/>
      <c r="AC633" s="102"/>
      <c r="AD633" s="102"/>
      <c r="AE633" s="102"/>
      <c r="AF633" s="102"/>
      <c r="AG633" s="102"/>
      <c r="AH633" s="102"/>
      <c r="AI633">
        <v>1.121</v>
      </c>
      <c r="AJ633">
        <v>48.4</v>
      </c>
      <c r="AK633" t="s">
        <v>172</v>
      </c>
      <c r="AL633"/>
      <c r="AM633"/>
      <c r="AN633">
        <v>114</v>
      </c>
      <c r="AO633"/>
      <c r="AP633"/>
      <c r="AQ633"/>
      <c r="AR633"/>
      <c r="AS633"/>
      <c r="AT633" t="s">
        <v>146</v>
      </c>
      <c r="AU633" t="s">
        <v>358</v>
      </c>
    </row>
    <row r="634" spans="1:47" x14ac:dyDescent="0.2">
      <c r="A634" s="29">
        <v>638.99999999999932</v>
      </c>
      <c r="B634">
        <v>129</v>
      </c>
      <c r="C634">
        <v>22.632999999999999</v>
      </c>
      <c r="D634" s="31" t="s">
        <v>140</v>
      </c>
      <c r="E634" s="3" t="s">
        <v>141</v>
      </c>
      <c r="F634" s="3" t="s">
        <v>60</v>
      </c>
      <c r="H634" s="3" t="s">
        <v>60</v>
      </c>
      <c r="I634" s="32">
        <v>44810</v>
      </c>
      <c r="J634" s="3" t="s">
        <v>142</v>
      </c>
      <c r="K634" s="3" t="s">
        <v>204</v>
      </c>
      <c r="M634" s="17">
        <v>261.60000000000002</v>
      </c>
      <c r="N634" s="88">
        <v>267.8</v>
      </c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  <c r="AA634" s="102"/>
      <c r="AB634" s="102"/>
      <c r="AC634" s="102"/>
      <c r="AD634" s="102"/>
      <c r="AE634" s="102"/>
      <c r="AF634" s="102"/>
      <c r="AG634" s="102"/>
      <c r="AH634" s="102"/>
      <c r="AI634">
        <v>1.694</v>
      </c>
      <c r="AJ634">
        <v>51.6</v>
      </c>
      <c r="AK634" t="s">
        <v>172</v>
      </c>
      <c r="AL634"/>
      <c r="AM634"/>
      <c r="AN634">
        <v>120</v>
      </c>
      <c r="AO634"/>
      <c r="AP634"/>
      <c r="AQ634"/>
      <c r="AR634"/>
      <c r="AS634"/>
      <c r="AT634" t="s">
        <v>146</v>
      </c>
      <c r="AU634" t="s">
        <v>358</v>
      </c>
    </row>
    <row r="635" spans="1:47" x14ac:dyDescent="0.2">
      <c r="A635" s="29">
        <v>640.00000000000057</v>
      </c>
      <c r="B635">
        <v>132</v>
      </c>
      <c r="C635">
        <v>22.634</v>
      </c>
      <c r="D635" s="31" t="s">
        <v>140</v>
      </c>
      <c r="E635" s="3" t="s">
        <v>141</v>
      </c>
      <c r="F635" s="3" t="s">
        <v>61</v>
      </c>
      <c r="G635" s="3" t="s">
        <v>61</v>
      </c>
      <c r="H635" s="3" t="s">
        <v>61</v>
      </c>
      <c r="I635" s="32">
        <v>44811</v>
      </c>
      <c r="J635" s="3" t="s">
        <v>142</v>
      </c>
      <c r="K635" s="3" t="s">
        <v>235</v>
      </c>
      <c r="M635" s="17">
        <v>245.4</v>
      </c>
      <c r="N635" s="88">
        <v>251.3</v>
      </c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  <c r="AA635" s="102"/>
      <c r="AB635" s="102"/>
      <c r="AC635" s="102"/>
      <c r="AD635" s="102"/>
      <c r="AE635" s="102"/>
      <c r="AF635" s="102"/>
      <c r="AG635" s="102"/>
      <c r="AH635" s="102"/>
      <c r="AI635">
        <v>1.2769999999999999</v>
      </c>
      <c r="AJ635">
        <v>49.2</v>
      </c>
      <c r="AK635" t="s">
        <v>172</v>
      </c>
      <c r="AL635"/>
      <c r="AM635"/>
      <c r="AN635">
        <v>97</v>
      </c>
      <c r="AO635"/>
      <c r="AP635"/>
      <c r="AQ635"/>
      <c r="AR635"/>
      <c r="AS635"/>
      <c r="AT635" t="s">
        <v>146</v>
      </c>
      <c r="AU635" t="s">
        <v>358</v>
      </c>
    </row>
    <row r="636" spans="1:47" x14ac:dyDescent="0.2">
      <c r="A636" s="29">
        <v>640.99999999999818</v>
      </c>
      <c r="B636">
        <v>131</v>
      </c>
      <c r="C636">
        <v>22.635000000000002</v>
      </c>
      <c r="D636" s="31" t="s">
        <v>140</v>
      </c>
      <c r="E636" s="3" t="s">
        <v>141</v>
      </c>
      <c r="F636" s="3" t="s">
        <v>61</v>
      </c>
      <c r="H636" s="3" t="s">
        <v>61</v>
      </c>
      <c r="I636" s="32">
        <v>44811</v>
      </c>
      <c r="J636" s="3" t="s">
        <v>142</v>
      </c>
      <c r="K636" s="3" t="s">
        <v>235</v>
      </c>
      <c r="M636" s="17">
        <v>251.3</v>
      </c>
      <c r="N636" s="88">
        <v>262.5</v>
      </c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  <c r="AA636" s="102"/>
      <c r="AB636" s="102"/>
      <c r="AC636" s="102"/>
      <c r="AD636" s="102"/>
      <c r="AE636" s="102"/>
      <c r="AF636" s="102"/>
      <c r="AG636" s="102"/>
      <c r="AH636" s="102"/>
      <c r="AI636">
        <v>1.226</v>
      </c>
      <c r="AJ636">
        <v>50.1</v>
      </c>
      <c r="AK636" t="s">
        <v>173</v>
      </c>
      <c r="AL636">
        <v>23</v>
      </c>
      <c r="AM636">
        <v>72</v>
      </c>
      <c r="AN636"/>
      <c r="AO636"/>
      <c r="AP636"/>
      <c r="AQ636"/>
      <c r="AR636"/>
      <c r="AS636"/>
      <c r="AT636" t="s">
        <v>146</v>
      </c>
      <c r="AU636" t="s">
        <v>358</v>
      </c>
    </row>
    <row r="637" spans="1:47" x14ac:dyDescent="0.2">
      <c r="A637" s="29">
        <v>641.99999999999943</v>
      </c>
      <c r="B637">
        <v>133</v>
      </c>
      <c r="C637">
        <v>22.635999999999999</v>
      </c>
      <c r="D637" s="31" t="s">
        <v>140</v>
      </c>
      <c r="E637" s="3" t="s">
        <v>141</v>
      </c>
      <c r="F637" s="3" t="s">
        <v>61</v>
      </c>
      <c r="G637" s="3" t="s">
        <v>61</v>
      </c>
      <c r="H637" s="3" t="s">
        <v>61</v>
      </c>
      <c r="I637" s="32">
        <v>44811</v>
      </c>
      <c r="J637" s="3" t="s">
        <v>142</v>
      </c>
      <c r="K637" s="3" t="s">
        <v>235</v>
      </c>
      <c r="M637" s="17">
        <v>262.39999999999998</v>
      </c>
      <c r="N637" s="88">
        <v>273.39999999999998</v>
      </c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  <c r="AA637" s="102"/>
      <c r="AB637" s="102"/>
      <c r="AC637" s="102"/>
      <c r="AD637" s="102"/>
      <c r="AE637" s="102"/>
      <c r="AF637" s="102"/>
      <c r="AG637" s="102"/>
      <c r="AH637" s="102"/>
      <c r="AI637">
        <v>1.242</v>
      </c>
      <c r="AJ637">
        <v>53</v>
      </c>
      <c r="AK637" t="s">
        <v>172</v>
      </c>
      <c r="AL637"/>
      <c r="AM637"/>
      <c r="AN637">
        <v>100</v>
      </c>
      <c r="AO637"/>
      <c r="AP637"/>
      <c r="AQ637"/>
      <c r="AR637"/>
      <c r="AS637"/>
      <c r="AT637" t="s">
        <v>146</v>
      </c>
      <c r="AU637" t="s">
        <v>358</v>
      </c>
    </row>
    <row r="638" spans="1:47" x14ac:dyDescent="0.2">
      <c r="A638" s="29">
        <v>643.00000000000068</v>
      </c>
      <c r="B638">
        <v>137</v>
      </c>
      <c r="C638">
        <v>22.637</v>
      </c>
      <c r="D638" s="31" t="s">
        <v>140</v>
      </c>
      <c r="E638" s="3" t="s">
        <v>141</v>
      </c>
      <c r="F638" s="3" t="s">
        <v>60</v>
      </c>
      <c r="H638" s="3" t="s">
        <v>60</v>
      </c>
      <c r="I638" s="32">
        <v>44811</v>
      </c>
      <c r="J638" s="3" t="s">
        <v>142</v>
      </c>
      <c r="K638" s="3" t="s">
        <v>235</v>
      </c>
      <c r="M638" s="17">
        <v>270.39999999999998</v>
      </c>
      <c r="N638" s="88">
        <v>280.2</v>
      </c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  <c r="AA638" s="102"/>
      <c r="AB638" s="102"/>
      <c r="AC638" s="102"/>
      <c r="AD638" s="102"/>
      <c r="AE638" s="102"/>
      <c r="AF638" s="102"/>
      <c r="AG638" s="102"/>
      <c r="AH638" s="102"/>
      <c r="AI638">
        <v>1.9610000000000001</v>
      </c>
      <c r="AJ638">
        <v>47.9</v>
      </c>
      <c r="AK638" t="s">
        <v>172</v>
      </c>
      <c r="AL638"/>
      <c r="AM638"/>
      <c r="AN638">
        <v>129</v>
      </c>
      <c r="AO638"/>
      <c r="AP638"/>
      <c r="AQ638"/>
      <c r="AR638"/>
      <c r="AS638"/>
      <c r="AT638" t="s">
        <v>146</v>
      </c>
      <c r="AU638" t="s">
        <v>358</v>
      </c>
    </row>
    <row r="639" spans="1:47" x14ac:dyDescent="0.2">
      <c r="A639" s="29">
        <v>643.99999999999841</v>
      </c>
      <c r="B639">
        <v>141</v>
      </c>
      <c r="C639">
        <v>22.638000000000002</v>
      </c>
      <c r="D639" s="31" t="s">
        <v>140</v>
      </c>
      <c r="E639" s="3" t="s">
        <v>141</v>
      </c>
      <c r="F639" s="3" t="s">
        <v>61</v>
      </c>
      <c r="G639" s="3" t="s">
        <v>61</v>
      </c>
      <c r="H639" s="3" t="s">
        <v>61</v>
      </c>
      <c r="I639" s="32">
        <v>44811</v>
      </c>
      <c r="J639" s="3" t="s">
        <v>142</v>
      </c>
      <c r="K639" s="3" t="s">
        <v>235</v>
      </c>
      <c r="M639" s="17">
        <v>266.8</v>
      </c>
      <c r="N639" s="88">
        <v>266.60000000000002</v>
      </c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  <c r="AA639" s="102"/>
      <c r="AB639" s="102"/>
      <c r="AC639" s="102"/>
      <c r="AD639" s="102"/>
      <c r="AE639" s="102"/>
      <c r="AF639" s="102"/>
      <c r="AG639" s="102"/>
      <c r="AH639" s="102"/>
      <c r="AI639">
        <v>1.1399999999999999</v>
      </c>
      <c r="AJ639">
        <v>52.1</v>
      </c>
      <c r="AK639" t="s">
        <v>173</v>
      </c>
      <c r="AL639">
        <v>27</v>
      </c>
      <c r="AM639">
        <v>84</v>
      </c>
      <c r="AN639"/>
      <c r="AO639"/>
      <c r="AP639"/>
      <c r="AQ639"/>
      <c r="AR639"/>
      <c r="AS639"/>
      <c r="AT639" t="s">
        <v>146</v>
      </c>
      <c r="AU639" t="s">
        <v>358</v>
      </c>
    </row>
    <row r="640" spans="1:47" x14ac:dyDescent="0.2">
      <c r="A640" s="29">
        <v>644.99999999999955</v>
      </c>
      <c r="B640">
        <v>146</v>
      </c>
      <c r="C640">
        <v>22.638999999999999</v>
      </c>
      <c r="D640" s="31" t="s">
        <v>140</v>
      </c>
      <c r="E640" s="3" t="s">
        <v>141</v>
      </c>
      <c r="F640" s="3" t="s">
        <v>60</v>
      </c>
      <c r="H640" s="3" t="s">
        <v>60</v>
      </c>
      <c r="I640" s="32">
        <v>44824</v>
      </c>
      <c r="J640" s="3" t="s">
        <v>142</v>
      </c>
      <c r="K640" s="3" t="s">
        <v>235</v>
      </c>
      <c r="M640" s="17">
        <v>266.8</v>
      </c>
      <c r="N640" s="88">
        <v>273.10000000000002</v>
      </c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  <c r="AA640" s="102"/>
      <c r="AB640" s="102"/>
      <c r="AC640" s="102"/>
      <c r="AD640" s="102"/>
      <c r="AE640" s="102"/>
      <c r="AF640" s="102"/>
      <c r="AG640" s="102"/>
      <c r="AH640" s="102"/>
      <c r="AI640">
        <v>1.82</v>
      </c>
      <c r="AJ640">
        <v>36</v>
      </c>
      <c r="AK640" t="s">
        <v>172</v>
      </c>
      <c r="AL640"/>
      <c r="AM640"/>
      <c r="AN640">
        <v>120</v>
      </c>
      <c r="AO640"/>
      <c r="AP640"/>
      <c r="AQ640"/>
      <c r="AR640"/>
      <c r="AS640"/>
      <c r="AT640" t="s">
        <v>146</v>
      </c>
      <c r="AU640" t="s">
        <v>358</v>
      </c>
    </row>
    <row r="641" spans="1:47" x14ac:dyDescent="0.2">
      <c r="A641" s="29">
        <v>646.0000000000008</v>
      </c>
      <c r="B641" s="17" t="s">
        <v>363</v>
      </c>
      <c r="C641" s="5" t="s">
        <v>364</v>
      </c>
      <c r="D641" s="74" t="s">
        <v>179</v>
      </c>
      <c r="E641" t="s">
        <v>180</v>
      </c>
      <c r="F641" t="s">
        <v>181</v>
      </c>
      <c r="G641"/>
      <c r="H641" t="s">
        <v>280</v>
      </c>
      <c r="I641" s="56">
        <v>44826</v>
      </c>
      <c r="J641" s="17" t="s">
        <v>238</v>
      </c>
      <c r="K641" s="17" t="s">
        <v>203</v>
      </c>
      <c r="L641">
        <v>220</v>
      </c>
      <c r="M641"/>
      <c r="N641" s="88">
        <v>220.3</v>
      </c>
      <c r="O641">
        <v>195.24</v>
      </c>
      <c r="P641">
        <v>206.65</v>
      </c>
      <c r="Q641">
        <v>51.6</v>
      </c>
      <c r="R641">
        <v>20.52</v>
      </c>
      <c r="S641">
        <v>130.57</v>
      </c>
      <c r="T641">
        <v>105.82</v>
      </c>
      <c r="U641">
        <v>61.28</v>
      </c>
      <c r="V641">
        <v>43.72</v>
      </c>
      <c r="W641">
        <v>68.33</v>
      </c>
      <c r="X641">
        <v>89.04</v>
      </c>
      <c r="Y641">
        <v>36.36</v>
      </c>
      <c r="Z641">
        <v>94.86</v>
      </c>
      <c r="AA641">
        <v>75.22</v>
      </c>
      <c r="AB641">
        <v>65.17</v>
      </c>
      <c r="AC641">
        <v>18.690000000000001</v>
      </c>
      <c r="AD641">
        <v>46.68</v>
      </c>
      <c r="AE641">
        <v>29.43</v>
      </c>
      <c r="AF641">
        <v>40.83</v>
      </c>
      <c r="AG641">
        <v>33.83</v>
      </c>
      <c r="AH641">
        <v>45.93</v>
      </c>
      <c r="AI641">
        <v>1.1850000000000001</v>
      </c>
      <c r="AJ641"/>
      <c r="AK641"/>
      <c r="AL641">
        <v>44</v>
      </c>
      <c r="AM641"/>
      <c r="AN641"/>
      <c r="AO641">
        <f>19.2-10.6</f>
        <v>8.6</v>
      </c>
      <c r="AP641">
        <f>104.3-10.7</f>
        <v>93.6</v>
      </c>
      <c r="AQ641">
        <f>43.7-10.8</f>
        <v>32.900000000000006</v>
      </c>
      <c r="AR641">
        <v>38.700000000000003</v>
      </c>
      <c r="AS641">
        <v>16.399999999999999</v>
      </c>
      <c r="AT641" t="s">
        <v>147</v>
      </c>
      <c r="AU641" t="s">
        <v>147</v>
      </c>
    </row>
    <row r="642" spans="1:47" x14ac:dyDescent="0.2">
      <c r="A642" s="29">
        <v>646.99999999999841</v>
      </c>
      <c r="B642" s="17" t="s">
        <v>365</v>
      </c>
      <c r="C642">
        <v>22.640999999999998</v>
      </c>
      <c r="D642" s="74" t="s">
        <v>179</v>
      </c>
      <c r="E642" t="s">
        <v>180</v>
      </c>
      <c r="F642" t="s">
        <v>181</v>
      </c>
      <c r="G642"/>
      <c r="H642" t="s">
        <v>280</v>
      </c>
      <c r="I642" s="56">
        <v>44812</v>
      </c>
      <c r="J642" s="17" t="s">
        <v>238</v>
      </c>
      <c r="K642" s="17" t="s">
        <v>203</v>
      </c>
      <c r="L642">
        <v>220</v>
      </c>
      <c r="M642"/>
      <c r="N642" s="88">
        <v>218.6</v>
      </c>
      <c r="O642">
        <v>192.45</v>
      </c>
      <c r="P642">
        <v>196.45</v>
      </c>
      <c r="Q642">
        <v>43.58</v>
      </c>
      <c r="R642">
        <v>25.57</v>
      </c>
      <c r="S642">
        <v>126.16</v>
      </c>
      <c r="T642">
        <v>99.28</v>
      </c>
      <c r="U642">
        <v>63.12</v>
      </c>
      <c r="V642">
        <v>45.8</v>
      </c>
      <c r="W642">
        <v>71.06</v>
      </c>
      <c r="X642">
        <v>85.88</v>
      </c>
      <c r="Y642">
        <v>36.19</v>
      </c>
      <c r="Z642">
        <v>97.31</v>
      </c>
      <c r="AA642">
        <v>78.510000000000005</v>
      </c>
      <c r="AB642">
        <v>74.97</v>
      </c>
      <c r="AC642">
        <v>18.18</v>
      </c>
      <c r="AD642">
        <v>44.93</v>
      </c>
      <c r="AE642">
        <v>34.75</v>
      </c>
      <c r="AF642">
        <v>43.52</v>
      </c>
      <c r="AG642">
        <v>38.479999999999997</v>
      </c>
      <c r="AH642">
        <v>46.6</v>
      </c>
      <c r="AI642">
        <v>1.1519999999999999</v>
      </c>
      <c r="AJ642"/>
      <c r="AK642"/>
      <c r="AL642">
        <v>16</v>
      </c>
      <c r="AM642"/>
      <c r="AN642"/>
      <c r="AO642">
        <f>17-10.7</f>
        <v>6.3000000000000007</v>
      </c>
      <c r="AP642">
        <f>94.7-10</f>
        <v>84.7</v>
      </c>
      <c r="AQ642">
        <f>75.2-10</f>
        <v>65.2</v>
      </c>
      <c r="AR642">
        <v>40.799999999999997</v>
      </c>
      <c r="AS642">
        <v>17.5</v>
      </c>
      <c r="AT642" t="s">
        <v>366</v>
      </c>
      <c r="AU642" t="s">
        <v>147</v>
      </c>
    </row>
    <row r="643" spans="1:47" x14ac:dyDescent="0.2">
      <c r="A643" s="29">
        <v>647.99999999999966</v>
      </c>
      <c r="B643" s="17" t="s">
        <v>367</v>
      </c>
      <c r="C643">
        <v>22.641999999999999</v>
      </c>
      <c r="D643" s="74" t="s">
        <v>179</v>
      </c>
      <c r="E643" t="s">
        <v>180</v>
      </c>
      <c r="F643" t="s">
        <v>181</v>
      </c>
      <c r="G643"/>
      <c r="H643" t="s">
        <v>280</v>
      </c>
      <c r="I643" s="32">
        <v>44794</v>
      </c>
      <c r="J643" s="17" t="s">
        <v>238</v>
      </c>
      <c r="K643" s="17" t="s">
        <v>203</v>
      </c>
      <c r="L643">
        <v>215</v>
      </c>
      <c r="M643"/>
      <c r="N643" s="88">
        <v>213.2</v>
      </c>
      <c r="O643">
        <v>185.27</v>
      </c>
      <c r="P643">
        <v>192.27</v>
      </c>
      <c r="Q643">
        <v>42.56</v>
      </c>
      <c r="R643">
        <v>23.31</v>
      </c>
      <c r="S643">
        <v>123.66</v>
      </c>
      <c r="T643">
        <v>99.6</v>
      </c>
      <c r="U643">
        <v>60.32</v>
      </c>
      <c r="V643">
        <v>44.24</v>
      </c>
      <c r="W643">
        <v>66.56</v>
      </c>
      <c r="X643">
        <v>81.89</v>
      </c>
      <c r="Y643">
        <v>36.01</v>
      </c>
      <c r="Z643">
        <v>93.89</v>
      </c>
      <c r="AA643">
        <v>75.47</v>
      </c>
      <c r="AB643">
        <v>70.59</v>
      </c>
      <c r="AC643">
        <v>16.5</v>
      </c>
      <c r="AD643">
        <v>43.72</v>
      </c>
      <c r="AE643">
        <v>32.72</v>
      </c>
      <c r="AF643">
        <v>40.81</v>
      </c>
      <c r="AG643">
        <v>34.270000000000003</v>
      </c>
      <c r="AH643">
        <v>46.45</v>
      </c>
      <c r="AI643">
        <v>1.079</v>
      </c>
      <c r="AJ643"/>
      <c r="AK643"/>
      <c r="AL643">
        <v>31</v>
      </c>
      <c r="AM643"/>
      <c r="AN643"/>
      <c r="AO643">
        <f>18.6-10.5</f>
        <v>8.1000000000000014</v>
      </c>
      <c r="AP643">
        <f>80.8-10.9</f>
        <v>69.899999999999991</v>
      </c>
      <c r="AQ643">
        <f>71.9-10.6</f>
        <v>61.300000000000004</v>
      </c>
      <c r="AR643">
        <v>35.4</v>
      </c>
      <c r="AS643">
        <v>16.3</v>
      </c>
      <c r="AT643" t="s">
        <v>366</v>
      </c>
      <c r="AU643" t="s">
        <v>147</v>
      </c>
    </row>
    <row r="644" spans="1:47" x14ac:dyDescent="0.2">
      <c r="A644" s="29">
        <v>649.00000000000091</v>
      </c>
      <c r="B644" s="17" t="s">
        <v>368</v>
      </c>
      <c r="C644">
        <v>22.643000000000001</v>
      </c>
      <c r="D644" s="74" t="s">
        <v>179</v>
      </c>
      <c r="E644" t="s">
        <v>180</v>
      </c>
      <c r="F644" t="s">
        <v>181</v>
      </c>
      <c r="G644"/>
      <c r="H644" t="s">
        <v>280</v>
      </c>
      <c r="I644" s="56">
        <v>44826</v>
      </c>
      <c r="J644" s="17" t="s">
        <v>238</v>
      </c>
      <c r="K644" s="17" t="s">
        <v>203</v>
      </c>
      <c r="L644">
        <v>220</v>
      </c>
      <c r="M644"/>
      <c r="N644" s="88">
        <v>221</v>
      </c>
      <c r="O644">
        <v>181.97</v>
      </c>
      <c r="P644">
        <v>189.39</v>
      </c>
      <c r="Q644">
        <v>43.73</v>
      </c>
      <c r="R644">
        <v>20.5</v>
      </c>
      <c r="S644">
        <v>120.8</v>
      </c>
      <c r="T644">
        <v>94.54</v>
      </c>
      <c r="U644">
        <v>64.680000000000007</v>
      </c>
      <c r="V644">
        <v>47.13</v>
      </c>
      <c r="W644">
        <v>70.56</v>
      </c>
      <c r="X644">
        <v>87.92</v>
      </c>
      <c r="Y644">
        <v>38.65</v>
      </c>
      <c r="Z644">
        <v>96.53</v>
      </c>
      <c r="AA644">
        <v>78.33</v>
      </c>
      <c r="AB644">
        <v>74.47</v>
      </c>
      <c r="AC644">
        <v>17.96</v>
      </c>
      <c r="AD644">
        <v>45.03</v>
      </c>
      <c r="AE644">
        <v>32.340000000000003</v>
      </c>
      <c r="AF644">
        <v>42.55</v>
      </c>
      <c r="AG644">
        <v>32.21</v>
      </c>
      <c r="AH644">
        <v>46.19</v>
      </c>
      <c r="AI644">
        <v>1.1180000000000001</v>
      </c>
      <c r="AJ644"/>
      <c r="AK644"/>
      <c r="AL644">
        <v>18</v>
      </c>
      <c r="AM644"/>
      <c r="AN644"/>
      <c r="AO644">
        <f>20.5-10.3</f>
        <v>10.199999999999999</v>
      </c>
      <c r="AP644">
        <f>99.9-10.7</f>
        <v>89.2</v>
      </c>
      <c r="AQ644">
        <f>68.5-10.7</f>
        <v>57.8</v>
      </c>
      <c r="AR644">
        <v>34.4</v>
      </c>
      <c r="AS644">
        <v>17.7</v>
      </c>
      <c r="AT644" t="s">
        <v>366</v>
      </c>
      <c r="AU644" t="s">
        <v>147</v>
      </c>
    </row>
    <row r="645" spans="1:47" x14ac:dyDescent="0.2">
      <c r="A645" s="29">
        <v>649.99999999999864</v>
      </c>
      <c r="B645" s="17" t="s">
        <v>369</v>
      </c>
      <c r="C645">
        <v>22.643999999999998</v>
      </c>
      <c r="D645" s="74" t="s">
        <v>179</v>
      </c>
      <c r="E645" t="s">
        <v>180</v>
      </c>
      <c r="F645" t="s">
        <v>181</v>
      </c>
      <c r="G645"/>
      <c r="H645" t="s">
        <v>182</v>
      </c>
      <c r="I645" s="32">
        <v>44802</v>
      </c>
      <c r="J645" s="17" t="s">
        <v>238</v>
      </c>
      <c r="K645" s="17" t="s">
        <v>203</v>
      </c>
      <c r="L645">
        <v>225</v>
      </c>
      <c r="M645"/>
      <c r="N645" s="92"/>
      <c r="O645">
        <v>196.29</v>
      </c>
      <c r="P645">
        <v>206.67</v>
      </c>
      <c r="Q645">
        <v>48.82</v>
      </c>
      <c r="R645">
        <v>26.2</v>
      </c>
      <c r="S645">
        <v>127.45</v>
      </c>
      <c r="T645">
        <v>105.83</v>
      </c>
      <c r="U645">
        <v>61.45</v>
      </c>
      <c r="V645">
        <v>46.49</v>
      </c>
      <c r="W645">
        <v>67</v>
      </c>
      <c r="X645">
        <v>84.47</v>
      </c>
      <c r="Y645">
        <v>40.19</v>
      </c>
      <c r="Z645">
        <v>93.47</v>
      </c>
      <c r="AA645">
        <v>72.09</v>
      </c>
      <c r="AB645">
        <v>66.040000000000006</v>
      </c>
      <c r="AC645">
        <v>18.309999999999999</v>
      </c>
      <c r="AD645">
        <v>48.99</v>
      </c>
      <c r="AE645">
        <v>32.369999999999997</v>
      </c>
      <c r="AF645">
        <v>42.63</v>
      </c>
      <c r="AG645">
        <v>30.58</v>
      </c>
      <c r="AH645">
        <v>45.69</v>
      </c>
      <c r="AI645">
        <v>1.228</v>
      </c>
      <c r="AJ645"/>
      <c r="AK645"/>
      <c r="AL645"/>
      <c r="AM645"/>
      <c r="AN645"/>
      <c r="AO645"/>
      <c r="AP645"/>
      <c r="AQ645"/>
      <c r="AR645"/>
      <c r="AS645"/>
      <c r="AT645" t="s">
        <v>366</v>
      </c>
      <c r="AU645" t="s">
        <v>147</v>
      </c>
    </row>
    <row r="646" spans="1:47" x14ac:dyDescent="0.2">
      <c r="A646" s="29">
        <v>652.00000000000102</v>
      </c>
      <c r="B646" s="17" t="s">
        <v>370</v>
      </c>
      <c r="C646">
        <v>22.645</v>
      </c>
      <c r="D646" s="74" t="s">
        <v>179</v>
      </c>
      <c r="E646" t="s">
        <v>180</v>
      </c>
      <c r="F646" t="s">
        <v>181</v>
      </c>
      <c r="G646"/>
      <c r="H646" t="s">
        <v>280</v>
      </c>
      <c r="I646" s="56">
        <v>44814</v>
      </c>
      <c r="J646" s="17" t="s">
        <v>238</v>
      </c>
      <c r="K646" s="17" t="s">
        <v>203</v>
      </c>
      <c r="L646">
        <v>215</v>
      </c>
      <c r="M646"/>
      <c r="N646" s="88">
        <v>215.2</v>
      </c>
      <c r="O646">
        <v>185.18</v>
      </c>
      <c r="P646">
        <v>189.23</v>
      </c>
      <c r="Q646">
        <v>43.19</v>
      </c>
      <c r="R646">
        <v>20.39</v>
      </c>
      <c r="S646">
        <v>124.22</v>
      </c>
      <c r="T646">
        <v>98.43</v>
      </c>
      <c r="U646">
        <v>60.51</v>
      </c>
      <c r="V646">
        <v>45.05</v>
      </c>
      <c r="W646">
        <v>67.84</v>
      </c>
      <c r="X646">
        <v>83.67</v>
      </c>
      <c r="Y646">
        <v>38.74</v>
      </c>
      <c r="Z646">
        <v>95.25</v>
      </c>
      <c r="AA646">
        <v>76.209999999999994</v>
      </c>
      <c r="AB646">
        <v>71.58</v>
      </c>
      <c r="AC646">
        <v>15.27</v>
      </c>
      <c r="AD646">
        <v>43.78</v>
      </c>
      <c r="AE646">
        <v>30.37</v>
      </c>
      <c r="AF646">
        <v>40.97</v>
      </c>
      <c r="AG646">
        <v>31.07</v>
      </c>
      <c r="AH646">
        <v>46.57</v>
      </c>
      <c r="AI646">
        <v>1.079</v>
      </c>
      <c r="AJ646"/>
      <c r="AK646"/>
      <c r="AL646">
        <v>25</v>
      </c>
      <c r="AM646"/>
      <c r="AN646"/>
      <c r="AO646">
        <f>19.8-11</f>
        <v>8.8000000000000007</v>
      </c>
      <c r="AP646">
        <f>90.2-11.8</f>
        <v>78.400000000000006</v>
      </c>
      <c r="AQ646">
        <f>73.3-10.2</f>
        <v>63.099999999999994</v>
      </c>
      <c r="AR646">
        <v>37.799999999999997</v>
      </c>
      <c r="AS646">
        <v>16.3</v>
      </c>
      <c r="AT646" t="s">
        <v>147</v>
      </c>
      <c r="AU646" t="s">
        <v>147</v>
      </c>
    </row>
    <row r="647" spans="1:47" x14ac:dyDescent="0.2">
      <c r="A647" s="29">
        <v>652.99999999999864</v>
      </c>
      <c r="B647" s="17" t="s">
        <v>371</v>
      </c>
      <c r="C647">
        <v>22.646000000000001</v>
      </c>
      <c r="D647" s="74" t="s">
        <v>179</v>
      </c>
      <c r="E647" t="s">
        <v>180</v>
      </c>
      <c r="F647" t="s">
        <v>181</v>
      </c>
      <c r="G647"/>
      <c r="H647" t="s">
        <v>280</v>
      </c>
      <c r="I647" s="32">
        <v>44765</v>
      </c>
      <c r="J647" s="17" t="s">
        <v>356</v>
      </c>
      <c r="K647" s="17" t="s">
        <v>203</v>
      </c>
      <c r="L647">
        <v>220</v>
      </c>
      <c r="M647"/>
      <c r="N647" s="88">
        <v>220</v>
      </c>
      <c r="O647" s="58">
        <v>174.9</v>
      </c>
      <c r="P647" s="58">
        <v>182.98</v>
      </c>
      <c r="Q647" s="58">
        <v>39.549999999999997</v>
      </c>
      <c r="R647" s="58">
        <v>14.84</v>
      </c>
      <c r="S647" s="58">
        <v>121.34</v>
      </c>
      <c r="T647" s="58">
        <v>97.78</v>
      </c>
      <c r="U647" s="58">
        <v>64.739999999999995</v>
      </c>
      <c r="V647" s="58">
        <v>42.83</v>
      </c>
      <c r="W647" s="58">
        <v>68.67</v>
      </c>
      <c r="X647" s="58">
        <v>84.34</v>
      </c>
      <c r="Y647" s="58">
        <v>36.799999999999997</v>
      </c>
      <c r="Z647" s="58">
        <v>94.97</v>
      </c>
      <c r="AA647" s="58">
        <v>75.739999999999995</v>
      </c>
      <c r="AB647" s="58">
        <v>75.34</v>
      </c>
      <c r="AC647" s="58">
        <v>17.11</v>
      </c>
      <c r="AD647" s="58">
        <v>44.84</v>
      </c>
      <c r="AE647" s="58">
        <v>30.31</v>
      </c>
      <c r="AF647" s="58">
        <v>39.340000000000003</v>
      </c>
      <c r="AG647" s="58">
        <v>31.1</v>
      </c>
      <c r="AH647" s="58">
        <v>40.950000000000003</v>
      </c>
      <c r="AI647" s="58">
        <v>1.008</v>
      </c>
      <c r="AJ647"/>
      <c r="AK647"/>
      <c r="AL647" s="58">
        <v>29</v>
      </c>
      <c r="AM647"/>
      <c r="AN647"/>
      <c r="AO647">
        <f>16.8-10.7</f>
        <v>6.1000000000000014</v>
      </c>
      <c r="AP647">
        <f>89.6-10.7</f>
        <v>78.899999999999991</v>
      </c>
      <c r="AQ647" s="61"/>
      <c r="AR647">
        <v>37.799999999999997</v>
      </c>
      <c r="AS647">
        <v>17</v>
      </c>
      <c r="AT647" t="s">
        <v>372</v>
      </c>
      <c r="AU647" t="s">
        <v>147</v>
      </c>
    </row>
    <row r="648" spans="1:47" x14ac:dyDescent="0.2">
      <c r="A648" s="29">
        <v>653.99999999999989</v>
      </c>
      <c r="B648" s="17" t="s">
        <v>373</v>
      </c>
      <c r="C648">
        <v>22.646999999999998</v>
      </c>
      <c r="D648" s="74" t="s">
        <v>179</v>
      </c>
      <c r="E648" t="s">
        <v>180</v>
      </c>
      <c r="F648" t="s">
        <v>181</v>
      </c>
      <c r="G648"/>
      <c r="H648" t="s">
        <v>280</v>
      </c>
      <c r="I648" s="32">
        <v>44794</v>
      </c>
      <c r="J648" s="17" t="s">
        <v>238</v>
      </c>
      <c r="K648" s="17" t="s">
        <v>203</v>
      </c>
      <c r="L648">
        <v>225</v>
      </c>
      <c r="M648"/>
      <c r="N648" s="88">
        <v>224</v>
      </c>
      <c r="O648">
        <v>182.37</v>
      </c>
      <c r="P648">
        <v>193.34</v>
      </c>
      <c r="Q648">
        <v>39.090000000000003</v>
      </c>
      <c r="R648">
        <v>24.03</v>
      </c>
      <c r="S648">
        <v>124.57</v>
      </c>
      <c r="T648">
        <v>99.95</v>
      </c>
      <c r="U648">
        <v>63.97</v>
      </c>
      <c r="V648">
        <v>46.92</v>
      </c>
      <c r="W648">
        <v>71.430000000000007</v>
      </c>
      <c r="X648">
        <v>87.83</v>
      </c>
      <c r="Y648">
        <v>37.42</v>
      </c>
      <c r="Z648">
        <v>96.13</v>
      </c>
      <c r="AA648">
        <v>77.13</v>
      </c>
      <c r="AB648">
        <v>73.39</v>
      </c>
      <c r="AC648">
        <v>15.09</v>
      </c>
      <c r="AD648">
        <v>45.42</v>
      </c>
      <c r="AE648">
        <v>34.54</v>
      </c>
      <c r="AF648">
        <v>41.19</v>
      </c>
      <c r="AG648">
        <v>36.44</v>
      </c>
      <c r="AH648">
        <v>45.07</v>
      </c>
      <c r="AI648">
        <v>1.2250000000000001</v>
      </c>
      <c r="AJ648"/>
      <c r="AK648"/>
      <c r="AL648" s="61"/>
      <c r="AM648"/>
      <c r="AN648"/>
      <c r="AO648">
        <f>17.2-10.5</f>
        <v>6.6999999999999993</v>
      </c>
      <c r="AP648">
        <f>102.7-10.6</f>
        <v>92.100000000000009</v>
      </c>
      <c r="AQ648">
        <f>71.2-10.8</f>
        <v>60.400000000000006</v>
      </c>
      <c r="AR648">
        <v>41</v>
      </c>
      <c r="AS648">
        <v>18.2</v>
      </c>
      <c r="AT648" t="s">
        <v>372</v>
      </c>
      <c r="AU648" t="s">
        <v>147</v>
      </c>
    </row>
    <row r="649" spans="1:47" x14ac:dyDescent="0.2">
      <c r="A649" s="29">
        <v>655.00000000000114</v>
      </c>
      <c r="B649" s="17">
        <v>418</v>
      </c>
      <c r="C649">
        <v>22.648</v>
      </c>
      <c r="D649" s="78" t="s">
        <v>168</v>
      </c>
      <c r="E649" s="17" t="s">
        <v>232</v>
      </c>
      <c r="F649" s="17" t="s">
        <v>31</v>
      </c>
      <c r="G649" s="17" t="s">
        <v>31</v>
      </c>
      <c r="H649" s="17"/>
      <c r="I649" s="68">
        <v>44760</v>
      </c>
      <c r="J649" s="17" t="s">
        <v>142</v>
      </c>
      <c r="K649" s="17" t="s">
        <v>203</v>
      </c>
      <c r="L649"/>
      <c r="M649"/>
      <c r="N649" s="88">
        <v>145.19999999999999</v>
      </c>
      <c r="O649">
        <v>145.43</v>
      </c>
      <c r="P649">
        <v>149.44</v>
      </c>
      <c r="Q649">
        <v>37.19</v>
      </c>
      <c r="R649">
        <v>11.03</v>
      </c>
      <c r="S649">
        <v>99.02</v>
      </c>
      <c r="T649">
        <v>83.02</v>
      </c>
      <c r="U649">
        <v>62.22</v>
      </c>
      <c r="V649">
        <v>47.26</v>
      </c>
      <c r="W649">
        <v>70.27</v>
      </c>
      <c r="X649">
        <v>83.08</v>
      </c>
      <c r="Y649">
        <v>35.79</v>
      </c>
      <c r="Z649">
        <v>91.65</v>
      </c>
      <c r="AA649">
        <v>69.709999999999994</v>
      </c>
      <c r="AB649">
        <v>67.930000000000007</v>
      </c>
      <c r="AC649">
        <v>27.05</v>
      </c>
      <c r="AD649">
        <v>40.75</v>
      </c>
      <c r="AE649">
        <v>29.76</v>
      </c>
      <c r="AF649">
        <v>30.08</v>
      </c>
      <c r="AG649">
        <v>32.409999999999997</v>
      </c>
      <c r="AH649">
        <v>29.86</v>
      </c>
      <c r="AI649">
        <v>1.5369999999999999</v>
      </c>
      <c r="AJ649"/>
      <c r="AK649"/>
      <c r="AL649">
        <v>4</v>
      </c>
      <c r="AM649"/>
      <c r="AN649"/>
      <c r="AO649">
        <v>5.4</v>
      </c>
      <c r="AP649">
        <v>51.6</v>
      </c>
      <c r="AQ649">
        <f>48.9</f>
        <v>48.9</v>
      </c>
      <c r="AR649">
        <v>32.6</v>
      </c>
      <c r="AS649">
        <v>14.1</v>
      </c>
      <c r="AT649" t="s">
        <v>147</v>
      </c>
      <c r="AU649" t="s">
        <v>147</v>
      </c>
    </row>
    <row r="650" spans="1:47" x14ac:dyDescent="0.2">
      <c r="A650" s="29">
        <v>655.99999999999886</v>
      </c>
      <c r="B650" s="17" t="s">
        <v>374</v>
      </c>
      <c r="C650" s="18">
        <v>22.649000000000001</v>
      </c>
      <c r="D650" s="74" t="s">
        <v>179</v>
      </c>
      <c r="E650" t="s">
        <v>180</v>
      </c>
      <c r="F650" t="s">
        <v>181</v>
      </c>
      <c r="G650"/>
      <c r="H650" t="s">
        <v>268</v>
      </c>
      <c r="I650" s="32">
        <v>44770</v>
      </c>
      <c r="J650" s="17" t="s">
        <v>356</v>
      </c>
      <c r="K650" s="17" t="s">
        <v>203</v>
      </c>
      <c r="L650">
        <v>215</v>
      </c>
      <c r="M650"/>
      <c r="N650" s="88">
        <v>216</v>
      </c>
      <c r="O650" s="58">
        <v>177.32</v>
      </c>
      <c r="P650" s="58">
        <v>193.26</v>
      </c>
      <c r="Q650" s="58">
        <v>37.54</v>
      </c>
      <c r="R650" s="58">
        <v>22.89</v>
      </c>
      <c r="S650" s="58">
        <v>123.33</v>
      </c>
      <c r="T650" s="58">
        <v>98.72</v>
      </c>
      <c r="U650" s="58">
        <v>63.73</v>
      </c>
      <c r="V650" s="58">
        <v>46.29</v>
      </c>
      <c r="W650" s="58">
        <v>70.62</v>
      </c>
      <c r="X650" s="58">
        <v>83.3</v>
      </c>
      <c r="Y650" s="58">
        <v>37.159999999999997</v>
      </c>
      <c r="Z650" s="58">
        <v>92.72</v>
      </c>
      <c r="AA650" s="58">
        <v>75.73</v>
      </c>
      <c r="AB650" s="58">
        <v>75.099999999999994</v>
      </c>
      <c r="AC650" s="58">
        <v>16.29</v>
      </c>
      <c r="AD650" s="58">
        <v>45.45</v>
      </c>
      <c r="AE650" s="58">
        <v>31.99</v>
      </c>
      <c r="AF650" s="58">
        <v>38.49</v>
      </c>
      <c r="AG650" s="58">
        <v>36.9</v>
      </c>
      <c r="AH650" s="58">
        <v>41.03</v>
      </c>
      <c r="AI650" s="58">
        <v>1.119</v>
      </c>
      <c r="AJ650"/>
      <c r="AK650"/>
      <c r="AL650" s="58">
        <v>26</v>
      </c>
      <c r="AM650"/>
      <c r="AN650"/>
      <c r="AO650">
        <v>7.5</v>
      </c>
      <c r="AP650">
        <v>70.599999999999994</v>
      </c>
      <c r="AQ650">
        <v>70.599999999999994</v>
      </c>
      <c r="AR650" s="18">
        <v>39.5</v>
      </c>
      <c r="AS650" s="18">
        <v>16.399999999999999</v>
      </c>
      <c r="AT650" s="18" t="s">
        <v>147</v>
      </c>
      <c r="AU650" s="18" t="s">
        <v>147</v>
      </c>
    </row>
    <row r="651" spans="1:47" x14ac:dyDescent="0.2">
      <c r="A651" s="29">
        <v>657</v>
      </c>
      <c r="B651" s="17" t="s">
        <v>375</v>
      </c>
      <c r="C651" s="5" t="s">
        <v>376</v>
      </c>
      <c r="D651" s="74" t="s">
        <v>179</v>
      </c>
      <c r="E651" t="s">
        <v>180</v>
      </c>
      <c r="F651" t="s">
        <v>181</v>
      </c>
      <c r="G651"/>
      <c r="H651" t="s">
        <v>280</v>
      </c>
      <c r="I651" s="32">
        <v>44765</v>
      </c>
      <c r="J651" s="17" t="s">
        <v>238</v>
      </c>
      <c r="K651" s="17" t="s">
        <v>203</v>
      </c>
      <c r="L651">
        <v>220</v>
      </c>
      <c r="M651"/>
      <c r="N651" s="88">
        <v>219</v>
      </c>
      <c r="O651" s="58">
        <v>175.31</v>
      </c>
      <c r="P651" s="58">
        <v>187.21</v>
      </c>
      <c r="Q651" s="58">
        <v>38.53</v>
      </c>
      <c r="R651" s="58">
        <v>21.11</v>
      </c>
      <c r="S651" s="58">
        <v>122.42</v>
      </c>
      <c r="T651" s="58">
        <v>100.38</v>
      </c>
      <c r="U651" s="58">
        <v>60.9</v>
      </c>
      <c r="V651" s="58">
        <v>45.23</v>
      </c>
      <c r="W651" s="58">
        <v>68.819999999999993</v>
      </c>
      <c r="X651" s="58">
        <v>81.99</v>
      </c>
      <c r="Y651" s="58">
        <v>38.9</v>
      </c>
      <c r="Z651" s="58">
        <v>92.93</v>
      </c>
      <c r="AA651" s="58">
        <v>75.12</v>
      </c>
      <c r="AB651" s="58">
        <v>70.849999999999994</v>
      </c>
      <c r="AC651" s="58">
        <v>14.07</v>
      </c>
      <c r="AD651" s="58">
        <v>44.93</v>
      </c>
      <c r="AE651" s="58">
        <v>31.18</v>
      </c>
      <c r="AF651" s="58">
        <v>38.01</v>
      </c>
      <c r="AG651" s="58">
        <v>34.42</v>
      </c>
      <c r="AH651" s="58">
        <v>41.08</v>
      </c>
      <c r="AI651" s="58">
        <v>1.0449999999999999</v>
      </c>
      <c r="AJ651"/>
      <c r="AK651"/>
      <c r="AL651">
        <f>23+4.5+2</f>
        <v>29.5</v>
      </c>
      <c r="AM651"/>
      <c r="AN651"/>
      <c r="AO651">
        <v>6.4</v>
      </c>
      <c r="AP651">
        <v>75.900000000000006</v>
      </c>
      <c r="AQ651">
        <v>63.3</v>
      </c>
      <c r="AR651" s="18">
        <v>40.299999999999997</v>
      </c>
      <c r="AS651" s="18">
        <v>17</v>
      </c>
      <c r="AT651" s="18" t="s">
        <v>147</v>
      </c>
      <c r="AU651" s="18" t="s">
        <v>147</v>
      </c>
    </row>
    <row r="652" spans="1:47" x14ac:dyDescent="0.2">
      <c r="A652" s="29">
        <v>658.00000000000125</v>
      </c>
      <c r="B652" s="17" t="s">
        <v>377</v>
      </c>
      <c r="C652" s="18">
        <v>22.651</v>
      </c>
      <c r="D652" s="74" t="s">
        <v>179</v>
      </c>
      <c r="E652" t="s">
        <v>180</v>
      </c>
      <c r="F652" t="s">
        <v>181</v>
      </c>
      <c r="G652"/>
      <c r="H652" t="s">
        <v>182</v>
      </c>
      <c r="I652" s="32">
        <v>44770</v>
      </c>
      <c r="J652" s="17" t="s">
        <v>356</v>
      </c>
      <c r="K652" s="17" t="s">
        <v>203</v>
      </c>
      <c r="L652">
        <v>230</v>
      </c>
      <c r="M652"/>
      <c r="N652" s="88">
        <v>212.9</v>
      </c>
      <c r="O652" s="58">
        <v>195.49</v>
      </c>
      <c r="P652" s="58">
        <v>206.66</v>
      </c>
      <c r="Q652" s="58">
        <v>50.68</v>
      </c>
      <c r="R652" s="58">
        <v>22.96</v>
      </c>
      <c r="S652" s="58">
        <v>125.96</v>
      </c>
      <c r="T652" s="58">
        <v>100.43</v>
      </c>
      <c r="U652" s="58">
        <v>56.89</v>
      </c>
      <c r="V652" s="58">
        <v>42.16</v>
      </c>
      <c r="W652" s="58">
        <v>65.84</v>
      </c>
      <c r="X652" s="58">
        <v>84</v>
      </c>
      <c r="Y652" s="58">
        <v>39.659999999999997</v>
      </c>
      <c r="Z652" s="58">
        <v>93.45</v>
      </c>
      <c r="AA652" s="58">
        <v>71.23</v>
      </c>
      <c r="AB652" s="58">
        <v>64.930000000000007</v>
      </c>
      <c r="AC652" s="58">
        <v>15.32</v>
      </c>
      <c r="AD652" s="58">
        <v>49.53</v>
      </c>
      <c r="AE652" s="58">
        <v>33.840000000000003</v>
      </c>
      <c r="AF652" s="58">
        <v>40.01</v>
      </c>
      <c r="AG652" s="58">
        <v>31.86</v>
      </c>
      <c r="AH652" s="58">
        <v>43.41</v>
      </c>
      <c r="AI652" s="58">
        <v>1.444</v>
      </c>
      <c r="AJ652"/>
      <c r="AK652"/>
      <c r="AL652" s="61"/>
      <c r="AM652"/>
      <c r="AN652" s="18"/>
      <c r="AO652" s="18">
        <v>10.7</v>
      </c>
      <c r="AP652" s="18">
        <v>27.6</v>
      </c>
      <c r="AQ652" s="18">
        <f>118.8+1.3</f>
        <v>120.1</v>
      </c>
      <c r="AR652" s="18">
        <v>49.1</v>
      </c>
      <c r="AS652" s="18">
        <v>20.399999999999999</v>
      </c>
      <c r="AT652" s="18" t="s">
        <v>147</v>
      </c>
      <c r="AU652" s="18" t="s">
        <v>147</v>
      </c>
    </row>
    <row r="653" spans="1:47" x14ac:dyDescent="0.2">
      <c r="A653" s="29">
        <v>658.99999999999886</v>
      </c>
      <c r="B653" s="28" t="s">
        <v>378</v>
      </c>
      <c r="C653" s="18">
        <v>22.652000000000001</v>
      </c>
      <c r="D653" s="105" t="s">
        <v>179</v>
      </c>
      <c r="E653" s="18" t="s">
        <v>180</v>
      </c>
      <c r="F653" t="s">
        <v>181</v>
      </c>
      <c r="G653" s="18"/>
      <c r="H653" t="s">
        <v>268</v>
      </c>
      <c r="I653" s="76">
        <v>44770</v>
      </c>
      <c r="J653" s="28" t="s">
        <v>356</v>
      </c>
      <c r="K653" s="28" t="s">
        <v>203</v>
      </c>
      <c r="L653" s="18">
        <v>220</v>
      </c>
      <c r="M653" s="18"/>
      <c r="N653" s="90">
        <v>222.7</v>
      </c>
      <c r="O653" s="18">
        <v>182.35</v>
      </c>
      <c r="P653" s="18">
        <v>194.09</v>
      </c>
      <c r="Q653" s="18">
        <v>37.96</v>
      </c>
      <c r="R653" s="18">
        <v>23.53</v>
      </c>
      <c r="S653" s="18">
        <v>126.62</v>
      </c>
      <c r="T653" s="18">
        <v>102.48</v>
      </c>
      <c r="U653" s="18">
        <v>66.61</v>
      </c>
      <c r="V653" s="18">
        <v>46.11</v>
      </c>
      <c r="W653" s="18">
        <v>73.3</v>
      </c>
      <c r="X653" s="18">
        <v>88.31</v>
      </c>
      <c r="Y653" s="18">
        <v>39.47</v>
      </c>
      <c r="Z653" s="18">
        <v>94.98</v>
      </c>
      <c r="AA653" s="18">
        <v>76.16</v>
      </c>
      <c r="AB653" s="18">
        <v>74.63</v>
      </c>
      <c r="AC653" s="18">
        <v>15.27</v>
      </c>
      <c r="AD653" s="18">
        <v>42.77</v>
      </c>
      <c r="AE653" s="18">
        <v>34.369999999999997</v>
      </c>
      <c r="AF653" s="18">
        <v>39.81</v>
      </c>
      <c r="AG653" s="18">
        <v>38.49</v>
      </c>
      <c r="AH653" s="18">
        <v>40.89</v>
      </c>
      <c r="AI653" s="18">
        <v>1.091</v>
      </c>
      <c r="AJ653" s="18"/>
      <c r="AK653" s="18"/>
      <c r="AL653" s="18">
        <v>26</v>
      </c>
      <c r="AM653" s="18"/>
      <c r="AN653" s="18"/>
      <c r="AO653" s="18">
        <f>18.7-10.6</f>
        <v>8.1</v>
      </c>
      <c r="AP653" s="18">
        <f>84.9-10.7</f>
        <v>74.2</v>
      </c>
      <c r="AQ653" s="18">
        <f>82.4-10.8</f>
        <v>71.600000000000009</v>
      </c>
      <c r="AR653" s="18">
        <v>41</v>
      </c>
      <c r="AS653" s="18">
        <v>17.7</v>
      </c>
      <c r="AT653" s="18" t="s">
        <v>147</v>
      </c>
      <c r="AU653" s="18" t="s">
        <v>147</v>
      </c>
    </row>
    <row r="654" spans="1:47" x14ac:dyDescent="0.2">
      <c r="A654" s="29">
        <v>660.00000000000011</v>
      </c>
      <c r="B654" s="28" t="s">
        <v>379</v>
      </c>
      <c r="C654" s="18">
        <v>22.652999999999999</v>
      </c>
      <c r="D654" s="105" t="s">
        <v>179</v>
      </c>
      <c r="E654" s="18" t="s">
        <v>180</v>
      </c>
      <c r="F654" t="s">
        <v>181</v>
      </c>
      <c r="G654" s="18"/>
      <c r="H654" t="s">
        <v>280</v>
      </c>
      <c r="I654" s="76">
        <v>44749</v>
      </c>
      <c r="J654" s="28" t="s">
        <v>238</v>
      </c>
      <c r="K654" s="28" t="s">
        <v>203</v>
      </c>
      <c r="L654" s="18">
        <v>220</v>
      </c>
      <c r="M654" s="18"/>
      <c r="N654" s="90">
        <v>219.8</v>
      </c>
      <c r="O654" s="18">
        <v>195.73</v>
      </c>
      <c r="P654" s="18">
        <v>205.52</v>
      </c>
      <c r="Q654" s="18">
        <v>48.27</v>
      </c>
      <c r="R654" s="18">
        <v>25.68</v>
      </c>
      <c r="S654" s="18">
        <v>129.46</v>
      </c>
      <c r="T654" s="18">
        <v>105.95</v>
      </c>
      <c r="U654" s="18">
        <v>56.43</v>
      </c>
      <c r="V654" s="18">
        <v>43.93</v>
      </c>
      <c r="W654" s="18">
        <v>67.66</v>
      </c>
      <c r="X654" s="18">
        <v>83.18</v>
      </c>
      <c r="Y654" s="18">
        <v>38.32</v>
      </c>
      <c r="Z654" s="18">
        <v>90.99</v>
      </c>
      <c r="AA654" s="18">
        <v>71.47</v>
      </c>
      <c r="AB654" s="18">
        <v>64.42</v>
      </c>
      <c r="AC654" s="18">
        <v>15.84</v>
      </c>
      <c r="AD654" s="18">
        <v>48.81</v>
      </c>
      <c r="AE654" s="18">
        <v>32.340000000000003</v>
      </c>
      <c r="AF654" s="18">
        <v>41.32</v>
      </c>
      <c r="AG654" s="18">
        <v>36.76</v>
      </c>
      <c r="AH654" s="18">
        <v>44.57</v>
      </c>
      <c r="AI654" s="18">
        <v>1.2050000000000001</v>
      </c>
      <c r="AJ654" s="18"/>
      <c r="AK654" s="18"/>
      <c r="AL654" s="18">
        <v>29</v>
      </c>
      <c r="AM654" s="18"/>
      <c r="AN654" s="18"/>
      <c r="AO654" s="18">
        <f>22.5-10.8</f>
        <v>11.7</v>
      </c>
      <c r="AP654" s="18">
        <f>73.6-10.8</f>
        <v>62.8</v>
      </c>
      <c r="AQ654" s="18">
        <f>82.1-10.7</f>
        <v>71.399999999999991</v>
      </c>
      <c r="AR654" s="18">
        <v>42.7</v>
      </c>
      <c r="AS654" s="18">
        <v>18.7</v>
      </c>
      <c r="AT654" s="18" t="s">
        <v>310</v>
      </c>
      <c r="AU654" s="18" t="s">
        <v>147</v>
      </c>
    </row>
    <row r="655" spans="1:47" x14ac:dyDescent="0.2">
      <c r="A655" s="29">
        <v>661.00000000000136</v>
      </c>
      <c r="B655" s="28" t="s">
        <v>380</v>
      </c>
      <c r="C655" s="18">
        <v>22.654</v>
      </c>
      <c r="D655" s="105" t="s">
        <v>179</v>
      </c>
      <c r="E655" s="18" t="s">
        <v>180</v>
      </c>
      <c r="F655" t="s">
        <v>181</v>
      </c>
      <c r="G655" s="18"/>
      <c r="H655" t="s">
        <v>182</v>
      </c>
      <c r="I655" s="76">
        <v>44794</v>
      </c>
      <c r="J655" s="28" t="s">
        <v>238</v>
      </c>
      <c r="K655" s="28" t="s">
        <v>203</v>
      </c>
      <c r="L655" s="18">
        <v>230</v>
      </c>
      <c r="M655" s="18"/>
      <c r="N655" s="90">
        <v>228.3</v>
      </c>
      <c r="O655" s="18">
        <v>199.62</v>
      </c>
      <c r="P655" s="18">
        <v>206.66</v>
      </c>
      <c r="Q655" s="18">
        <v>46.5</v>
      </c>
      <c r="R655" s="18">
        <v>24.07</v>
      </c>
      <c r="S655" s="18">
        <v>130.08000000000001</v>
      </c>
      <c r="T655" s="18">
        <v>104.29</v>
      </c>
      <c r="U655" s="18">
        <v>56.86</v>
      </c>
      <c r="V655" s="18">
        <v>46.78</v>
      </c>
      <c r="W655" s="18">
        <v>64.400000000000006</v>
      </c>
      <c r="X655" s="18">
        <v>81.84</v>
      </c>
      <c r="Y655" s="18">
        <v>37.22</v>
      </c>
      <c r="Z655" s="18">
        <v>90.85</v>
      </c>
      <c r="AA655" s="18">
        <v>71.400000000000006</v>
      </c>
      <c r="AB655" s="18">
        <v>65.23</v>
      </c>
      <c r="AC655" s="18">
        <v>17.100000000000001</v>
      </c>
      <c r="AD655" s="18">
        <v>49.54</v>
      </c>
      <c r="AE655" s="18">
        <v>32.1</v>
      </c>
      <c r="AF655" s="18">
        <v>42.32</v>
      </c>
      <c r="AG655" s="18">
        <v>36.14</v>
      </c>
      <c r="AH655" s="18">
        <v>43.44</v>
      </c>
      <c r="AI655" s="18">
        <v>1.292</v>
      </c>
      <c r="AJ655" s="18"/>
      <c r="AK655" s="18"/>
      <c r="AL655" s="103"/>
      <c r="AM655" s="18"/>
      <c r="AN655" s="18"/>
      <c r="AO655" s="18">
        <f>20.1-10.9</f>
        <v>9.2000000000000011</v>
      </c>
      <c r="AP655" s="18">
        <f>105-11.2</f>
        <v>93.8</v>
      </c>
      <c r="AQ655" s="18">
        <f>86.3-10.5</f>
        <v>75.8</v>
      </c>
      <c r="AR655" s="18">
        <v>46.7</v>
      </c>
      <c r="AS655" s="18">
        <v>20.2</v>
      </c>
      <c r="AT655" s="18" t="s">
        <v>147</v>
      </c>
      <c r="AU655" s="18" t="s">
        <v>147</v>
      </c>
    </row>
    <row r="656" spans="1:47" x14ac:dyDescent="0.2">
      <c r="A656" s="29">
        <v>661.99999999999909</v>
      </c>
      <c r="B656" s="28" t="s">
        <v>381</v>
      </c>
      <c r="C656" s="18">
        <v>22.655000000000001</v>
      </c>
      <c r="D656" s="105" t="s">
        <v>179</v>
      </c>
      <c r="E656" s="18" t="s">
        <v>180</v>
      </c>
      <c r="F656" t="s">
        <v>181</v>
      </c>
      <c r="G656" s="18"/>
      <c r="H656" t="s">
        <v>280</v>
      </c>
      <c r="I656" s="76">
        <v>44794</v>
      </c>
      <c r="J656" s="28" t="s">
        <v>238</v>
      </c>
      <c r="K656" s="28" t="s">
        <v>203</v>
      </c>
      <c r="L656" s="18">
        <v>215</v>
      </c>
      <c r="M656" s="18"/>
      <c r="N656" s="90">
        <v>216.6</v>
      </c>
      <c r="O656" s="18">
        <v>185.48</v>
      </c>
      <c r="P656" s="18">
        <v>189.45</v>
      </c>
      <c r="Q656" s="18">
        <v>44.4</v>
      </c>
      <c r="R656" s="18">
        <v>24.55</v>
      </c>
      <c r="S656" s="18">
        <v>118.85</v>
      </c>
      <c r="T656" s="18">
        <v>91.56</v>
      </c>
      <c r="U656" s="18">
        <v>63.85</v>
      </c>
      <c r="V656" s="18">
        <v>46.26</v>
      </c>
      <c r="W656" s="18">
        <v>69.790000000000006</v>
      </c>
      <c r="X656" s="18">
        <v>84.65</v>
      </c>
      <c r="Y656" s="18">
        <v>36.770000000000003</v>
      </c>
      <c r="Z656" s="18">
        <v>94.65</v>
      </c>
      <c r="AA656" s="18">
        <v>76.56</v>
      </c>
      <c r="AB656" s="18">
        <v>75.98</v>
      </c>
      <c r="AC656" s="18">
        <v>13.31</v>
      </c>
      <c r="AD656" s="18">
        <v>44.89</v>
      </c>
      <c r="AE656" s="18">
        <v>34.64</v>
      </c>
      <c r="AF656" s="18">
        <v>45.58</v>
      </c>
      <c r="AG656" s="18">
        <v>36.97</v>
      </c>
      <c r="AH656" s="18">
        <v>47.96</v>
      </c>
      <c r="AI656" s="18">
        <v>1.2130000000000001</v>
      </c>
      <c r="AJ656" s="18"/>
      <c r="AK656" s="18"/>
      <c r="AL656" s="18">
        <v>27</v>
      </c>
      <c r="AM656" s="18"/>
      <c r="AN656" s="18"/>
      <c r="AO656" s="18">
        <f>19.4-10.7</f>
        <v>8.6999999999999993</v>
      </c>
      <c r="AP656" s="18">
        <f>73.1-10.2</f>
        <v>62.899999999999991</v>
      </c>
      <c r="AQ656" s="18">
        <f>86.3-10.1</f>
        <v>76.2</v>
      </c>
      <c r="AR656" s="18">
        <v>38</v>
      </c>
      <c r="AS656" s="18">
        <v>16.5</v>
      </c>
      <c r="AT656" s="18" t="s">
        <v>310</v>
      </c>
      <c r="AU656" s="18" t="s">
        <v>147</v>
      </c>
    </row>
    <row r="657" spans="1:47" x14ac:dyDescent="0.2">
      <c r="A657" s="29">
        <v>663.00000000000023</v>
      </c>
      <c r="B657" s="28">
        <v>417</v>
      </c>
      <c r="C657" s="18">
        <v>22.655999999999999</v>
      </c>
      <c r="D657" s="106" t="s">
        <v>168</v>
      </c>
      <c r="E657" s="28" t="s">
        <v>232</v>
      </c>
      <c r="F657" s="17" t="s">
        <v>31</v>
      </c>
      <c r="G657" s="17" t="s">
        <v>31</v>
      </c>
      <c r="H657" s="28"/>
      <c r="I657" s="107">
        <v>44759</v>
      </c>
      <c r="J657" s="28" t="s">
        <v>142</v>
      </c>
      <c r="K657" s="28" t="s">
        <v>203</v>
      </c>
      <c r="L657" s="18"/>
      <c r="M657" s="18"/>
      <c r="N657" s="90">
        <v>115.8</v>
      </c>
      <c r="O657" s="18">
        <v>133.91</v>
      </c>
      <c r="P657" s="18">
        <v>141.96</v>
      </c>
      <c r="Q657" s="18">
        <v>42.85</v>
      </c>
      <c r="R657" s="18">
        <v>10.25</v>
      </c>
      <c r="S657" s="18">
        <v>85.95</v>
      </c>
      <c r="T657" s="18">
        <v>73.48</v>
      </c>
      <c r="U657" s="18">
        <v>62.48</v>
      </c>
      <c r="V657" s="18">
        <v>47.22</v>
      </c>
      <c r="W657" s="18">
        <v>67.81</v>
      </c>
      <c r="X657" s="18">
        <v>74.86</v>
      </c>
      <c r="Y657" s="18">
        <v>34.51</v>
      </c>
      <c r="Z657" s="18">
        <v>82.33</v>
      </c>
      <c r="AA657" s="18">
        <v>62.88</v>
      </c>
      <c r="AB657" s="18">
        <v>68.8</v>
      </c>
      <c r="AC657" s="18">
        <v>25.19</v>
      </c>
      <c r="AD657" s="18">
        <v>37.96</v>
      </c>
      <c r="AE657" s="18">
        <v>26.47</v>
      </c>
      <c r="AF657" s="18">
        <v>30.11</v>
      </c>
      <c r="AG657" s="18">
        <v>28.14</v>
      </c>
      <c r="AH657" s="18">
        <v>32.369999999999997</v>
      </c>
      <c r="AI657" s="18">
        <v>1.446</v>
      </c>
      <c r="AJ657" s="18"/>
      <c r="AK657" s="18"/>
      <c r="AL657" s="103"/>
      <c r="AM657" s="18"/>
      <c r="AN657" s="18"/>
      <c r="AO657" s="18">
        <f>16-10.8</f>
        <v>5.1999999999999993</v>
      </c>
      <c r="AP657" s="18">
        <f>79.1-11</f>
        <v>68.099999999999994</v>
      </c>
      <c r="AQ657" s="18">
        <f>21.3-10.5</f>
        <v>10.8</v>
      </c>
      <c r="AR657" s="18">
        <v>29.7</v>
      </c>
      <c r="AS657" s="18">
        <v>13</v>
      </c>
      <c r="AT657" s="18" t="s">
        <v>147</v>
      </c>
      <c r="AU657" s="18" t="s">
        <v>147</v>
      </c>
    </row>
    <row r="658" spans="1:47" x14ac:dyDescent="0.2">
      <c r="A658" s="29">
        <v>664.00000000000148</v>
      </c>
      <c r="B658" s="108">
        <v>434</v>
      </c>
      <c r="C658" s="18">
        <v>22.657</v>
      </c>
      <c r="D658" s="106" t="s">
        <v>168</v>
      </c>
      <c r="E658" s="28" t="s">
        <v>169</v>
      </c>
      <c r="F658" s="17" t="s">
        <v>170</v>
      </c>
      <c r="G658" s="3" t="s">
        <v>29</v>
      </c>
      <c r="H658" s="28"/>
      <c r="I658" s="107">
        <v>44788</v>
      </c>
      <c r="J658" s="28" t="s">
        <v>142</v>
      </c>
      <c r="K658" s="28" t="s">
        <v>203</v>
      </c>
      <c r="L658" s="18"/>
      <c r="M658" s="18"/>
      <c r="N658" s="90">
        <v>229.1</v>
      </c>
      <c r="O658" s="18">
        <v>158.66</v>
      </c>
      <c r="P658" s="18">
        <v>170.26</v>
      </c>
      <c r="Q658" s="18">
        <v>31.94</v>
      </c>
      <c r="R658" s="18">
        <v>13.45</v>
      </c>
      <c r="S658" s="18">
        <v>117.85</v>
      </c>
      <c r="T658" s="18">
        <v>91.83</v>
      </c>
      <c r="U658" s="18">
        <v>73.25</v>
      </c>
      <c r="V658" s="18">
        <v>55.79</v>
      </c>
      <c r="W658" s="18">
        <v>75.92</v>
      </c>
      <c r="X658" s="18">
        <v>86.93</v>
      </c>
      <c r="Y658" s="18">
        <v>43.38</v>
      </c>
      <c r="Z658" s="18">
        <v>95.42</v>
      </c>
      <c r="AA658" s="18">
        <v>78.069999999999993</v>
      </c>
      <c r="AB658" s="18">
        <v>80.02</v>
      </c>
      <c r="AC658" s="18">
        <v>26.03</v>
      </c>
      <c r="AD658" s="18">
        <v>49.21</v>
      </c>
      <c r="AE658" s="18">
        <v>27.57</v>
      </c>
      <c r="AF658" s="18">
        <v>39.909999999999997</v>
      </c>
      <c r="AG658" s="18">
        <v>32.9</v>
      </c>
      <c r="AH658" s="18">
        <v>44.21</v>
      </c>
      <c r="AI658" s="18">
        <v>1.776</v>
      </c>
      <c r="AJ658" s="18"/>
      <c r="AK658" s="18"/>
      <c r="AL658" s="18">
        <v>22</v>
      </c>
      <c r="AM658" s="18"/>
      <c r="AN658" s="18"/>
      <c r="AO658" s="18">
        <f>19.3-10.7</f>
        <v>8.6000000000000014</v>
      </c>
      <c r="AP658" s="18">
        <f>99.9-10.8</f>
        <v>89.100000000000009</v>
      </c>
      <c r="AQ658" s="18">
        <f>67.6-10.4</f>
        <v>57.199999999999996</v>
      </c>
      <c r="AR658" s="18">
        <v>50.2</v>
      </c>
      <c r="AS658" s="18">
        <v>21.6</v>
      </c>
      <c r="AT658" s="18" t="s">
        <v>147</v>
      </c>
      <c r="AU658" s="18" t="s">
        <v>147</v>
      </c>
    </row>
    <row r="659" spans="1:47" x14ac:dyDescent="0.2">
      <c r="A659" s="29">
        <v>664.99999999999909</v>
      </c>
      <c r="B659" s="28">
        <v>394</v>
      </c>
      <c r="C659" s="18">
        <v>22.658000000000001</v>
      </c>
      <c r="D659" s="106" t="s">
        <v>168</v>
      </c>
      <c r="E659" s="28" t="s">
        <v>169</v>
      </c>
      <c r="F659" s="3" t="s">
        <v>170</v>
      </c>
      <c r="G659" s="28"/>
      <c r="H659" s="18" t="s">
        <v>177</v>
      </c>
      <c r="I659" s="107">
        <v>44721</v>
      </c>
      <c r="J659" s="28" t="s">
        <v>142</v>
      </c>
      <c r="K659" s="28" t="s">
        <v>203</v>
      </c>
      <c r="L659" s="18"/>
      <c r="M659" s="18"/>
      <c r="N659" s="90">
        <v>242.9</v>
      </c>
      <c r="O659" s="18">
        <v>185.57</v>
      </c>
      <c r="P659" s="18">
        <v>187.51</v>
      </c>
      <c r="Q659" s="18">
        <v>41.34</v>
      </c>
      <c r="R659" s="18">
        <v>32.85</v>
      </c>
      <c r="S659" s="18">
        <v>120.1</v>
      </c>
      <c r="T659" s="18">
        <v>92.95</v>
      </c>
      <c r="U659" s="18">
        <v>70.84</v>
      </c>
      <c r="V659" s="18">
        <v>53.83</v>
      </c>
      <c r="W659" s="18">
        <v>79.72</v>
      </c>
      <c r="X659" s="18">
        <v>94.4</v>
      </c>
      <c r="Y659" s="18">
        <v>38.6</v>
      </c>
      <c r="Z659" s="18">
        <v>104.87</v>
      </c>
      <c r="AA659" s="18">
        <v>81.42</v>
      </c>
      <c r="AB659" s="18">
        <v>81.62</v>
      </c>
      <c r="AC659" s="18">
        <v>9.86</v>
      </c>
      <c r="AD659" s="18">
        <v>47.33</v>
      </c>
      <c r="AE659" s="18">
        <v>38.03</v>
      </c>
      <c r="AF659" s="18">
        <v>40.44</v>
      </c>
      <c r="AG659" s="18">
        <v>45.94</v>
      </c>
      <c r="AH659" s="18">
        <v>43.33</v>
      </c>
      <c r="AI659" s="18">
        <v>1.446</v>
      </c>
      <c r="AJ659" s="18"/>
      <c r="AK659" s="18"/>
      <c r="AL659" s="103"/>
      <c r="AM659" s="18"/>
      <c r="AN659" s="18"/>
      <c r="AO659" s="18">
        <f>16.8-10.6</f>
        <v>6.2000000000000011</v>
      </c>
      <c r="AP659" s="18">
        <f>73-10.9</f>
        <v>62.1</v>
      </c>
      <c r="AQ659" s="18">
        <f>132.9-10.3</f>
        <v>122.60000000000001</v>
      </c>
      <c r="AR659" s="18">
        <v>47.9</v>
      </c>
      <c r="AS659" s="18">
        <v>21.9</v>
      </c>
      <c r="AT659" s="18" t="s">
        <v>310</v>
      </c>
      <c r="AU659" s="18" t="s">
        <v>147</v>
      </c>
    </row>
    <row r="660" spans="1:47" x14ac:dyDescent="0.2">
      <c r="A660" s="29">
        <v>666.00000000000034</v>
      </c>
      <c r="B660" s="28">
        <v>430</v>
      </c>
      <c r="C660" s="18">
        <v>22.658999999999999</v>
      </c>
      <c r="D660" s="106" t="s">
        <v>168</v>
      </c>
      <c r="E660" s="28" t="s">
        <v>169</v>
      </c>
      <c r="F660" s="3" t="s">
        <v>170</v>
      </c>
      <c r="G660" t="s">
        <v>30</v>
      </c>
      <c r="H660" s="28"/>
      <c r="I660" s="107">
        <v>44781</v>
      </c>
      <c r="J660" s="28" t="s">
        <v>142</v>
      </c>
      <c r="K660" s="28" t="s">
        <v>203</v>
      </c>
      <c r="L660" s="18"/>
      <c r="M660" s="18"/>
      <c r="N660" s="90">
        <v>212.8</v>
      </c>
      <c r="O660" s="18">
        <v>152.36000000000001</v>
      </c>
      <c r="P660" s="18">
        <v>162.78</v>
      </c>
      <c r="Q660" s="18">
        <v>31.49</v>
      </c>
      <c r="R660" s="18">
        <v>15.08</v>
      </c>
      <c r="S660" s="18">
        <v>110.12</v>
      </c>
      <c r="T660" s="18">
        <v>89.7</v>
      </c>
      <c r="U660" s="18">
        <v>70.83</v>
      </c>
      <c r="V660" s="18">
        <v>53.58</v>
      </c>
      <c r="W660" s="18">
        <v>71.91</v>
      </c>
      <c r="X660" s="18">
        <v>83.11</v>
      </c>
      <c r="Y660" s="18">
        <v>40.479999999999997</v>
      </c>
      <c r="Z660" s="18">
        <v>92.47</v>
      </c>
      <c r="AA660" s="18">
        <v>75.790000000000006</v>
      </c>
      <c r="AB660" s="18">
        <v>78.23</v>
      </c>
      <c r="AC660" s="18">
        <v>24.38</v>
      </c>
      <c r="AD660" s="18">
        <v>48.18</v>
      </c>
      <c r="AE660" s="18">
        <v>27.83</v>
      </c>
      <c r="AF660" s="18">
        <v>40.35</v>
      </c>
      <c r="AG660" s="18">
        <v>32.86</v>
      </c>
      <c r="AH660" s="18">
        <v>40.33</v>
      </c>
      <c r="AI660" s="18">
        <v>1.6830000000000001</v>
      </c>
      <c r="AJ660" s="18"/>
      <c r="AK660" s="18"/>
      <c r="AL660" s="18">
        <v>19</v>
      </c>
      <c r="AM660" s="18"/>
      <c r="AN660" s="18"/>
      <c r="AO660" s="18">
        <f>17.9-10.6</f>
        <v>7.2999999999999989</v>
      </c>
      <c r="AP660" s="18">
        <f>97.8-10.8</f>
        <v>87</v>
      </c>
      <c r="AQ660" s="18">
        <f>60.1-10.9</f>
        <v>49.2</v>
      </c>
      <c r="AR660" s="18">
        <v>47.5</v>
      </c>
      <c r="AS660" s="18">
        <v>20.7</v>
      </c>
      <c r="AT660" s="18" t="s">
        <v>147</v>
      </c>
      <c r="AU660" s="18" t="s">
        <v>147</v>
      </c>
    </row>
    <row r="661" spans="1:47" x14ac:dyDescent="0.2">
      <c r="A661" s="29">
        <v>667.00000000000159</v>
      </c>
      <c r="B661" s="108">
        <v>432</v>
      </c>
      <c r="C661" s="27" t="s">
        <v>382</v>
      </c>
      <c r="D661" s="106" t="s">
        <v>168</v>
      </c>
      <c r="E661" s="28" t="s">
        <v>169</v>
      </c>
      <c r="F661" s="17" t="s">
        <v>170</v>
      </c>
      <c r="G661" s="3" t="s">
        <v>29</v>
      </c>
      <c r="H661" s="28"/>
      <c r="I661" s="107">
        <v>44787</v>
      </c>
      <c r="J661" s="28" t="s">
        <v>142</v>
      </c>
      <c r="K661" s="28" t="s">
        <v>203</v>
      </c>
      <c r="L661" s="18"/>
      <c r="M661" s="18"/>
      <c r="N661" s="90">
        <v>201.2</v>
      </c>
      <c r="O661" s="18">
        <v>130.53</v>
      </c>
      <c r="P661" s="18">
        <v>116.93</v>
      </c>
      <c r="Q661" s="18">
        <v>10.91</v>
      </c>
      <c r="R661" s="18">
        <v>7.04</v>
      </c>
      <c r="S661" s="18">
        <v>109.91</v>
      </c>
      <c r="T661" s="18">
        <v>86.37</v>
      </c>
      <c r="U661" s="18">
        <v>67.599999999999994</v>
      </c>
      <c r="V661" s="18">
        <v>57.46</v>
      </c>
      <c r="W661" s="18">
        <v>68.16</v>
      </c>
      <c r="X661" s="18">
        <v>74.12</v>
      </c>
      <c r="Y661" s="18">
        <v>34.76</v>
      </c>
      <c r="Z661" s="18">
        <v>82.19</v>
      </c>
      <c r="AA661" s="18">
        <v>68.72</v>
      </c>
      <c r="AB661" s="18">
        <v>68.14</v>
      </c>
      <c r="AC661" s="18">
        <v>48.55</v>
      </c>
      <c r="AD661" s="18">
        <v>52.16</v>
      </c>
      <c r="AE661" s="103"/>
      <c r="AF661" s="103"/>
      <c r="AG661" s="103"/>
      <c r="AH661" s="103"/>
      <c r="AI661" s="18">
        <v>1.272</v>
      </c>
      <c r="AJ661" s="18"/>
      <c r="AK661" s="18"/>
      <c r="AL661" s="103"/>
      <c r="AM661" s="18"/>
      <c r="AN661" s="18"/>
      <c r="AO661" s="18">
        <f>16.1-10.5</f>
        <v>5.6000000000000014</v>
      </c>
      <c r="AP661" s="18">
        <f>57.8-10.9</f>
        <v>46.9</v>
      </c>
      <c r="AQ661" s="18">
        <f>108.2-10.2</f>
        <v>98</v>
      </c>
      <c r="AR661" s="18">
        <v>48</v>
      </c>
      <c r="AS661" s="18">
        <v>19.2</v>
      </c>
      <c r="AT661" s="18" t="s">
        <v>310</v>
      </c>
      <c r="AU661" s="18" t="s">
        <v>147</v>
      </c>
    </row>
    <row r="662" spans="1:47" x14ac:dyDescent="0.2">
      <c r="A662" s="29">
        <v>667.99999999999932</v>
      </c>
      <c r="B662" s="108">
        <v>440</v>
      </c>
      <c r="C662" s="18">
        <v>22.661000000000001</v>
      </c>
      <c r="D662" s="106" t="s">
        <v>168</v>
      </c>
      <c r="E662" s="28" t="s">
        <v>169</v>
      </c>
      <c r="F662" s="17" t="s">
        <v>170</v>
      </c>
      <c r="G662" s="3" t="s">
        <v>29</v>
      </c>
      <c r="H662" s="28"/>
      <c r="I662" s="107">
        <v>44792</v>
      </c>
      <c r="J662" s="28" t="s">
        <v>142</v>
      </c>
      <c r="K662" s="28" t="s">
        <v>203</v>
      </c>
      <c r="L662" s="18"/>
      <c r="M662" s="18"/>
      <c r="N662" s="90">
        <v>234.7</v>
      </c>
      <c r="O662" s="18">
        <v>159.99</v>
      </c>
      <c r="P662" s="18">
        <v>170.92</v>
      </c>
      <c r="Q662" s="18">
        <v>33.85</v>
      </c>
      <c r="R662" s="18">
        <v>12.78</v>
      </c>
      <c r="S662" s="18">
        <v>116.93</v>
      </c>
      <c r="T662" s="18">
        <v>91.13</v>
      </c>
      <c r="U662" s="18">
        <v>71.12</v>
      </c>
      <c r="V662" s="18">
        <v>53.42</v>
      </c>
      <c r="W662" s="18">
        <v>72.569999999999993</v>
      </c>
      <c r="X662" s="18">
        <v>85.25</v>
      </c>
      <c r="Y662" s="18">
        <v>42.21</v>
      </c>
      <c r="Z662" s="18">
        <v>96.07</v>
      </c>
      <c r="AA662" s="18">
        <v>78.84</v>
      </c>
      <c r="AB662" s="18">
        <v>81.45</v>
      </c>
      <c r="AC662" s="18">
        <v>25.18</v>
      </c>
      <c r="AD662" s="18">
        <v>50.05</v>
      </c>
      <c r="AE662" s="18">
        <v>29.58</v>
      </c>
      <c r="AF662" s="18">
        <v>41.73</v>
      </c>
      <c r="AG662" s="18">
        <v>33.85</v>
      </c>
      <c r="AH662" s="18">
        <v>44.86</v>
      </c>
      <c r="AI662" s="18">
        <v>1.865</v>
      </c>
      <c r="AJ662" s="18"/>
      <c r="AK662" s="18"/>
      <c r="AL662" s="18">
        <v>23</v>
      </c>
      <c r="AM662" s="18"/>
      <c r="AN662" s="18"/>
      <c r="AO662" s="18">
        <f>19-10.8</f>
        <v>8.1999999999999993</v>
      </c>
      <c r="AP662" s="18">
        <f>90.1-10.9</f>
        <v>79.199999999999989</v>
      </c>
      <c r="AQ662" s="18">
        <f>78.2-10.7</f>
        <v>67.5</v>
      </c>
      <c r="AR662" s="18">
        <v>54.5</v>
      </c>
      <c r="AS662" s="18">
        <v>23.7</v>
      </c>
      <c r="AT662" s="18" t="s">
        <v>147</v>
      </c>
      <c r="AU662" s="18" t="s">
        <v>147</v>
      </c>
    </row>
    <row r="663" spans="1:47" x14ac:dyDescent="0.2">
      <c r="A663" s="29">
        <v>669.00000000000045</v>
      </c>
      <c r="B663" s="108">
        <v>464</v>
      </c>
      <c r="C663" s="18">
        <v>22.661999999999999</v>
      </c>
      <c r="D663" s="106" t="s">
        <v>168</v>
      </c>
      <c r="E663" s="16" t="s">
        <v>169</v>
      </c>
      <c r="F663" s="3" t="s">
        <v>170</v>
      </c>
      <c r="G663" t="s">
        <v>30</v>
      </c>
      <c r="H663" s="16"/>
      <c r="I663" s="107">
        <v>44819</v>
      </c>
      <c r="J663" s="28" t="s">
        <v>142</v>
      </c>
      <c r="K663" s="28" t="s">
        <v>203</v>
      </c>
      <c r="L663" s="18"/>
      <c r="M663" s="18"/>
      <c r="N663" s="90">
        <v>251.6</v>
      </c>
      <c r="O663" s="18">
        <v>187.21</v>
      </c>
      <c r="P663" s="18">
        <v>194.1</v>
      </c>
      <c r="Q663" s="18">
        <v>42.57</v>
      </c>
      <c r="R663" s="18">
        <v>32.58</v>
      </c>
      <c r="S663" s="18">
        <v>119.5</v>
      </c>
      <c r="T663" s="18">
        <v>94.67</v>
      </c>
      <c r="U663" s="18">
        <v>72.59</v>
      </c>
      <c r="V663" s="18">
        <v>51.86</v>
      </c>
      <c r="W663" s="18">
        <v>78.08</v>
      </c>
      <c r="X663" s="18">
        <v>93.51</v>
      </c>
      <c r="Y663" s="18">
        <v>39.17</v>
      </c>
      <c r="Z663" s="18">
        <v>105.32</v>
      </c>
      <c r="AA663" s="18">
        <v>84.97</v>
      </c>
      <c r="AB663" s="18">
        <v>82.88</v>
      </c>
      <c r="AC663" s="18">
        <v>15.69</v>
      </c>
      <c r="AD663" s="18">
        <v>48.86</v>
      </c>
      <c r="AE663" s="18">
        <v>41.08</v>
      </c>
      <c r="AF663" s="18">
        <v>45.07</v>
      </c>
      <c r="AG663" s="18">
        <v>48.81</v>
      </c>
      <c r="AH663" s="18">
        <v>44.66</v>
      </c>
      <c r="AI663" s="18">
        <v>1.446</v>
      </c>
      <c r="AJ663" s="18"/>
      <c r="AK663" s="18"/>
      <c r="AL663" s="18">
        <v>67</v>
      </c>
      <c r="AM663" s="18"/>
      <c r="AN663" s="18"/>
      <c r="AO663" s="18">
        <f>19.5-10.6</f>
        <v>8.9</v>
      </c>
      <c r="AP663" s="18">
        <f>106.2-10.7</f>
        <v>95.5</v>
      </c>
      <c r="AQ663" s="18">
        <f>35.5-10.4</f>
        <v>25.1</v>
      </c>
      <c r="AR663" s="18">
        <v>52</v>
      </c>
      <c r="AS663" s="18">
        <v>22.8</v>
      </c>
      <c r="AT663" s="18" t="s">
        <v>147</v>
      </c>
      <c r="AU663" s="18" t="s">
        <v>147</v>
      </c>
    </row>
    <row r="664" spans="1:47" x14ac:dyDescent="0.2">
      <c r="A664" s="29">
        <v>670.00000000000171</v>
      </c>
      <c r="B664" s="108">
        <v>457</v>
      </c>
      <c r="C664" s="18">
        <v>22.663</v>
      </c>
      <c r="D664" s="106" t="s">
        <v>168</v>
      </c>
      <c r="E664" s="28" t="s">
        <v>169</v>
      </c>
      <c r="F664" s="17" t="s">
        <v>170</v>
      </c>
      <c r="G664" s="3" t="s">
        <v>29</v>
      </c>
      <c r="H664" s="28"/>
      <c r="I664" s="68">
        <v>44815</v>
      </c>
      <c r="J664" s="28" t="s">
        <v>142</v>
      </c>
      <c r="K664" s="28" t="s">
        <v>203</v>
      </c>
      <c r="L664" s="18"/>
      <c r="M664" s="18"/>
      <c r="N664" s="90">
        <v>238</v>
      </c>
      <c r="O664" s="18">
        <v>166</v>
      </c>
      <c r="P664" s="18">
        <v>179.46</v>
      </c>
      <c r="Q664" s="18">
        <v>33.61</v>
      </c>
      <c r="R664" s="18">
        <v>17.61</v>
      </c>
      <c r="S664" s="18">
        <v>117.34</v>
      </c>
      <c r="T664" s="18">
        <v>91.32</v>
      </c>
      <c r="U664" s="18">
        <v>73.63</v>
      </c>
      <c r="V664" s="18">
        <v>55.81</v>
      </c>
      <c r="W664" s="18">
        <v>76.31</v>
      </c>
      <c r="X664" s="18">
        <v>88.31</v>
      </c>
      <c r="Y664" s="18">
        <v>44.12</v>
      </c>
      <c r="Z664" s="18">
        <v>98.51</v>
      </c>
      <c r="AA664" s="18">
        <v>80.06</v>
      </c>
      <c r="AB664" s="18">
        <v>81.180000000000007</v>
      </c>
      <c r="AC664" s="18">
        <v>21.98</v>
      </c>
      <c r="AD664" s="18">
        <v>48.43</v>
      </c>
      <c r="AE664" s="18">
        <v>33.770000000000003</v>
      </c>
      <c r="AF664" s="18">
        <v>42.35</v>
      </c>
      <c r="AG664" s="18">
        <v>36.28</v>
      </c>
      <c r="AH664" s="18">
        <v>45.31</v>
      </c>
      <c r="AI664" s="18">
        <v>1.89</v>
      </c>
      <c r="AJ664" s="18"/>
      <c r="AK664" s="18"/>
      <c r="AL664" s="18">
        <v>18</v>
      </c>
      <c r="AM664" s="18"/>
      <c r="AN664" s="18"/>
      <c r="AO664" s="18">
        <f>18.7-10.6</f>
        <v>8.1</v>
      </c>
      <c r="AP664" s="18">
        <f>99.5-10.3</f>
        <v>89.2</v>
      </c>
      <c r="AQ664" s="18">
        <f>76.1-10.3</f>
        <v>65.8</v>
      </c>
      <c r="AR664" s="18">
        <v>52.6</v>
      </c>
      <c r="AS664" s="18">
        <v>23.6</v>
      </c>
      <c r="AT664" s="18" t="s">
        <v>310</v>
      </c>
      <c r="AU664" s="18" t="s">
        <v>147</v>
      </c>
    </row>
    <row r="665" spans="1:47" x14ac:dyDescent="0.2">
      <c r="A665" s="29">
        <v>670.99999999999932</v>
      </c>
      <c r="B665" s="108">
        <v>439</v>
      </c>
      <c r="C665" s="18">
        <v>22.664000000000001</v>
      </c>
      <c r="D665" s="106" t="s">
        <v>168</v>
      </c>
      <c r="E665" s="28" t="s">
        <v>169</v>
      </c>
      <c r="F665" s="17" t="s">
        <v>170</v>
      </c>
      <c r="G665" s="3" t="s">
        <v>29</v>
      </c>
      <c r="H665" s="28"/>
      <c r="I665" s="107">
        <v>44792</v>
      </c>
      <c r="J665" s="28" t="s">
        <v>142</v>
      </c>
      <c r="K665" s="28" t="s">
        <v>203</v>
      </c>
      <c r="L665" s="18"/>
      <c r="M665" s="18"/>
      <c r="N665" s="90">
        <f>245.8+2.6</f>
        <v>248.4</v>
      </c>
      <c r="O665" s="18">
        <v>185.27</v>
      </c>
      <c r="P665" s="18">
        <v>189.74</v>
      </c>
      <c r="Q665" s="18">
        <v>42.27</v>
      </c>
      <c r="R665" s="18">
        <v>32.159999999999997</v>
      </c>
      <c r="S665" s="18">
        <v>119.34</v>
      </c>
      <c r="T665" s="18">
        <v>92.76</v>
      </c>
      <c r="U665" s="18">
        <v>70.489999999999995</v>
      </c>
      <c r="V665" s="18">
        <v>52.94</v>
      </c>
      <c r="W665" s="18">
        <v>75.739999999999995</v>
      </c>
      <c r="X665" s="18">
        <v>91.92</v>
      </c>
      <c r="Y665" s="18">
        <v>39.5</v>
      </c>
      <c r="Z665" s="18">
        <v>104.38</v>
      </c>
      <c r="AA665" s="18">
        <v>82.91</v>
      </c>
      <c r="AB665" s="18">
        <v>83.2</v>
      </c>
      <c r="AC665" s="18">
        <v>13.99</v>
      </c>
      <c r="AD665" s="18">
        <v>49.45</v>
      </c>
      <c r="AE665" s="18">
        <v>41.11</v>
      </c>
      <c r="AF665" s="18">
        <v>45.67</v>
      </c>
      <c r="AG665" s="18">
        <v>49.14</v>
      </c>
      <c r="AH665" s="18">
        <v>43</v>
      </c>
      <c r="AI665" s="18">
        <v>1.6950000000000001</v>
      </c>
      <c r="AJ665" s="18"/>
      <c r="AK665" s="18"/>
      <c r="AL665" s="18">
        <v>38</v>
      </c>
      <c r="AM665" s="18"/>
      <c r="AN665" s="18"/>
      <c r="AO665" s="18">
        <f>19.3-10.8</f>
        <v>8.5</v>
      </c>
      <c r="AP665" s="18">
        <f>107.3-10.9</f>
        <v>96.399999999999991</v>
      </c>
      <c r="AQ665" s="18">
        <f>59.4-10.6</f>
        <v>48.8</v>
      </c>
      <c r="AR665" s="18">
        <v>54.6</v>
      </c>
      <c r="AS665" s="18">
        <v>24</v>
      </c>
      <c r="AT665" s="18" t="s">
        <v>147</v>
      </c>
      <c r="AU665" s="18" t="s">
        <v>147</v>
      </c>
    </row>
    <row r="666" spans="1:47" x14ac:dyDescent="0.2">
      <c r="A666" s="29">
        <v>672.00000000000057</v>
      </c>
      <c r="B666" s="108">
        <v>446</v>
      </c>
      <c r="C666" s="18">
        <v>22.664999999999999</v>
      </c>
      <c r="D666" s="106" t="s">
        <v>168</v>
      </c>
      <c r="E666" s="28" t="s">
        <v>169</v>
      </c>
      <c r="F666" s="17" t="s">
        <v>170</v>
      </c>
      <c r="G666" s="3" t="s">
        <v>29</v>
      </c>
      <c r="H666" s="28"/>
      <c r="I666" s="107">
        <v>44805</v>
      </c>
      <c r="J666" s="28" t="s">
        <v>142</v>
      </c>
      <c r="K666" s="28" t="s">
        <v>166</v>
      </c>
      <c r="L666" s="18"/>
      <c r="M666" s="18"/>
      <c r="N666" s="90">
        <v>222.3</v>
      </c>
      <c r="O666" s="18">
        <v>154.26</v>
      </c>
      <c r="P666" s="18">
        <v>130.51</v>
      </c>
      <c r="Q666" s="18">
        <v>21.23</v>
      </c>
      <c r="R666" s="18">
        <v>7.62</v>
      </c>
      <c r="S666" s="18">
        <v>119.61</v>
      </c>
      <c r="T666" s="18">
        <v>92.21</v>
      </c>
      <c r="U666" s="18">
        <v>70.849999999999994</v>
      </c>
      <c r="V666" s="18">
        <v>62.27</v>
      </c>
      <c r="W666" s="18">
        <v>72.260000000000005</v>
      </c>
      <c r="X666" s="18">
        <v>86.58</v>
      </c>
      <c r="Y666" s="18">
        <v>38.18</v>
      </c>
      <c r="Z666" s="18">
        <v>94.07</v>
      </c>
      <c r="AA666" s="18">
        <v>79.319999999999993</v>
      </c>
      <c r="AB666" s="18">
        <v>80.61</v>
      </c>
      <c r="AC666" s="18">
        <v>51.25</v>
      </c>
      <c r="AD666" s="18">
        <v>52.27</v>
      </c>
      <c r="AE666" s="18"/>
      <c r="AF666" s="18"/>
      <c r="AG666" s="18"/>
      <c r="AH666" s="18"/>
      <c r="AI666" s="18">
        <v>1.4359999999999999</v>
      </c>
      <c r="AJ666" s="18"/>
      <c r="AK666" s="18"/>
      <c r="AL666" s="18">
        <v>23.5</v>
      </c>
      <c r="AM666" s="18"/>
      <c r="AN666" s="18"/>
      <c r="AO666" s="18">
        <f>17.6-10.5</f>
        <v>7.1000000000000014</v>
      </c>
      <c r="AP666" s="18">
        <f>71.3-10.3</f>
        <v>61</v>
      </c>
      <c r="AQ666" s="18">
        <f>85.5-10.3</f>
        <v>75.2</v>
      </c>
      <c r="AR666" s="18">
        <v>51.8</v>
      </c>
      <c r="AS666" s="18">
        <v>21.9</v>
      </c>
      <c r="AT666" s="18" t="s">
        <v>310</v>
      </c>
      <c r="AU666" s="18" t="s">
        <v>147</v>
      </c>
    </row>
    <row r="667" spans="1:47" x14ac:dyDescent="0.2">
      <c r="A667" s="29">
        <v>672.99999999999829</v>
      </c>
      <c r="B667" s="28">
        <v>422</v>
      </c>
      <c r="C667" s="18">
        <v>22.666</v>
      </c>
      <c r="D667" s="106" t="s">
        <v>168</v>
      </c>
      <c r="E667" s="28" t="s">
        <v>169</v>
      </c>
      <c r="F667" s="3" t="s">
        <v>170</v>
      </c>
      <c r="G667" s="28"/>
      <c r="H667" s="18" t="s">
        <v>177</v>
      </c>
      <c r="I667" s="107">
        <v>44767</v>
      </c>
      <c r="J667" s="28" t="s">
        <v>142</v>
      </c>
      <c r="K667" s="28" t="s">
        <v>166</v>
      </c>
      <c r="L667" s="18"/>
      <c r="M667" s="18"/>
      <c r="N667" s="90">
        <v>235</v>
      </c>
      <c r="O667" s="18">
        <v>183.04</v>
      </c>
      <c r="P667" s="18">
        <v>184.54</v>
      </c>
      <c r="Q667" s="18">
        <v>43.31</v>
      </c>
      <c r="R667" s="18">
        <v>29.92</v>
      </c>
      <c r="S667" s="18">
        <v>116.32</v>
      </c>
      <c r="T667" s="18">
        <v>89.36</v>
      </c>
      <c r="U667" s="18">
        <v>68.45</v>
      </c>
      <c r="V667" s="18">
        <v>51.22</v>
      </c>
      <c r="W667" s="18">
        <v>76.599999999999994</v>
      </c>
      <c r="X667" s="18">
        <v>90.51</v>
      </c>
      <c r="Y667" s="18">
        <v>40</v>
      </c>
      <c r="Z667" s="18">
        <v>103.11</v>
      </c>
      <c r="AA667" s="18">
        <v>80.97</v>
      </c>
      <c r="AB667" s="18">
        <v>83.41</v>
      </c>
      <c r="AC667" s="18">
        <v>12.63</v>
      </c>
      <c r="AD667" s="18">
        <v>48.57</v>
      </c>
      <c r="AE667" s="18">
        <v>38.89</v>
      </c>
      <c r="AF667" s="18">
        <v>44.64</v>
      </c>
      <c r="AG667" s="18">
        <v>46.87</v>
      </c>
      <c r="AH667" s="18">
        <v>43.98</v>
      </c>
      <c r="AI667" s="18">
        <v>1.5649999999999999</v>
      </c>
      <c r="AJ667" s="18"/>
      <c r="AK667" s="18"/>
      <c r="AL667" s="18">
        <v>51</v>
      </c>
      <c r="AM667" s="18"/>
      <c r="AN667" s="18"/>
      <c r="AO667" s="18">
        <f>18.9-10.8</f>
        <v>8.0999999999999979</v>
      </c>
      <c r="AP667" s="18">
        <f>106.3-11.2</f>
        <v>95.1</v>
      </c>
      <c r="AQ667" s="18">
        <f>38.6-11.2</f>
        <v>27.400000000000002</v>
      </c>
      <c r="AR667" s="18">
        <v>50.6</v>
      </c>
      <c r="AS667" s="18">
        <v>22.2</v>
      </c>
      <c r="AT667" s="18" t="s">
        <v>147</v>
      </c>
      <c r="AU667" s="18" t="s">
        <v>147</v>
      </c>
    </row>
    <row r="668" spans="1:47" x14ac:dyDescent="0.2">
      <c r="A668" s="29">
        <v>673.99999999999955</v>
      </c>
      <c r="B668" s="18">
        <v>151</v>
      </c>
      <c r="C668" s="18">
        <v>22.667000000000002</v>
      </c>
      <c r="D668" s="31" t="s">
        <v>140</v>
      </c>
      <c r="E668" s="14" t="s">
        <v>141</v>
      </c>
      <c r="F668" s="3" t="s">
        <v>61</v>
      </c>
      <c r="H668" s="3" t="s">
        <v>61</v>
      </c>
      <c r="I668" s="76">
        <v>44825</v>
      </c>
      <c r="J668" s="14" t="s">
        <v>142</v>
      </c>
      <c r="K668" s="14" t="s">
        <v>203</v>
      </c>
      <c r="L668" s="14"/>
      <c r="M668" s="28">
        <v>211.2</v>
      </c>
      <c r="N668" s="90">
        <v>203</v>
      </c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>
        <v>1.4550000000000001</v>
      </c>
      <c r="AJ668" s="18"/>
      <c r="AK668" s="18"/>
      <c r="AL668" s="103"/>
      <c r="AM668" s="18"/>
      <c r="AN668" s="18"/>
      <c r="AO668" s="103"/>
      <c r="AP668" s="103"/>
      <c r="AQ668" s="103"/>
      <c r="AR668" s="103"/>
      <c r="AS668" s="103"/>
      <c r="AT668" s="18" t="s">
        <v>147</v>
      </c>
      <c r="AU668" s="18"/>
    </row>
    <row r="669" spans="1:47" x14ac:dyDescent="0.2">
      <c r="A669" s="29">
        <v>675.00000000000068</v>
      </c>
      <c r="B669" s="108">
        <v>404</v>
      </c>
      <c r="C669" s="18">
        <v>22.667999999999999</v>
      </c>
      <c r="D669" s="106" t="s">
        <v>168</v>
      </c>
      <c r="E669" s="28" t="s">
        <v>232</v>
      </c>
      <c r="F669" s="17" t="s">
        <v>31</v>
      </c>
      <c r="G669" s="17" t="s">
        <v>31</v>
      </c>
      <c r="I669" s="107">
        <v>44735</v>
      </c>
      <c r="J669" s="28" t="s">
        <v>142</v>
      </c>
      <c r="K669" s="14" t="s">
        <v>203</v>
      </c>
      <c r="L669" s="18"/>
      <c r="M669" s="18"/>
      <c r="N669" s="90">
        <v>178.7</v>
      </c>
      <c r="O669" s="18">
        <v>164.72</v>
      </c>
      <c r="P669" s="18">
        <v>172.12</v>
      </c>
      <c r="Q669" s="18">
        <v>45.34</v>
      </c>
      <c r="R669" s="18">
        <v>11.97</v>
      </c>
      <c r="S669" s="18">
        <v>111.51</v>
      </c>
      <c r="T669" s="18">
        <v>88.43</v>
      </c>
      <c r="U669" s="18">
        <v>65.97</v>
      </c>
      <c r="V669" s="18">
        <v>47.29</v>
      </c>
      <c r="W669" s="18">
        <v>69.5</v>
      </c>
      <c r="X669" s="18">
        <v>83.32</v>
      </c>
      <c r="Y669" s="18">
        <v>39.729999999999997</v>
      </c>
      <c r="Z669" s="18">
        <v>92.37</v>
      </c>
      <c r="AA669" s="18">
        <v>70.790000000000006</v>
      </c>
      <c r="AB669" s="18">
        <v>72</v>
      </c>
      <c r="AC669" s="18">
        <v>17.739999999999998</v>
      </c>
      <c r="AD669" s="18">
        <v>44.9</v>
      </c>
      <c r="AE669" s="18">
        <v>29.38</v>
      </c>
      <c r="AF669" s="18">
        <v>37.72</v>
      </c>
      <c r="AG669" s="18">
        <v>33.590000000000003</v>
      </c>
      <c r="AH669" s="18">
        <v>40.86</v>
      </c>
      <c r="AI669" s="18">
        <v>1.536</v>
      </c>
      <c r="AJ669" s="18"/>
      <c r="AK669" s="18"/>
      <c r="AL669" s="103"/>
      <c r="AM669" s="18"/>
      <c r="AN669" s="18"/>
      <c r="AO669" s="18">
        <v>5.7</v>
      </c>
      <c r="AP669" s="18">
        <v>74.400000000000006</v>
      </c>
      <c r="AQ669" s="18">
        <v>56</v>
      </c>
      <c r="AR669" s="18">
        <v>40.4</v>
      </c>
      <c r="AS669" s="18">
        <v>17.3</v>
      </c>
      <c r="AT669" s="18" t="s">
        <v>147</v>
      </c>
      <c r="AU669" s="18" t="s">
        <v>147</v>
      </c>
    </row>
    <row r="670" spans="1:47" x14ac:dyDescent="0.2">
      <c r="A670" s="29">
        <v>675.99999999999841</v>
      </c>
      <c r="B670" s="28">
        <v>419</v>
      </c>
      <c r="C670" s="18">
        <v>22.669</v>
      </c>
      <c r="D670" s="106" t="s">
        <v>168</v>
      </c>
      <c r="E670" s="28" t="s">
        <v>232</v>
      </c>
      <c r="F670" s="17" t="s">
        <v>31</v>
      </c>
      <c r="G670" s="17" t="s">
        <v>31</v>
      </c>
      <c r="H670" s="28"/>
      <c r="I670" s="107">
        <v>44761</v>
      </c>
      <c r="J670" s="28" t="s">
        <v>142</v>
      </c>
      <c r="K670" s="28" t="s">
        <v>203</v>
      </c>
      <c r="L670" s="18"/>
      <c r="M670" s="18"/>
      <c r="N670" s="90">
        <v>114.8</v>
      </c>
      <c r="O670" s="18">
        <v>134.59</v>
      </c>
      <c r="P670" s="18">
        <v>135.97999999999999</v>
      </c>
      <c r="Q670" s="18">
        <v>40.06</v>
      </c>
      <c r="R670" s="18">
        <v>10.42</v>
      </c>
      <c r="S670" s="18">
        <v>84.88</v>
      </c>
      <c r="T670" s="18">
        <v>71.209999999999994</v>
      </c>
      <c r="U670" s="18">
        <v>58.65</v>
      </c>
      <c r="V670" s="18">
        <v>48.17</v>
      </c>
      <c r="W670" s="18">
        <v>67.52</v>
      </c>
      <c r="X670" s="18">
        <v>76.03</v>
      </c>
      <c r="Y670" s="18">
        <v>32.75</v>
      </c>
      <c r="Z670" s="18">
        <v>84.47</v>
      </c>
      <c r="AA670" s="18">
        <v>63.38</v>
      </c>
      <c r="AB670" s="18">
        <v>66.89</v>
      </c>
      <c r="AC670" s="18">
        <v>22.9</v>
      </c>
      <c r="AD670" s="18">
        <v>37.630000000000003</v>
      </c>
      <c r="AE670" s="18">
        <v>25.44</v>
      </c>
      <c r="AF670" s="18">
        <v>30.37</v>
      </c>
      <c r="AG670" s="18">
        <v>30.38</v>
      </c>
      <c r="AH670" s="18">
        <v>27.2</v>
      </c>
      <c r="AI670" s="18">
        <v>1.3009999999999999</v>
      </c>
      <c r="AJ670" s="18"/>
      <c r="AK670" s="18"/>
      <c r="AL670" s="103"/>
      <c r="AM670" s="18"/>
      <c r="AN670" s="18"/>
      <c r="AO670" s="18">
        <v>5.3</v>
      </c>
      <c r="AP670" s="18">
        <v>66.7</v>
      </c>
      <c r="AQ670" s="18">
        <v>11.4</v>
      </c>
      <c r="AR670" s="18">
        <v>30.1</v>
      </c>
      <c r="AS670" s="18">
        <v>13.2</v>
      </c>
      <c r="AT670" s="18" t="s">
        <v>147</v>
      </c>
      <c r="AU670" s="18" t="s">
        <v>147</v>
      </c>
    </row>
    <row r="671" spans="1:47" x14ac:dyDescent="0.2">
      <c r="A671" s="29">
        <v>676.99999999999955</v>
      </c>
      <c r="B671" s="28" t="s">
        <v>383</v>
      </c>
      <c r="C671" s="27" t="s">
        <v>384</v>
      </c>
      <c r="D671" s="105" t="s">
        <v>179</v>
      </c>
      <c r="E671" s="18" t="s">
        <v>180</v>
      </c>
      <c r="F671" t="s">
        <v>181</v>
      </c>
      <c r="G671" s="18"/>
      <c r="H671" t="s">
        <v>280</v>
      </c>
      <c r="I671" s="76">
        <v>44749</v>
      </c>
      <c r="J671" s="28" t="s">
        <v>238</v>
      </c>
      <c r="K671" s="28" t="s">
        <v>203</v>
      </c>
      <c r="L671" s="18">
        <v>220</v>
      </c>
      <c r="M671" s="18"/>
      <c r="N671" s="90">
        <v>220.7</v>
      </c>
      <c r="O671" s="18">
        <v>169.86</v>
      </c>
      <c r="P671" s="18">
        <v>184.27</v>
      </c>
      <c r="Q671" s="18">
        <v>36.619999999999997</v>
      </c>
      <c r="R671" s="18">
        <v>24.4</v>
      </c>
      <c r="S671" s="18">
        <v>121.79</v>
      </c>
      <c r="T671" s="18">
        <v>97.86</v>
      </c>
      <c r="U671" s="18">
        <v>61.54</v>
      </c>
      <c r="V671" s="18">
        <v>45.8</v>
      </c>
      <c r="W671" s="18">
        <v>70.819999999999993</v>
      </c>
      <c r="X671" s="18">
        <v>84.5</v>
      </c>
      <c r="Y671" s="18">
        <v>37.619999999999997</v>
      </c>
      <c r="Z671" s="18">
        <v>93.72</v>
      </c>
      <c r="AA671" s="18">
        <v>75.77</v>
      </c>
      <c r="AB671" s="18">
        <v>72.510000000000005</v>
      </c>
      <c r="AC671" s="18">
        <v>16.84</v>
      </c>
      <c r="AD671" s="18">
        <v>46.91</v>
      </c>
      <c r="AE671" s="18">
        <v>32.69</v>
      </c>
      <c r="AF671" s="18">
        <v>37.06</v>
      </c>
      <c r="AG671" s="18">
        <v>35.880000000000003</v>
      </c>
      <c r="AH671" s="18">
        <v>39.83</v>
      </c>
      <c r="AI671" s="18">
        <v>1.268</v>
      </c>
      <c r="AJ671" s="18"/>
      <c r="AK671" s="18"/>
      <c r="AL671" s="18">
        <v>32</v>
      </c>
      <c r="AM671" s="18"/>
      <c r="AN671" s="18"/>
      <c r="AO671" s="18">
        <f>18.2-10.8</f>
        <v>7.3999999999999986</v>
      </c>
      <c r="AP671" s="18">
        <f>86-10.6</f>
        <v>75.400000000000006</v>
      </c>
      <c r="AQ671" s="18">
        <f>73.6-10.5</f>
        <v>63.099999999999994</v>
      </c>
      <c r="AR671" s="18">
        <v>40.700000000000003</v>
      </c>
      <c r="AS671" s="18">
        <v>17.600000000000001</v>
      </c>
      <c r="AT671" s="18" t="s">
        <v>147</v>
      </c>
      <c r="AU671" s="18" t="s">
        <v>147</v>
      </c>
    </row>
    <row r="672" spans="1:47" x14ac:dyDescent="0.2">
      <c r="A672" s="29">
        <v>678.0000000000008</v>
      </c>
      <c r="B672" s="17" t="s">
        <v>334</v>
      </c>
      <c r="C672" s="18">
        <v>22.670999999999999</v>
      </c>
      <c r="D672" s="74" t="s">
        <v>179</v>
      </c>
      <c r="E672" s="18" t="s">
        <v>180</v>
      </c>
      <c r="F672" t="s">
        <v>181</v>
      </c>
      <c r="G672" s="18"/>
      <c r="H672" t="s">
        <v>280</v>
      </c>
      <c r="I672" s="32">
        <v>44749</v>
      </c>
      <c r="J672" s="17" t="s">
        <v>238</v>
      </c>
      <c r="K672" s="17" t="s">
        <v>203</v>
      </c>
      <c r="L672">
        <v>205</v>
      </c>
      <c r="M672"/>
      <c r="N672" s="92"/>
      <c r="O672" s="58">
        <v>175.67</v>
      </c>
      <c r="P672" s="58">
        <v>189.1</v>
      </c>
      <c r="Q672" s="58">
        <v>37.33</v>
      </c>
      <c r="R672" s="58">
        <v>22.21</v>
      </c>
      <c r="S672" s="58">
        <v>122.41</v>
      </c>
      <c r="T672" s="58">
        <v>93.86</v>
      </c>
      <c r="U672" s="58">
        <v>62.95</v>
      </c>
      <c r="V672" s="58">
        <v>45.42</v>
      </c>
      <c r="W672" s="58">
        <v>70.66</v>
      </c>
      <c r="X672" s="58">
        <v>83.74</v>
      </c>
      <c r="Y672" s="58">
        <v>35.31</v>
      </c>
      <c r="Z672" s="58">
        <v>92.81</v>
      </c>
      <c r="AA672" s="58">
        <v>74.58</v>
      </c>
      <c r="AB672" s="58">
        <v>74.61</v>
      </c>
      <c r="AC672" s="58">
        <v>14.43</v>
      </c>
      <c r="AD672" s="58">
        <v>43.96</v>
      </c>
      <c r="AE672" s="58">
        <v>31.79</v>
      </c>
      <c r="AF672" s="58">
        <v>38.15</v>
      </c>
      <c r="AG672" s="58">
        <v>34.840000000000003</v>
      </c>
      <c r="AH672" s="58">
        <v>41.19</v>
      </c>
      <c r="AI672" s="18">
        <v>1.129</v>
      </c>
      <c r="AJ672" s="18"/>
      <c r="AK672" s="18"/>
      <c r="AL672" s="18">
        <v>25</v>
      </c>
      <c r="AM672" s="18"/>
      <c r="AN672" s="18"/>
      <c r="AO672" s="18">
        <f>16.9-11.1</f>
        <v>5.7999999999999989</v>
      </c>
      <c r="AP672" s="18">
        <f>64.1-10.9</f>
        <v>53.199999999999996</v>
      </c>
      <c r="AQ672" s="18">
        <f>94.1-10.3</f>
        <v>83.8</v>
      </c>
      <c r="AR672" s="18">
        <v>35.6</v>
      </c>
      <c r="AS672" s="18">
        <v>15.7</v>
      </c>
      <c r="AT672" s="18" t="s">
        <v>310</v>
      </c>
      <c r="AU672" s="18" t="s">
        <v>147</v>
      </c>
    </row>
    <row r="673" spans="1:47" x14ac:dyDescent="0.2">
      <c r="A673" s="29">
        <v>678.99999999999852</v>
      </c>
      <c r="B673" s="28" t="s">
        <v>385</v>
      </c>
      <c r="C673" s="18">
        <v>22.672000000000001</v>
      </c>
      <c r="D673" s="105" t="s">
        <v>179</v>
      </c>
      <c r="E673" s="18" t="s">
        <v>180</v>
      </c>
      <c r="F673" t="s">
        <v>181</v>
      </c>
      <c r="G673" s="18"/>
      <c r="H673" t="s">
        <v>182</v>
      </c>
      <c r="I673" s="76">
        <v>44802</v>
      </c>
      <c r="J673" s="28" t="s">
        <v>238</v>
      </c>
      <c r="K673" s="28" t="s">
        <v>203</v>
      </c>
      <c r="L673" s="18">
        <v>230</v>
      </c>
      <c r="M673" s="18"/>
      <c r="N673" s="90">
        <v>228.3</v>
      </c>
      <c r="O673" s="18">
        <v>195.66</v>
      </c>
      <c r="P673" s="18">
        <v>202.24</v>
      </c>
      <c r="Q673" s="18">
        <v>43.05</v>
      </c>
      <c r="R673" s="18">
        <v>24.68</v>
      </c>
      <c r="S673" s="18">
        <v>129.41999999999999</v>
      </c>
      <c r="T673" s="18">
        <v>102.41</v>
      </c>
      <c r="U673" s="18">
        <v>64.98</v>
      </c>
      <c r="V673" s="18">
        <v>47.04</v>
      </c>
      <c r="W673" s="18">
        <v>72.14</v>
      </c>
      <c r="X673" s="18">
        <v>87.25</v>
      </c>
      <c r="Y673" s="18">
        <v>39.909999999999997</v>
      </c>
      <c r="Z673" s="18">
        <v>96.95</v>
      </c>
      <c r="AA673" s="18">
        <v>77.92</v>
      </c>
      <c r="AB673" s="18">
        <v>74.72</v>
      </c>
      <c r="AC673" s="18">
        <v>13.99</v>
      </c>
      <c r="AD673" s="18">
        <v>44.77</v>
      </c>
      <c r="AE673" s="18">
        <v>34.729999999999997</v>
      </c>
      <c r="AF673" s="18">
        <v>41.36</v>
      </c>
      <c r="AG673" s="18">
        <v>38.32</v>
      </c>
      <c r="AH673" s="18">
        <v>44.19</v>
      </c>
      <c r="AI673" s="18">
        <v>1.2430000000000001</v>
      </c>
      <c r="AJ673" s="18"/>
      <c r="AK673" s="18"/>
      <c r="AL673" s="18">
        <f>14+4+3.5</f>
        <v>21.5</v>
      </c>
      <c r="AM673" s="18"/>
      <c r="AN673" s="18"/>
      <c r="AO673" s="18">
        <f>18.8-10.3</f>
        <v>8.5</v>
      </c>
      <c r="AP673" s="18">
        <f>86.7-10.6</f>
        <v>76.100000000000009</v>
      </c>
      <c r="AQ673" s="18">
        <f>83.5-10.8</f>
        <v>72.7</v>
      </c>
      <c r="AR673" s="18">
        <v>42.4</v>
      </c>
      <c r="AS673" s="18">
        <v>18.899999999999999</v>
      </c>
      <c r="AT673" s="18" t="s">
        <v>310</v>
      </c>
      <c r="AU673" s="18" t="s">
        <v>147</v>
      </c>
    </row>
    <row r="674" spans="1:47" x14ac:dyDescent="0.2">
      <c r="A674" s="29">
        <v>679.99999999999977</v>
      </c>
      <c r="B674" s="108">
        <v>433</v>
      </c>
      <c r="C674" s="18">
        <v>22.672999999999998</v>
      </c>
      <c r="D674" s="106" t="s">
        <v>168</v>
      </c>
      <c r="E674" s="28" t="s">
        <v>169</v>
      </c>
      <c r="F674" s="17" t="s">
        <v>170</v>
      </c>
      <c r="G674" s="28"/>
      <c r="H674" s="3" t="s">
        <v>234</v>
      </c>
      <c r="I674" s="107">
        <v>44788</v>
      </c>
      <c r="J674" s="28" t="s">
        <v>142</v>
      </c>
      <c r="K674" s="28" t="s">
        <v>203</v>
      </c>
      <c r="L674" s="18"/>
      <c r="M674" s="18"/>
      <c r="N674" s="90">
        <v>211.3</v>
      </c>
      <c r="O674" s="18">
        <v>139.11000000000001</v>
      </c>
      <c r="P674" s="18">
        <v>127.63</v>
      </c>
      <c r="Q674" s="18">
        <v>6.47</v>
      </c>
      <c r="R674" s="18">
        <v>7.92</v>
      </c>
      <c r="S674" s="18">
        <v>117.56</v>
      </c>
      <c r="T674" s="18">
        <v>88.83</v>
      </c>
      <c r="U674" s="18">
        <v>66.95</v>
      </c>
      <c r="V674" s="18">
        <v>56.41</v>
      </c>
      <c r="W674" s="18">
        <v>67.91</v>
      </c>
      <c r="X674" s="18">
        <v>74.989999999999995</v>
      </c>
      <c r="Y674" s="18">
        <v>37.78</v>
      </c>
      <c r="Z674" s="18">
        <v>82.78</v>
      </c>
      <c r="AA674" s="18">
        <v>71.069999999999993</v>
      </c>
      <c r="AB674" s="18">
        <v>68.099999999999994</v>
      </c>
      <c r="AC674" s="18">
        <v>51.39</v>
      </c>
      <c r="AD674" s="18">
        <v>51.77</v>
      </c>
      <c r="AE674" s="103"/>
      <c r="AF674" s="103"/>
      <c r="AG674" s="103"/>
      <c r="AH674" s="103"/>
      <c r="AI674" s="18">
        <v>1.306</v>
      </c>
      <c r="AJ674" s="18"/>
      <c r="AK674" s="18"/>
      <c r="AL674" s="109"/>
      <c r="AM674" s="18"/>
      <c r="AN674" s="18"/>
      <c r="AO674" s="18">
        <v>5.6</v>
      </c>
      <c r="AP674" s="18">
        <v>40.6</v>
      </c>
      <c r="AQ674" s="18">
        <v>110.1</v>
      </c>
      <c r="AR674" s="18">
        <v>51.5</v>
      </c>
      <c r="AS674" s="18">
        <v>20.7</v>
      </c>
      <c r="AT674" s="18" t="s">
        <v>147</v>
      </c>
      <c r="AU674" s="18" t="s">
        <v>147</v>
      </c>
    </row>
    <row r="675" spans="1:47" x14ac:dyDescent="0.2">
      <c r="A675" s="29">
        <v>681.00000000000091</v>
      </c>
      <c r="B675" s="108">
        <v>444</v>
      </c>
      <c r="C675" s="18">
        <v>22.673999999999999</v>
      </c>
      <c r="D675" s="106" t="s">
        <v>168</v>
      </c>
      <c r="E675" s="28" t="s">
        <v>169</v>
      </c>
      <c r="F675" s="17" t="s">
        <v>170</v>
      </c>
      <c r="G675" s="3" t="s">
        <v>29</v>
      </c>
      <c r="H675" s="28"/>
      <c r="I675" s="107">
        <v>44801</v>
      </c>
      <c r="J675" s="28" t="s">
        <v>142</v>
      </c>
      <c r="K675" s="28" t="s">
        <v>203</v>
      </c>
      <c r="L675" s="18"/>
      <c r="M675" s="18"/>
      <c r="N675" s="90">
        <v>220.9</v>
      </c>
      <c r="O675" s="18">
        <v>146.31</v>
      </c>
      <c r="P675" s="18">
        <v>124.6</v>
      </c>
      <c r="Q675" s="18">
        <v>19.88</v>
      </c>
      <c r="R675" s="18">
        <v>6.64</v>
      </c>
      <c r="S675" s="18">
        <v>114.03</v>
      </c>
      <c r="T675" s="18">
        <v>87.43</v>
      </c>
      <c r="U675" s="18">
        <v>72.38</v>
      </c>
      <c r="V675" s="18">
        <v>61.69</v>
      </c>
      <c r="W675" s="18">
        <v>71.430000000000007</v>
      </c>
      <c r="X675" s="18">
        <v>83.15</v>
      </c>
      <c r="Y675" s="18">
        <v>34.950000000000003</v>
      </c>
      <c r="Z675" s="18">
        <v>91.17</v>
      </c>
      <c r="AA675" s="18">
        <v>75.84</v>
      </c>
      <c r="AB675" s="18">
        <v>78.27</v>
      </c>
      <c r="AC675" s="18">
        <v>45.74</v>
      </c>
      <c r="AD675" s="18">
        <v>52.82</v>
      </c>
      <c r="AE675" s="18">
        <v>26.72</v>
      </c>
      <c r="AF675" s="18">
        <v>35.86</v>
      </c>
      <c r="AG675" s="18">
        <v>31.3</v>
      </c>
      <c r="AH675" s="18">
        <v>33.51</v>
      </c>
      <c r="AI675" s="18">
        <v>1.466</v>
      </c>
      <c r="AJ675" s="18"/>
      <c r="AK675" s="18"/>
      <c r="AL675" s="109"/>
      <c r="AM675" s="18"/>
      <c r="AN675" s="18"/>
      <c r="AO675" s="18">
        <v>5.8</v>
      </c>
      <c r="AP675" s="18">
        <v>54.1</v>
      </c>
      <c r="AQ675" s="18">
        <v>105.9</v>
      </c>
      <c r="AR675" s="18">
        <v>52.8</v>
      </c>
      <c r="AS675" s="18">
        <v>22</v>
      </c>
      <c r="AT675" s="18" t="s">
        <v>147</v>
      </c>
      <c r="AU675" s="18" t="s">
        <v>147</v>
      </c>
    </row>
    <row r="676" spans="1:47" x14ac:dyDescent="0.2">
      <c r="A676" s="29">
        <v>681.99999999999864</v>
      </c>
      <c r="B676" s="108">
        <v>456</v>
      </c>
      <c r="C676" s="18">
        <v>22.675000000000001</v>
      </c>
      <c r="D676" s="106" t="s">
        <v>168</v>
      </c>
      <c r="E676" s="17" t="s">
        <v>169</v>
      </c>
      <c r="F676" s="17" t="s">
        <v>170</v>
      </c>
      <c r="G676" s="3" t="s">
        <v>29</v>
      </c>
      <c r="H676" s="17"/>
      <c r="I676" s="68">
        <v>44815</v>
      </c>
      <c r="J676" s="28" t="s">
        <v>142</v>
      </c>
      <c r="K676" s="28" t="s">
        <v>203</v>
      </c>
      <c r="L676" s="18"/>
      <c r="M676" s="18"/>
      <c r="N676" s="90">
        <v>235.4</v>
      </c>
      <c r="O676" s="18">
        <v>156.18</v>
      </c>
      <c r="P676" s="18">
        <v>146.38</v>
      </c>
      <c r="Q676" s="18">
        <v>21.12</v>
      </c>
      <c r="R676" s="18">
        <v>8.33</v>
      </c>
      <c r="S676" s="18">
        <v>122.58</v>
      </c>
      <c r="T676" s="18">
        <v>92.31</v>
      </c>
      <c r="U676" s="18">
        <v>74.760000000000005</v>
      </c>
      <c r="V676" s="18">
        <v>61.15</v>
      </c>
      <c r="W676" s="18">
        <v>75.55</v>
      </c>
      <c r="X676" s="18">
        <v>90.67</v>
      </c>
      <c r="Y676" s="18">
        <v>39.54</v>
      </c>
      <c r="Z676" s="18">
        <v>96.2</v>
      </c>
      <c r="AA676" s="18">
        <v>78.89</v>
      </c>
      <c r="AB676" s="18">
        <v>84.63</v>
      </c>
      <c r="AC676" s="18">
        <v>53.62</v>
      </c>
      <c r="AD676" s="18">
        <v>51.43</v>
      </c>
      <c r="AE676" s="18">
        <v>28.47</v>
      </c>
      <c r="AF676" s="18">
        <v>29.66</v>
      </c>
      <c r="AG676" s="18">
        <v>25.69</v>
      </c>
      <c r="AH676" s="18">
        <v>31.01</v>
      </c>
      <c r="AI676" s="18">
        <v>1.4450000000000001</v>
      </c>
      <c r="AJ676" s="18"/>
      <c r="AK676" s="18"/>
      <c r="AL676" s="18">
        <v>25</v>
      </c>
      <c r="AM676" s="18"/>
      <c r="AN676" s="18"/>
      <c r="AO676" s="18">
        <v>8.3000000000000007</v>
      </c>
      <c r="AP676" s="18">
        <v>70.5</v>
      </c>
      <c r="AQ676" s="18">
        <v>73.099999999999994</v>
      </c>
      <c r="AR676" s="18">
        <v>56.3</v>
      </c>
      <c r="AS676" s="18">
        <v>23.4</v>
      </c>
      <c r="AT676" s="18" t="s">
        <v>147</v>
      </c>
      <c r="AU676" s="18" t="s">
        <v>147</v>
      </c>
    </row>
    <row r="677" spans="1:47" x14ac:dyDescent="0.2">
      <c r="A677" s="29">
        <v>682.99999999999977</v>
      </c>
      <c r="B677" s="108">
        <v>463</v>
      </c>
      <c r="C677" s="18">
        <v>22.675999999999998</v>
      </c>
      <c r="D677" s="106" t="s">
        <v>168</v>
      </c>
      <c r="E677" s="17" t="s">
        <v>169</v>
      </c>
      <c r="F677" s="3" t="s">
        <v>170</v>
      </c>
      <c r="G677" t="s">
        <v>30</v>
      </c>
      <c r="H677" s="17"/>
      <c r="I677" s="68">
        <v>44819</v>
      </c>
      <c r="J677" s="28" t="s">
        <v>142</v>
      </c>
      <c r="K677" s="28" t="s">
        <v>203</v>
      </c>
      <c r="L677" s="18"/>
      <c r="M677" s="18"/>
      <c r="N677" s="90">
        <v>235.3</v>
      </c>
      <c r="O677" s="18">
        <v>181.73</v>
      </c>
      <c r="P677" s="18">
        <v>190.95</v>
      </c>
      <c r="Q677" s="18">
        <v>41.54</v>
      </c>
      <c r="R677" s="18">
        <v>29.35</v>
      </c>
      <c r="S677" s="18">
        <v>117.92</v>
      </c>
      <c r="T677" s="18">
        <v>99.33</v>
      </c>
      <c r="U677" s="18">
        <v>71.23</v>
      </c>
      <c r="V677" s="18">
        <v>53.21</v>
      </c>
      <c r="W677" s="18">
        <v>77.48</v>
      </c>
      <c r="X677" s="18">
        <v>94.33</v>
      </c>
      <c r="Y677" s="18">
        <v>41.9</v>
      </c>
      <c r="Z677" s="18">
        <v>104.04</v>
      </c>
      <c r="AA677" s="18">
        <v>81.150000000000006</v>
      </c>
      <c r="AB677" s="18">
        <v>81.91</v>
      </c>
      <c r="AC677" s="18">
        <v>13.53</v>
      </c>
      <c r="AD677" s="18">
        <v>47.08</v>
      </c>
      <c r="AE677" s="18">
        <v>36.86</v>
      </c>
      <c r="AF677" s="18">
        <v>43.42</v>
      </c>
      <c r="AG677" s="18">
        <v>44</v>
      </c>
      <c r="AH677" s="18">
        <v>44.21</v>
      </c>
      <c r="AI677" s="18">
        <v>1.466</v>
      </c>
      <c r="AJ677" s="18"/>
      <c r="AK677" s="18"/>
      <c r="AL677" s="18">
        <f>20+15+4</f>
        <v>39</v>
      </c>
      <c r="AM677" s="18"/>
      <c r="AN677" s="18"/>
      <c r="AO677" s="18">
        <v>8.6999999999999993</v>
      </c>
      <c r="AP677" s="18">
        <v>101.7</v>
      </c>
      <c r="AQ677" s="18">
        <v>36</v>
      </c>
      <c r="AR677" s="18">
        <v>48</v>
      </c>
      <c r="AS677" s="18">
        <v>20.8</v>
      </c>
      <c r="AT677" s="18" t="s">
        <v>147</v>
      </c>
      <c r="AU677" s="18" t="s">
        <v>147</v>
      </c>
    </row>
    <row r="678" spans="1:47" x14ac:dyDescent="0.2">
      <c r="A678" s="29">
        <v>684.00000000000102</v>
      </c>
      <c r="B678" s="108">
        <v>453</v>
      </c>
      <c r="C678" s="18">
        <v>22.677</v>
      </c>
      <c r="D678" s="106" t="s">
        <v>168</v>
      </c>
      <c r="E678" s="28" t="s">
        <v>169</v>
      </c>
      <c r="F678" s="17" t="s">
        <v>170</v>
      </c>
      <c r="G678" s="28"/>
      <c r="H678" s="3" t="s">
        <v>234</v>
      </c>
      <c r="I678" s="107">
        <v>44805</v>
      </c>
      <c r="J678" s="28" t="s">
        <v>142</v>
      </c>
      <c r="K678" s="28" t="s">
        <v>203</v>
      </c>
      <c r="L678" s="18"/>
      <c r="M678" s="18"/>
      <c r="N678" s="90">
        <v>228.3</v>
      </c>
      <c r="O678" s="18">
        <v>158.43</v>
      </c>
      <c r="P678" s="18">
        <v>171.47</v>
      </c>
      <c r="Q678" s="18">
        <v>34.96</v>
      </c>
      <c r="R678" s="18">
        <v>15.32</v>
      </c>
      <c r="S678" s="18">
        <v>115.51</v>
      </c>
      <c r="T678" s="18">
        <v>89.38</v>
      </c>
      <c r="U678" s="18">
        <v>70.73</v>
      </c>
      <c r="V678" s="18">
        <v>55.05</v>
      </c>
      <c r="W678" s="18">
        <v>74.099999999999994</v>
      </c>
      <c r="X678" s="18">
        <v>88.19</v>
      </c>
      <c r="Y678" s="18">
        <v>43.65</v>
      </c>
      <c r="Z678" s="18">
        <v>98.86</v>
      </c>
      <c r="AA678" s="18">
        <v>82.31</v>
      </c>
      <c r="AB678" s="18">
        <v>82.21</v>
      </c>
      <c r="AC678" s="18">
        <v>27.53</v>
      </c>
      <c r="AD678" s="18">
        <v>47.8</v>
      </c>
      <c r="AE678" s="18">
        <v>28.72</v>
      </c>
      <c r="AF678" s="18">
        <v>40.659999999999997</v>
      </c>
      <c r="AG678" s="18">
        <v>33.6</v>
      </c>
      <c r="AH678" s="18">
        <v>42.37</v>
      </c>
      <c r="AI678" s="18">
        <v>1.671</v>
      </c>
      <c r="AJ678" s="18"/>
      <c r="AK678" s="18"/>
      <c r="AL678" s="18">
        <v>21</v>
      </c>
      <c r="AM678" s="18"/>
      <c r="AN678" s="18"/>
      <c r="AO678" s="18">
        <v>6.6</v>
      </c>
      <c r="AP678" s="18">
        <v>84.9</v>
      </c>
      <c r="AQ678" s="18">
        <v>64.900000000000006</v>
      </c>
      <c r="AR678" s="18">
        <v>46.8</v>
      </c>
      <c r="AS678" s="18">
        <v>21</v>
      </c>
      <c r="AT678" s="18" t="s">
        <v>147</v>
      </c>
      <c r="AU678" s="18" t="s">
        <v>147</v>
      </c>
    </row>
    <row r="679" spans="1:47" x14ac:dyDescent="0.2">
      <c r="A679" s="29">
        <v>684.99999999999875</v>
      </c>
      <c r="B679" s="108">
        <v>455</v>
      </c>
      <c r="C679" s="18">
        <v>22.678000000000001</v>
      </c>
      <c r="D679" s="106" t="s">
        <v>168</v>
      </c>
      <c r="E679" s="28" t="s">
        <v>169</v>
      </c>
      <c r="F679" s="17" t="s">
        <v>170</v>
      </c>
      <c r="G679" s="3" t="s">
        <v>29</v>
      </c>
      <c r="H679" s="28"/>
      <c r="I679" s="107">
        <v>44805</v>
      </c>
      <c r="J679" s="28" t="s">
        <v>142</v>
      </c>
      <c r="K679" s="28" t="s">
        <v>203</v>
      </c>
      <c r="L679" s="18"/>
      <c r="M679" s="18"/>
      <c r="N679" s="90">
        <v>217.7</v>
      </c>
      <c r="O679" s="18">
        <v>134.63</v>
      </c>
      <c r="P679" s="18">
        <v>117.18</v>
      </c>
      <c r="Q679" s="18">
        <v>16.649999999999999</v>
      </c>
      <c r="R679" s="18">
        <v>4.58</v>
      </c>
      <c r="S679" s="18">
        <v>105.04</v>
      </c>
      <c r="T679" s="18">
        <v>79.38</v>
      </c>
      <c r="U679" s="18">
        <v>73.06</v>
      </c>
      <c r="V679" s="18">
        <v>61.76</v>
      </c>
      <c r="W679" s="18">
        <v>73.05</v>
      </c>
      <c r="X679" s="18">
        <v>81.8</v>
      </c>
      <c r="Y679" s="18">
        <v>39.4</v>
      </c>
      <c r="Z679" s="18">
        <v>92.62</v>
      </c>
      <c r="AA679" s="18">
        <v>77.040000000000006</v>
      </c>
      <c r="AB679" s="18">
        <v>82.9</v>
      </c>
      <c r="AC679" s="18">
        <v>50.61</v>
      </c>
      <c r="AD679" s="18">
        <v>53.82</v>
      </c>
      <c r="AE679" s="18">
        <v>26.45</v>
      </c>
      <c r="AF679" s="18">
        <v>31.33</v>
      </c>
      <c r="AG679" s="18">
        <v>25.06</v>
      </c>
      <c r="AH679" s="18">
        <v>24.7</v>
      </c>
      <c r="AI679" s="18">
        <v>1.726</v>
      </c>
      <c r="AJ679" s="18"/>
      <c r="AK679" s="18"/>
      <c r="AL679" s="18">
        <f>14+9+4</f>
        <v>27</v>
      </c>
      <c r="AM679" s="18"/>
      <c r="AN679" s="18"/>
      <c r="AO679" s="18">
        <v>8.8000000000000007</v>
      </c>
      <c r="AP679" s="18">
        <v>63.4</v>
      </c>
      <c r="AQ679" s="18">
        <v>67.5</v>
      </c>
      <c r="AR679" s="18">
        <v>47.9</v>
      </c>
      <c r="AS679" s="18">
        <v>19.899999999999999</v>
      </c>
      <c r="AT679" s="18" t="s">
        <v>147</v>
      </c>
      <c r="AU679" s="18" t="s">
        <v>147</v>
      </c>
    </row>
    <row r="680" spans="1:47" x14ac:dyDescent="0.2">
      <c r="A680" s="29">
        <v>686</v>
      </c>
      <c r="B680" s="108">
        <v>458</v>
      </c>
      <c r="C680" s="18">
        <v>22.678999999999998</v>
      </c>
      <c r="D680" s="106" t="s">
        <v>168</v>
      </c>
      <c r="E680" s="17" t="s">
        <v>169</v>
      </c>
      <c r="F680" s="17" t="s">
        <v>170</v>
      </c>
      <c r="G680" s="3" t="s">
        <v>29</v>
      </c>
      <c r="H680" s="17"/>
      <c r="I680" s="68">
        <v>44815</v>
      </c>
      <c r="J680" s="28" t="s">
        <v>142</v>
      </c>
      <c r="K680" s="28" t="s">
        <v>203</v>
      </c>
      <c r="L680" s="18"/>
      <c r="M680" s="18"/>
      <c r="N680" s="90">
        <v>227.2</v>
      </c>
      <c r="O680" s="18">
        <v>156.04</v>
      </c>
      <c r="P680" s="18">
        <v>150.31</v>
      </c>
      <c r="Q680" s="18">
        <v>22.81</v>
      </c>
      <c r="R680" s="18">
        <v>6.31</v>
      </c>
      <c r="S680" s="18">
        <v>120.65</v>
      </c>
      <c r="T680" s="18">
        <v>91.5</v>
      </c>
      <c r="U680" s="18">
        <v>72.56</v>
      </c>
      <c r="V680" s="18">
        <v>61.66</v>
      </c>
      <c r="W680" s="18">
        <v>73.650000000000006</v>
      </c>
      <c r="X680" s="18">
        <v>85.7</v>
      </c>
      <c r="Y680" s="18">
        <v>37.659999999999997</v>
      </c>
      <c r="Z680" s="18">
        <v>93.91</v>
      </c>
      <c r="AA680" s="18">
        <v>75.02</v>
      </c>
      <c r="AB680" s="18">
        <v>81.430000000000007</v>
      </c>
      <c r="AC680" s="18">
        <v>54.4</v>
      </c>
      <c r="AD680" s="18">
        <v>52</v>
      </c>
      <c r="AE680" s="18">
        <v>31.02</v>
      </c>
      <c r="AF680" s="18">
        <v>30.52</v>
      </c>
      <c r="AG680" s="18">
        <v>28.37</v>
      </c>
      <c r="AH680" s="18">
        <v>31.78</v>
      </c>
      <c r="AI680" s="18">
        <v>1.52</v>
      </c>
      <c r="AJ680" s="18"/>
      <c r="AK680" s="18"/>
      <c r="AL680" s="18">
        <v>25</v>
      </c>
      <c r="AM680" s="18"/>
      <c r="AN680" s="18"/>
      <c r="AO680" s="18">
        <v>9.1999999999999993</v>
      </c>
      <c r="AP680" s="18">
        <v>68</v>
      </c>
      <c r="AQ680" s="18">
        <v>69.7</v>
      </c>
      <c r="AR680" s="18">
        <v>53</v>
      </c>
      <c r="AS680" s="18">
        <v>22.2</v>
      </c>
      <c r="AT680" s="18" t="s">
        <v>147</v>
      </c>
      <c r="AU680" s="18" t="s">
        <v>147</v>
      </c>
    </row>
    <row r="681" spans="1:47" x14ac:dyDescent="0.2">
      <c r="A681" s="29">
        <v>687.00000000000114</v>
      </c>
      <c r="B681" s="108">
        <v>449</v>
      </c>
      <c r="C681" s="27" t="s">
        <v>386</v>
      </c>
      <c r="D681" s="106" t="s">
        <v>168</v>
      </c>
      <c r="E681" s="28" t="s">
        <v>169</v>
      </c>
      <c r="F681" s="17" t="s">
        <v>170</v>
      </c>
      <c r="G681" s="3" t="s">
        <v>29</v>
      </c>
      <c r="H681" s="28"/>
      <c r="I681" s="107">
        <v>44805</v>
      </c>
      <c r="J681" s="28" t="s">
        <v>142</v>
      </c>
      <c r="K681" s="28" t="s">
        <v>203</v>
      </c>
      <c r="L681" s="18"/>
      <c r="M681" s="18"/>
      <c r="N681" s="90">
        <v>231.8</v>
      </c>
      <c r="O681" s="18">
        <v>156.74</v>
      </c>
      <c r="P681" s="18">
        <v>139.33000000000001</v>
      </c>
      <c r="Q681" s="18">
        <v>21.66</v>
      </c>
      <c r="R681" s="18">
        <v>9.56</v>
      </c>
      <c r="S681" s="18">
        <v>118.68</v>
      </c>
      <c r="T681" s="18">
        <v>92.29</v>
      </c>
      <c r="U681" s="18">
        <v>70.849999999999994</v>
      </c>
      <c r="V681" s="18">
        <v>59.3</v>
      </c>
      <c r="W681" s="18">
        <v>71.14</v>
      </c>
      <c r="X681" s="18">
        <v>84.41</v>
      </c>
      <c r="Y681" s="18">
        <v>38.65</v>
      </c>
      <c r="Z681" s="18">
        <v>92.16</v>
      </c>
      <c r="AA681" s="18">
        <v>76.89</v>
      </c>
      <c r="AB681" s="18">
        <v>81.97</v>
      </c>
      <c r="AC681" s="18">
        <v>51.16</v>
      </c>
      <c r="AD681" s="18">
        <v>53.51</v>
      </c>
      <c r="AE681" s="18">
        <v>34.79</v>
      </c>
      <c r="AF681" s="18">
        <v>25.56</v>
      </c>
      <c r="AG681" s="18">
        <v>34.14</v>
      </c>
      <c r="AH681" s="18">
        <v>28.91</v>
      </c>
      <c r="AI681" s="18">
        <v>1.5469999999999999</v>
      </c>
      <c r="AJ681" s="18"/>
      <c r="AK681" s="18"/>
      <c r="AL681" s="18">
        <v>22</v>
      </c>
      <c r="AM681" s="18"/>
      <c r="AN681" s="18"/>
      <c r="AO681" s="18">
        <v>8.8000000000000007</v>
      </c>
      <c r="AP681" s="18">
        <v>85.2</v>
      </c>
      <c r="AQ681" s="18">
        <v>59.1</v>
      </c>
      <c r="AR681" s="18">
        <v>53.5</v>
      </c>
      <c r="AS681" s="18">
        <v>22.3</v>
      </c>
      <c r="AT681" s="18" t="s">
        <v>147</v>
      </c>
      <c r="AU681" s="18" t="s">
        <v>147</v>
      </c>
    </row>
    <row r="682" spans="1:47" x14ac:dyDescent="0.2">
      <c r="A682" s="29">
        <v>687.99999999999886</v>
      </c>
      <c r="B682" s="108">
        <v>452</v>
      </c>
      <c r="C682" s="18">
        <v>22.681000000000001</v>
      </c>
      <c r="D682" s="106" t="s">
        <v>168</v>
      </c>
      <c r="E682" s="28" t="s">
        <v>169</v>
      </c>
      <c r="F682" s="3" t="s">
        <v>170</v>
      </c>
      <c r="G682" s="28"/>
      <c r="H682" s="18" t="s">
        <v>177</v>
      </c>
      <c r="I682" s="107">
        <v>44805</v>
      </c>
      <c r="J682" s="28" t="s">
        <v>142</v>
      </c>
      <c r="K682" s="28" t="s">
        <v>203</v>
      </c>
      <c r="L682" s="18"/>
      <c r="M682" s="18"/>
      <c r="N682" s="90">
        <v>232.4</v>
      </c>
      <c r="O682" s="18">
        <v>178.58</v>
      </c>
      <c r="P682" s="18">
        <v>183.96</v>
      </c>
      <c r="Q682" s="18">
        <v>39.979999999999997</v>
      </c>
      <c r="R682" s="18">
        <v>31.34</v>
      </c>
      <c r="S682" s="18">
        <v>116.83</v>
      </c>
      <c r="T682" s="18">
        <v>95.07</v>
      </c>
      <c r="U682" s="18">
        <v>70.97</v>
      </c>
      <c r="V682" s="18">
        <v>52.13</v>
      </c>
      <c r="W682" s="18">
        <v>76.349999999999994</v>
      </c>
      <c r="X682" s="18">
        <v>92.65</v>
      </c>
      <c r="Y682" s="18">
        <v>42.71</v>
      </c>
      <c r="Z682" s="18">
        <v>104.99</v>
      </c>
      <c r="AA682" s="18">
        <v>81.06</v>
      </c>
      <c r="AB682" s="18">
        <v>83.68</v>
      </c>
      <c r="AC682" s="18">
        <v>22.23</v>
      </c>
      <c r="AD682" s="18">
        <v>47.36</v>
      </c>
      <c r="AE682" s="18">
        <v>34.79</v>
      </c>
      <c r="AF682" s="18">
        <v>41.65</v>
      </c>
      <c r="AG682" s="18">
        <v>45.55</v>
      </c>
      <c r="AH682" s="18">
        <v>39.950000000000003</v>
      </c>
      <c r="AI682" s="18">
        <v>1.589</v>
      </c>
      <c r="AJ682" s="18"/>
      <c r="AK682" s="18"/>
      <c r="AL682" s="18">
        <v>20</v>
      </c>
      <c r="AM682" s="18"/>
      <c r="AN682" s="18"/>
      <c r="AO682" s="18">
        <v>8.3000000000000007</v>
      </c>
      <c r="AP682" s="18">
        <v>93.7</v>
      </c>
      <c r="AQ682" s="18">
        <v>59.2</v>
      </c>
      <c r="AR682" s="18">
        <v>48.8</v>
      </c>
      <c r="AS682" s="18">
        <v>21.6</v>
      </c>
      <c r="AT682" s="18" t="s">
        <v>147</v>
      </c>
      <c r="AU682" s="18" t="s">
        <v>147</v>
      </c>
    </row>
    <row r="683" spans="1:47" x14ac:dyDescent="0.2">
      <c r="A683" s="29">
        <v>689</v>
      </c>
      <c r="B683" s="108">
        <v>448</v>
      </c>
      <c r="C683" s="18">
        <v>22.681999999999999</v>
      </c>
      <c r="D683" s="106" t="s">
        <v>168</v>
      </c>
      <c r="E683" s="28" t="s">
        <v>169</v>
      </c>
      <c r="F683" s="17" t="s">
        <v>170</v>
      </c>
      <c r="G683" s="3" t="s">
        <v>29</v>
      </c>
      <c r="H683" s="28"/>
      <c r="I683" s="107">
        <v>44805</v>
      </c>
      <c r="J683" s="28" t="s">
        <v>142</v>
      </c>
      <c r="K683" s="28" t="s">
        <v>203</v>
      </c>
      <c r="L683" s="18"/>
      <c r="M683" s="18"/>
      <c r="N683" s="90">
        <v>245</v>
      </c>
      <c r="O683" s="18">
        <v>163.02000000000001</v>
      </c>
      <c r="P683" s="18">
        <v>176.51</v>
      </c>
      <c r="Q683" s="18">
        <v>33.18</v>
      </c>
      <c r="R683" s="18">
        <v>17.29</v>
      </c>
      <c r="S683" s="18">
        <v>119.91</v>
      </c>
      <c r="T683" s="18">
        <v>92.39</v>
      </c>
      <c r="U683" s="18">
        <v>68.09</v>
      </c>
      <c r="V683" s="18">
        <v>53.68</v>
      </c>
      <c r="W683" s="18">
        <v>71.930000000000007</v>
      </c>
      <c r="X683" s="18">
        <v>86.17</v>
      </c>
      <c r="Y683" s="18">
        <v>43.6</v>
      </c>
      <c r="Z683" s="18">
        <v>99.28</v>
      </c>
      <c r="AA683" s="18">
        <v>82.49</v>
      </c>
      <c r="AB683" s="18">
        <v>82.97</v>
      </c>
      <c r="AC683" s="18">
        <v>27.29</v>
      </c>
      <c r="AD683" s="18">
        <v>49.25</v>
      </c>
      <c r="AE683" s="18">
        <v>31.35</v>
      </c>
      <c r="AF683" s="18">
        <v>41.34</v>
      </c>
      <c r="AG683" s="18">
        <v>35.119999999999997</v>
      </c>
      <c r="AH683" s="18">
        <v>41.12</v>
      </c>
      <c r="AI683" s="18">
        <v>1.75</v>
      </c>
      <c r="AJ683" s="18"/>
      <c r="AK683" s="18"/>
      <c r="AL683" s="18">
        <v>19.5</v>
      </c>
      <c r="AM683" s="18"/>
      <c r="AN683" s="18"/>
      <c r="AO683" s="18">
        <v>7.8</v>
      </c>
      <c r="AP683" s="18">
        <v>97.2</v>
      </c>
      <c r="AQ683" s="18">
        <v>60.7</v>
      </c>
      <c r="AR683" s="18">
        <v>53.5</v>
      </c>
      <c r="AS683" s="18">
        <v>23.4</v>
      </c>
      <c r="AT683" s="18" t="s">
        <v>147</v>
      </c>
      <c r="AU683" s="18" t="s">
        <v>147</v>
      </c>
    </row>
    <row r="684" spans="1:47" x14ac:dyDescent="0.2">
      <c r="A684" s="29">
        <v>690.00000000000125</v>
      </c>
      <c r="B684">
        <v>136</v>
      </c>
      <c r="C684" s="18">
        <v>22.683</v>
      </c>
      <c r="D684" s="31" t="s">
        <v>140</v>
      </c>
      <c r="E684" s="3" t="s">
        <v>141</v>
      </c>
      <c r="F684" s="3" t="s">
        <v>60</v>
      </c>
      <c r="G684" s="3" t="s">
        <v>60</v>
      </c>
      <c r="I684" s="32">
        <v>44811</v>
      </c>
      <c r="J684" s="3" t="s">
        <v>142</v>
      </c>
      <c r="K684" s="3" t="s">
        <v>235</v>
      </c>
      <c r="M684" s="17">
        <v>236.4</v>
      </c>
      <c r="N684" s="88">
        <v>247.9</v>
      </c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  <c r="AA684" s="102"/>
      <c r="AB684" s="102"/>
      <c r="AC684" s="102"/>
      <c r="AD684" s="102"/>
      <c r="AE684" s="102"/>
      <c r="AF684" s="102"/>
      <c r="AG684" s="102"/>
      <c r="AH684" s="102"/>
      <c r="AI684">
        <v>1.008</v>
      </c>
      <c r="AJ684">
        <v>49.4</v>
      </c>
      <c r="AK684" t="s">
        <v>239</v>
      </c>
      <c r="AL684"/>
      <c r="AM684"/>
      <c r="AN684">
        <v>113</v>
      </c>
      <c r="AO684"/>
      <c r="AP684"/>
      <c r="AQ684"/>
      <c r="AR684"/>
      <c r="AS684"/>
      <c r="AT684" t="s">
        <v>146</v>
      </c>
      <c r="AU684" t="s">
        <v>358</v>
      </c>
    </row>
    <row r="685" spans="1:47" x14ac:dyDescent="0.2">
      <c r="A685" s="29">
        <v>690.99999999999898</v>
      </c>
      <c r="B685">
        <v>142</v>
      </c>
      <c r="C685">
        <v>22.684000000000001</v>
      </c>
      <c r="D685" s="31" t="s">
        <v>140</v>
      </c>
      <c r="E685" s="3" t="s">
        <v>141</v>
      </c>
      <c r="F685" s="3" t="s">
        <v>61</v>
      </c>
      <c r="H685" s="3" t="s">
        <v>61</v>
      </c>
      <c r="I685" s="32">
        <v>44822</v>
      </c>
      <c r="J685" s="3" t="s">
        <v>142</v>
      </c>
      <c r="K685" s="3" t="s">
        <v>235</v>
      </c>
      <c r="M685" s="17">
        <v>247.3</v>
      </c>
      <c r="N685" s="88">
        <v>258.5</v>
      </c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  <c r="AA685" s="102"/>
      <c r="AB685" s="102"/>
      <c r="AC685" s="102"/>
      <c r="AD685" s="102"/>
      <c r="AE685" s="102"/>
      <c r="AF685" s="102"/>
      <c r="AG685" s="102"/>
      <c r="AH685" s="102"/>
      <c r="AI685">
        <v>1.0169999999999999</v>
      </c>
      <c r="AJ685">
        <v>51.8</v>
      </c>
      <c r="AK685" t="s">
        <v>239</v>
      </c>
      <c r="AL685"/>
      <c r="AM685"/>
      <c r="AN685">
        <v>110</v>
      </c>
      <c r="AO685"/>
      <c r="AP685"/>
      <c r="AQ685"/>
      <c r="AR685"/>
      <c r="AS685"/>
      <c r="AT685" t="s">
        <v>146</v>
      </c>
      <c r="AU685" t="s">
        <v>358</v>
      </c>
    </row>
    <row r="686" spans="1:47" x14ac:dyDescent="0.2">
      <c r="A686" s="29">
        <v>692.00000000000023</v>
      </c>
      <c r="B686">
        <v>152</v>
      </c>
      <c r="C686" s="18">
        <v>22.684999999999999</v>
      </c>
      <c r="D686" s="31" t="s">
        <v>140</v>
      </c>
      <c r="E686" s="3" t="s">
        <v>141</v>
      </c>
      <c r="F686" s="3" t="s">
        <v>61</v>
      </c>
      <c r="G686" s="3" t="s">
        <v>61</v>
      </c>
      <c r="H686" s="3" t="s">
        <v>61</v>
      </c>
      <c r="I686" s="32">
        <v>44825</v>
      </c>
      <c r="J686" s="3" t="s">
        <v>142</v>
      </c>
      <c r="K686" s="3" t="s">
        <v>235</v>
      </c>
      <c r="M686" s="17">
        <v>264.3</v>
      </c>
      <c r="N686" s="88">
        <v>255.8</v>
      </c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  <c r="AA686" s="102"/>
      <c r="AB686" s="102"/>
      <c r="AC686" s="102"/>
      <c r="AD686" s="102"/>
      <c r="AE686" s="102"/>
      <c r="AF686" s="102"/>
      <c r="AG686" s="102"/>
      <c r="AH686" s="102"/>
      <c r="AI686">
        <v>1.071</v>
      </c>
      <c r="AJ686">
        <v>56.4</v>
      </c>
      <c r="AK686" t="s">
        <v>173</v>
      </c>
      <c r="AL686">
        <v>16</v>
      </c>
      <c r="AM686">
        <v>74</v>
      </c>
      <c r="AN686"/>
      <c r="AO686"/>
      <c r="AP686"/>
      <c r="AQ686"/>
      <c r="AR686"/>
      <c r="AS686"/>
      <c r="AT686" t="s">
        <v>146</v>
      </c>
      <c r="AU686" t="s">
        <v>358</v>
      </c>
    </row>
    <row r="687" spans="1:47" x14ac:dyDescent="0.2">
      <c r="A687" s="29">
        <v>693.00000000000136</v>
      </c>
      <c r="B687">
        <v>153</v>
      </c>
      <c r="C687">
        <v>22.686</v>
      </c>
      <c r="D687" s="31" t="s">
        <v>140</v>
      </c>
      <c r="E687" s="3" t="s">
        <v>141</v>
      </c>
      <c r="F687" s="3" t="s">
        <v>61</v>
      </c>
      <c r="G687" s="3" t="s">
        <v>61</v>
      </c>
      <c r="H687" s="3" t="s">
        <v>61</v>
      </c>
      <c r="I687" s="32">
        <v>44825</v>
      </c>
      <c r="J687" s="3" t="s">
        <v>142</v>
      </c>
      <c r="K687" s="3" t="s">
        <v>235</v>
      </c>
      <c r="M687" s="17">
        <v>253.1</v>
      </c>
      <c r="N687" s="88">
        <v>244.4</v>
      </c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  <c r="AA687" s="102"/>
      <c r="AB687" s="102"/>
      <c r="AC687" s="102"/>
      <c r="AD687" s="102"/>
      <c r="AE687" s="102"/>
      <c r="AF687" s="102"/>
      <c r="AG687" s="102"/>
      <c r="AH687" s="102"/>
      <c r="AI687">
        <v>1.1279999999999999</v>
      </c>
      <c r="AJ687">
        <v>52.9</v>
      </c>
      <c r="AK687" t="s">
        <v>173</v>
      </c>
      <c r="AL687">
        <v>21</v>
      </c>
      <c r="AM687">
        <v>64</v>
      </c>
      <c r="AN687"/>
      <c r="AO687"/>
      <c r="AP687"/>
      <c r="AQ687"/>
      <c r="AR687"/>
      <c r="AS687"/>
      <c r="AT687" t="s">
        <v>146</v>
      </c>
      <c r="AU687" t="s">
        <v>358</v>
      </c>
    </row>
    <row r="688" spans="1:47" x14ac:dyDescent="0.2">
      <c r="A688" s="29">
        <v>693.99999999999909</v>
      </c>
      <c r="B688">
        <v>155</v>
      </c>
      <c r="C688" s="18">
        <v>22.687000000000001</v>
      </c>
      <c r="D688" s="31" t="s">
        <v>140</v>
      </c>
      <c r="E688" s="3" t="s">
        <v>141</v>
      </c>
      <c r="F688" s="3" t="s">
        <v>61</v>
      </c>
      <c r="H688" s="3" t="s">
        <v>61</v>
      </c>
      <c r="I688" s="32">
        <v>44836</v>
      </c>
      <c r="J688" s="3" t="s">
        <v>142</v>
      </c>
      <c r="K688" s="3" t="s">
        <v>206</v>
      </c>
      <c r="M688" s="17">
        <v>198.7</v>
      </c>
      <c r="N688" s="88">
        <v>200.2</v>
      </c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  <c r="AA688" s="102"/>
      <c r="AB688" s="102"/>
      <c r="AC688" s="102"/>
      <c r="AD688" s="102"/>
      <c r="AE688" s="102"/>
      <c r="AF688" s="102"/>
      <c r="AG688" s="102"/>
      <c r="AH688" s="102"/>
      <c r="AI688">
        <v>1.115</v>
      </c>
      <c r="AJ688">
        <v>2.2000000000000002</v>
      </c>
      <c r="AK688" t="s">
        <v>239</v>
      </c>
      <c r="AL688"/>
      <c r="AM688"/>
      <c r="AN688">
        <v>110</v>
      </c>
      <c r="AO688"/>
      <c r="AP688"/>
      <c r="AQ688"/>
      <c r="AR688"/>
      <c r="AS688"/>
      <c r="AT688" t="s">
        <v>146</v>
      </c>
      <c r="AU688" t="s">
        <v>358</v>
      </c>
    </row>
    <row r="689" spans="1:47" x14ac:dyDescent="0.2">
      <c r="A689" s="29">
        <v>695.00000000000023</v>
      </c>
      <c r="B689">
        <v>157</v>
      </c>
      <c r="C689">
        <v>22.687999999999999</v>
      </c>
      <c r="D689" s="31" t="s">
        <v>140</v>
      </c>
      <c r="E689" s="3" t="s">
        <v>141</v>
      </c>
      <c r="F689" s="3" t="s">
        <v>61</v>
      </c>
      <c r="H689" s="3" t="s">
        <v>61</v>
      </c>
      <c r="I689" s="32">
        <v>44837</v>
      </c>
      <c r="J689" s="3" t="s">
        <v>142</v>
      </c>
      <c r="K689" s="3" t="s">
        <v>235</v>
      </c>
      <c r="M689" s="17">
        <v>238.9</v>
      </c>
      <c r="N689" s="88">
        <v>238</v>
      </c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  <c r="AA689" s="102"/>
      <c r="AB689" s="102"/>
      <c r="AC689" s="102"/>
      <c r="AD689" s="102"/>
      <c r="AE689" s="102"/>
      <c r="AF689" s="102"/>
      <c r="AG689" s="102"/>
      <c r="AH689" s="102"/>
      <c r="AI689">
        <v>1.069</v>
      </c>
      <c r="AJ689">
        <v>49.5</v>
      </c>
      <c r="AK689" t="s">
        <v>239</v>
      </c>
      <c r="AL689"/>
      <c r="AM689"/>
      <c r="AN689">
        <v>92</v>
      </c>
      <c r="AO689"/>
      <c r="AP689"/>
      <c r="AQ689"/>
      <c r="AR689"/>
      <c r="AS689"/>
      <c r="AT689" t="s">
        <v>146</v>
      </c>
      <c r="AU689" t="s">
        <v>358</v>
      </c>
    </row>
    <row r="690" spans="1:47" x14ac:dyDescent="0.2">
      <c r="A690" s="29">
        <v>696.00000000000148</v>
      </c>
      <c r="B690" s="17" t="s">
        <v>387</v>
      </c>
      <c r="C690">
        <v>22.689</v>
      </c>
      <c r="D690" s="74" t="s">
        <v>179</v>
      </c>
      <c r="E690" t="s">
        <v>180</v>
      </c>
      <c r="F690" t="s">
        <v>181</v>
      </c>
      <c r="G690"/>
      <c r="H690" t="s">
        <v>182</v>
      </c>
      <c r="I690" s="56">
        <v>44812</v>
      </c>
      <c r="J690" s="17" t="s">
        <v>238</v>
      </c>
      <c r="K690" s="17" t="s">
        <v>235</v>
      </c>
      <c r="L690">
        <v>255</v>
      </c>
      <c r="M690"/>
      <c r="N690" s="88">
        <v>257.89999999999998</v>
      </c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  <c r="AA690" s="102"/>
      <c r="AB690" s="102"/>
      <c r="AC690" s="102"/>
      <c r="AD690" s="102"/>
      <c r="AE690" s="102"/>
      <c r="AF690" s="102"/>
      <c r="AG690" s="102"/>
      <c r="AH690" s="102"/>
      <c r="AI690">
        <v>1.194</v>
      </c>
      <c r="AJ690">
        <v>36</v>
      </c>
      <c r="AK690" t="s">
        <v>172</v>
      </c>
      <c r="AL690"/>
      <c r="AM690"/>
      <c r="AN690">
        <v>74</v>
      </c>
      <c r="AO690"/>
      <c r="AP690"/>
      <c r="AQ690"/>
      <c r="AR690"/>
      <c r="AS690"/>
      <c r="AT690" t="s">
        <v>146</v>
      </c>
      <c r="AU690" t="s">
        <v>233</v>
      </c>
    </row>
    <row r="691" spans="1:47" x14ac:dyDescent="0.2">
      <c r="A691" s="29">
        <v>696.9999999999992</v>
      </c>
      <c r="B691" s="17" t="s">
        <v>388</v>
      </c>
      <c r="C691" s="5" t="s">
        <v>42</v>
      </c>
      <c r="D691" s="74" t="s">
        <v>179</v>
      </c>
      <c r="E691" t="s">
        <v>180</v>
      </c>
      <c r="F691" t="s">
        <v>181</v>
      </c>
      <c r="G691"/>
      <c r="H691" t="s">
        <v>182</v>
      </c>
      <c r="I691" s="56">
        <v>44812</v>
      </c>
      <c r="J691" s="17" t="s">
        <v>238</v>
      </c>
      <c r="K691" s="17" t="s">
        <v>235</v>
      </c>
      <c r="L691">
        <v>245</v>
      </c>
      <c r="M691"/>
      <c r="N691" s="88">
        <v>227.5</v>
      </c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  <c r="AA691" s="102"/>
      <c r="AB691" s="102"/>
      <c r="AC691" s="102"/>
      <c r="AD691" s="102"/>
      <c r="AE691" s="102"/>
      <c r="AF691" s="102"/>
      <c r="AG691" s="102"/>
      <c r="AH691" s="102"/>
      <c r="AI691">
        <v>1.0640000000000001</v>
      </c>
      <c r="AJ691">
        <v>28.7</v>
      </c>
      <c r="AK691" t="s">
        <v>172</v>
      </c>
      <c r="AL691"/>
      <c r="AM691"/>
      <c r="AN691">
        <v>110</v>
      </c>
      <c r="AO691"/>
      <c r="AP691"/>
      <c r="AQ691"/>
      <c r="AR691"/>
      <c r="AS691"/>
      <c r="AT691" t="s">
        <v>146</v>
      </c>
      <c r="AU691" t="s">
        <v>233</v>
      </c>
    </row>
    <row r="692" spans="1:47" x14ac:dyDescent="0.2">
      <c r="A692" s="29">
        <v>698.00000000000045</v>
      </c>
      <c r="B692" s="17" t="s">
        <v>389</v>
      </c>
      <c r="C692">
        <v>22.690999999999999</v>
      </c>
      <c r="D692" s="74" t="s">
        <v>179</v>
      </c>
      <c r="E692" t="s">
        <v>180</v>
      </c>
      <c r="F692" t="s">
        <v>181</v>
      </c>
      <c r="G692"/>
      <c r="H692" t="s">
        <v>182</v>
      </c>
      <c r="I692" s="56">
        <v>44814</v>
      </c>
      <c r="J692" s="17" t="s">
        <v>238</v>
      </c>
      <c r="K692" s="17" t="s">
        <v>235</v>
      </c>
      <c r="L692">
        <v>265</v>
      </c>
      <c r="M692"/>
      <c r="N692" s="88">
        <v>267.89999999999998</v>
      </c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  <c r="AA692" s="102"/>
      <c r="AB692" s="102"/>
      <c r="AC692" s="102"/>
      <c r="AD692" s="102"/>
      <c r="AE692" s="102"/>
      <c r="AF692" s="102"/>
      <c r="AG692" s="102"/>
      <c r="AH692" s="102"/>
      <c r="AI692">
        <v>1.046</v>
      </c>
      <c r="AJ692">
        <v>31</v>
      </c>
      <c r="AK692" t="s">
        <v>172</v>
      </c>
      <c r="AL692"/>
      <c r="AM692"/>
      <c r="AN692">
        <v>140</v>
      </c>
      <c r="AO692"/>
      <c r="AP692"/>
      <c r="AQ692"/>
      <c r="AR692"/>
      <c r="AS692"/>
      <c r="AT692" t="s">
        <v>146</v>
      </c>
      <c r="AU692" t="s">
        <v>233</v>
      </c>
    </row>
    <row r="693" spans="1:47" x14ac:dyDescent="0.2">
      <c r="A693" s="29">
        <v>699.00000000000159</v>
      </c>
      <c r="B693" s="17" t="s">
        <v>390</v>
      </c>
      <c r="C693">
        <v>22.692</v>
      </c>
      <c r="D693" s="74" t="s">
        <v>179</v>
      </c>
      <c r="E693" t="s">
        <v>180</v>
      </c>
      <c r="F693" t="s">
        <v>181</v>
      </c>
      <c r="G693" s="11">
        <v>8</v>
      </c>
      <c r="H693" s="11">
        <v>8</v>
      </c>
      <c r="I693" s="56">
        <v>44823</v>
      </c>
      <c r="J693" s="17" t="s">
        <v>238</v>
      </c>
      <c r="K693" s="17" t="s">
        <v>235</v>
      </c>
      <c r="L693">
        <v>245</v>
      </c>
      <c r="M693"/>
      <c r="N693" s="88">
        <v>246.4</v>
      </c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  <c r="AA693" s="102"/>
      <c r="AB693" s="102"/>
      <c r="AC693" s="102"/>
      <c r="AD693" s="102"/>
      <c r="AE693" s="102"/>
      <c r="AF693" s="102"/>
      <c r="AG693" s="102"/>
      <c r="AH693" s="102"/>
      <c r="AI693">
        <v>0.98</v>
      </c>
      <c r="AJ693">
        <v>27.6</v>
      </c>
      <c r="AK693" t="s">
        <v>172</v>
      </c>
      <c r="AL693"/>
      <c r="AM693"/>
      <c r="AN693">
        <v>103</v>
      </c>
      <c r="AO693"/>
      <c r="AP693"/>
      <c r="AQ693"/>
      <c r="AR693"/>
      <c r="AS693"/>
      <c r="AT693" t="s">
        <v>146</v>
      </c>
      <c r="AU693" t="s">
        <v>233</v>
      </c>
    </row>
    <row r="694" spans="1:47" x14ac:dyDescent="0.2">
      <c r="A694" s="29">
        <v>699.99999999999932</v>
      </c>
      <c r="B694" s="17" t="s">
        <v>391</v>
      </c>
      <c r="C694">
        <v>22.693000000000001</v>
      </c>
      <c r="D694" s="74" t="s">
        <v>179</v>
      </c>
      <c r="E694" t="s">
        <v>180</v>
      </c>
      <c r="F694" t="s">
        <v>181</v>
      </c>
      <c r="G694"/>
      <c r="H694" t="s">
        <v>199</v>
      </c>
      <c r="I694" s="56">
        <v>44823</v>
      </c>
      <c r="J694" s="17" t="s">
        <v>238</v>
      </c>
      <c r="K694" s="17" t="s">
        <v>235</v>
      </c>
      <c r="L694">
        <v>250</v>
      </c>
      <c r="M694"/>
      <c r="N694" s="88">
        <v>253.4</v>
      </c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  <c r="AA694" s="102"/>
      <c r="AB694" s="102"/>
      <c r="AC694" s="102"/>
      <c r="AD694" s="102"/>
      <c r="AE694" s="102"/>
      <c r="AF694" s="102"/>
      <c r="AG694" s="102"/>
      <c r="AH694" s="102"/>
      <c r="AI694">
        <v>0.98</v>
      </c>
      <c r="AJ694">
        <v>30.5</v>
      </c>
      <c r="AK694" t="s">
        <v>172</v>
      </c>
      <c r="AL694" s="17"/>
      <c r="AM694" s="17"/>
      <c r="AN694" s="17">
        <v>98</v>
      </c>
      <c r="AO694" s="17"/>
      <c r="AP694" s="17" t="s">
        <v>47</v>
      </c>
      <c r="AQ694" s="17"/>
      <c r="AR694" s="17"/>
      <c r="AS694" s="17"/>
      <c r="AT694" t="s">
        <v>146</v>
      </c>
      <c r="AU694" t="s">
        <v>233</v>
      </c>
    </row>
    <row r="695" spans="1:47" x14ac:dyDescent="0.2">
      <c r="A695" s="29">
        <v>701.00000000000045</v>
      </c>
      <c r="B695" s="17" t="s">
        <v>392</v>
      </c>
      <c r="C695">
        <v>22.693999999999999</v>
      </c>
      <c r="D695" s="74" t="s">
        <v>179</v>
      </c>
      <c r="E695" t="s">
        <v>180</v>
      </c>
      <c r="F695" t="s">
        <v>181</v>
      </c>
      <c r="G695"/>
      <c r="H695" t="s">
        <v>268</v>
      </c>
      <c r="I695" s="56">
        <v>44826</v>
      </c>
      <c r="J695" s="17" t="s">
        <v>238</v>
      </c>
      <c r="K695" s="17" t="s">
        <v>235</v>
      </c>
      <c r="L695">
        <v>255</v>
      </c>
      <c r="M695"/>
      <c r="N695" s="88">
        <v>259.89999999999998</v>
      </c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  <c r="AA695" s="102"/>
      <c r="AB695" s="102"/>
      <c r="AC695" s="102"/>
      <c r="AD695" s="102"/>
      <c r="AE695" s="102"/>
      <c r="AF695" s="102"/>
      <c r="AG695" s="102"/>
      <c r="AH695" s="102"/>
      <c r="AI695">
        <v>0.84299999999999997</v>
      </c>
      <c r="AJ695">
        <v>42.1</v>
      </c>
      <c r="AK695" t="s">
        <v>172</v>
      </c>
      <c r="AL695"/>
      <c r="AM695"/>
      <c r="AN695">
        <v>108</v>
      </c>
      <c r="AO695"/>
      <c r="AP695"/>
      <c r="AQ695"/>
      <c r="AR695"/>
      <c r="AS695"/>
      <c r="AT695" t="s">
        <v>146</v>
      </c>
      <c r="AU695" t="s">
        <v>233</v>
      </c>
    </row>
    <row r="696" spans="1:47" x14ac:dyDescent="0.2">
      <c r="A696" s="29">
        <v>702.00000000000171</v>
      </c>
      <c r="B696" s="17" t="s">
        <v>393</v>
      </c>
      <c r="C696">
        <v>22.695</v>
      </c>
      <c r="D696" s="74" t="s">
        <v>179</v>
      </c>
      <c r="E696" t="s">
        <v>180</v>
      </c>
      <c r="F696" t="s">
        <v>181</v>
      </c>
      <c r="G696"/>
      <c r="H696" t="s">
        <v>182</v>
      </c>
      <c r="I696" s="56">
        <v>44826</v>
      </c>
      <c r="J696" s="17" t="s">
        <v>238</v>
      </c>
      <c r="K696" s="17" t="s">
        <v>235</v>
      </c>
      <c r="L696">
        <v>260</v>
      </c>
      <c r="M696"/>
      <c r="N696" s="88">
        <v>264.10000000000002</v>
      </c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  <c r="AA696" s="102"/>
      <c r="AB696" s="102"/>
      <c r="AC696" s="102"/>
      <c r="AD696" s="102"/>
      <c r="AE696" s="102"/>
      <c r="AF696" s="102"/>
      <c r="AG696" s="102"/>
      <c r="AH696" s="102"/>
      <c r="AI696">
        <v>0.97399999999999998</v>
      </c>
      <c r="AJ696">
        <v>32.5</v>
      </c>
      <c r="AK696" t="s">
        <v>172</v>
      </c>
      <c r="AL696"/>
      <c r="AM696"/>
      <c r="AN696">
        <v>110</v>
      </c>
      <c r="AO696"/>
      <c r="AP696"/>
      <c r="AQ696"/>
      <c r="AR696"/>
      <c r="AS696"/>
      <c r="AT696" t="s">
        <v>146</v>
      </c>
      <c r="AU696" t="s">
        <v>233</v>
      </c>
    </row>
    <row r="697" spans="1:47" x14ac:dyDescent="0.2">
      <c r="A697" s="29">
        <v>702.99999999999943</v>
      </c>
      <c r="B697" s="17" t="s">
        <v>394</v>
      </c>
      <c r="C697">
        <v>22.696000000000002</v>
      </c>
      <c r="D697" s="74" t="s">
        <v>179</v>
      </c>
      <c r="E697" t="s">
        <v>180</v>
      </c>
      <c r="F697" t="s">
        <v>181</v>
      </c>
      <c r="G697" s="11">
        <v>8</v>
      </c>
      <c r="H697" s="11">
        <v>8</v>
      </c>
      <c r="I697" s="56">
        <v>44831</v>
      </c>
      <c r="J697" s="17" t="s">
        <v>238</v>
      </c>
      <c r="K697" s="17" t="s">
        <v>235</v>
      </c>
      <c r="L697">
        <v>265</v>
      </c>
      <c r="M697"/>
      <c r="N697" s="88">
        <v>258.2</v>
      </c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  <c r="AA697" s="102"/>
      <c r="AB697" s="102"/>
      <c r="AC697" s="102"/>
      <c r="AD697" s="102"/>
      <c r="AE697" s="102"/>
      <c r="AF697" s="102"/>
      <c r="AG697" s="102"/>
      <c r="AH697" s="102"/>
      <c r="AI697">
        <v>1.204</v>
      </c>
      <c r="AJ697">
        <v>27.7</v>
      </c>
      <c r="AK697" t="s">
        <v>172</v>
      </c>
      <c r="AL697"/>
      <c r="AM697"/>
      <c r="AN697">
        <v>101</v>
      </c>
      <c r="AO697"/>
      <c r="AP697"/>
      <c r="AQ697"/>
      <c r="AR697"/>
      <c r="AS697"/>
      <c r="AT697" t="s">
        <v>146</v>
      </c>
      <c r="AU697" t="s">
        <v>233</v>
      </c>
    </row>
    <row r="698" spans="1:47" ht="51" x14ac:dyDescent="0.2">
      <c r="A698" s="29">
        <v>704.00000000000068</v>
      </c>
      <c r="B698" s="77">
        <v>121726</v>
      </c>
      <c r="C698">
        <v>22.696999999999999</v>
      </c>
      <c r="D698" s="97" t="s">
        <v>293</v>
      </c>
      <c r="E698" s="17" t="s">
        <v>294</v>
      </c>
      <c r="F698" s="59" t="s">
        <v>295</v>
      </c>
      <c r="G698" s="17"/>
      <c r="H698" s="17"/>
      <c r="I698" s="68">
        <v>44826</v>
      </c>
      <c r="J698" s="17" t="s">
        <v>238</v>
      </c>
      <c r="K698" s="17" t="s">
        <v>203</v>
      </c>
      <c r="L698">
        <v>236</v>
      </c>
      <c r="M698"/>
      <c r="N698" s="88">
        <f>216.4+18.9</f>
        <v>235.3</v>
      </c>
      <c r="O698">
        <v>178.22</v>
      </c>
      <c r="P698">
        <v>194.36</v>
      </c>
      <c r="Q698">
        <v>44.14</v>
      </c>
      <c r="R698">
        <v>21.01</v>
      </c>
      <c r="S698">
        <v>122.43</v>
      </c>
      <c r="T698">
        <v>100.65</v>
      </c>
      <c r="U698">
        <v>52.82</v>
      </c>
      <c r="V698">
        <v>41.29</v>
      </c>
      <c r="W698">
        <v>67.22</v>
      </c>
      <c r="X698">
        <v>87.15</v>
      </c>
      <c r="Y698">
        <v>36.78</v>
      </c>
      <c r="Z698">
        <v>98.84</v>
      </c>
      <c r="AA698">
        <v>78.5</v>
      </c>
      <c r="AB698">
        <v>71.709999999999994</v>
      </c>
      <c r="AC698">
        <v>17.63</v>
      </c>
      <c r="AD698">
        <v>48.92</v>
      </c>
      <c r="AE698">
        <v>31.73</v>
      </c>
      <c r="AF698">
        <v>44.04</v>
      </c>
      <c r="AG698">
        <v>35.39</v>
      </c>
      <c r="AH698">
        <v>46.24</v>
      </c>
      <c r="AI698">
        <v>1.347</v>
      </c>
      <c r="AJ698"/>
      <c r="AK698"/>
      <c r="AL698">
        <v>19</v>
      </c>
      <c r="AM698"/>
      <c r="AN698"/>
      <c r="AO698">
        <v>10</v>
      </c>
      <c r="AP698">
        <v>89.5</v>
      </c>
      <c r="AQ698">
        <v>69.900000000000006</v>
      </c>
      <c r="AR698">
        <v>44.6</v>
      </c>
      <c r="AS698" s="61"/>
    </row>
    <row r="699" spans="1:47" ht="51" x14ac:dyDescent="0.2">
      <c r="A699" s="29">
        <v>704.99999999999829</v>
      </c>
      <c r="B699" s="3">
        <v>121720</v>
      </c>
      <c r="C699">
        <v>22.698</v>
      </c>
      <c r="D699" s="97" t="s">
        <v>293</v>
      </c>
      <c r="E699" s="17" t="s">
        <v>294</v>
      </c>
      <c r="F699" s="59" t="s">
        <v>295</v>
      </c>
      <c r="G699" s="17"/>
      <c r="H699" s="17"/>
      <c r="I699" s="68">
        <v>44805</v>
      </c>
      <c r="J699" s="17" t="s">
        <v>238</v>
      </c>
      <c r="K699" s="17" t="s">
        <v>203</v>
      </c>
      <c r="L699">
        <v>252</v>
      </c>
      <c r="M699"/>
      <c r="N699" s="88">
        <v>251.9</v>
      </c>
      <c r="O699">
        <v>176.84</v>
      </c>
      <c r="P699">
        <v>189.11</v>
      </c>
      <c r="Q699">
        <v>46.01</v>
      </c>
      <c r="R699">
        <v>18.2</v>
      </c>
      <c r="S699">
        <v>117.54</v>
      </c>
      <c r="T699">
        <v>91.93</v>
      </c>
      <c r="U699">
        <v>56.95</v>
      </c>
      <c r="V699">
        <v>44.67</v>
      </c>
      <c r="W699">
        <v>65.33</v>
      </c>
      <c r="X699">
        <v>86.54</v>
      </c>
      <c r="Y699">
        <v>37.65</v>
      </c>
      <c r="Z699">
        <v>97.9</v>
      </c>
      <c r="AA699">
        <v>77.349999999999994</v>
      </c>
      <c r="AB699">
        <v>71.28</v>
      </c>
      <c r="AC699">
        <v>18.13</v>
      </c>
      <c r="AD699">
        <v>52.45</v>
      </c>
      <c r="AE699">
        <v>34.630000000000003</v>
      </c>
      <c r="AF699">
        <v>42.55</v>
      </c>
      <c r="AG699">
        <v>35.07</v>
      </c>
      <c r="AH699">
        <v>45.89</v>
      </c>
      <c r="AI699">
        <v>1.635</v>
      </c>
      <c r="AJ699"/>
      <c r="AK699"/>
      <c r="AL699">
        <v>11.5</v>
      </c>
      <c r="AM699"/>
      <c r="AN699"/>
      <c r="AO699">
        <v>95.8</v>
      </c>
      <c r="AP699">
        <v>54.8</v>
      </c>
      <c r="AQ699">
        <v>56.6</v>
      </c>
      <c r="AR699" s="61"/>
      <c r="AS699"/>
      <c r="AT699"/>
      <c r="AU699"/>
    </row>
    <row r="700" spans="1:47" ht="51" x14ac:dyDescent="0.2">
      <c r="A700" s="29">
        <v>705.99999999999955</v>
      </c>
      <c r="B700" s="77">
        <v>121730</v>
      </c>
      <c r="C700">
        <v>22.699000000000002</v>
      </c>
      <c r="D700" s="97" t="s">
        <v>293</v>
      </c>
      <c r="E700" s="17" t="s">
        <v>294</v>
      </c>
      <c r="F700" s="59" t="s">
        <v>295</v>
      </c>
      <c r="G700" s="17"/>
      <c r="H700" s="17"/>
      <c r="I700" s="68">
        <v>44810</v>
      </c>
      <c r="J700" s="17" t="s">
        <v>238</v>
      </c>
      <c r="K700" s="17" t="s">
        <v>203</v>
      </c>
      <c r="L700">
        <v>244</v>
      </c>
      <c r="M700"/>
      <c r="N700" s="88">
        <v>247.6</v>
      </c>
      <c r="O700">
        <v>177.37</v>
      </c>
      <c r="P700">
        <v>188.69</v>
      </c>
      <c r="Q700">
        <v>43.84</v>
      </c>
      <c r="R700">
        <v>19.559999999999999</v>
      </c>
      <c r="S700">
        <v>120.32</v>
      </c>
      <c r="T700">
        <v>98.14</v>
      </c>
      <c r="U700">
        <v>57.51</v>
      </c>
      <c r="V700">
        <v>42.44</v>
      </c>
      <c r="W700">
        <v>66.02</v>
      </c>
      <c r="X700">
        <v>86.98</v>
      </c>
      <c r="Y700">
        <v>38.130000000000003</v>
      </c>
      <c r="Z700">
        <v>97.16</v>
      </c>
      <c r="AA700">
        <v>77.38</v>
      </c>
      <c r="AB700">
        <v>69.89</v>
      </c>
      <c r="AC700">
        <v>18.260000000000002</v>
      </c>
      <c r="AD700">
        <v>51.59</v>
      </c>
      <c r="AE700">
        <v>33.630000000000003</v>
      </c>
      <c r="AF700">
        <v>40.909999999999997</v>
      </c>
      <c r="AG700">
        <v>38.28</v>
      </c>
      <c r="AH700">
        <v>42.54</v>
      </c>
      <c r="AI700">
        <v>1.5960000000000001</v>
      </c>
      <c r="AJ700"/>
      <c r="AK700"/>
      <c r="AL700">
        <v>23.5</v>
      </c>
      <c r="AM700"/>
      <c r="AN700"/>
      <c r="AO700">
        <v>11</v>
      </c>
      <c r="AP700">
        <v>84.2</v>
      </c>
      <c r="AQ700">
        <v>72</v>
      </c>
      <c r="AR700">
        <v>53.1</v>
      </c>
      <c r="AS700">
        <v>23.1</v>
      </c>
      <c r="AT700"/>
      <c r="AU700"/>
    </row>
    <row r="701" spans="1:47" ht="51" x14ac:dyDescent="0.2">
      <c r="A701" s="29">
        <v>707.00000000000068</v>
      </c>
      <c r="B701" s="77">
        <v>121737</v>
      </c>
      <c r="C701" s="5" t="s">
        <v>395</v>
      </c>
      <c r="D701" s="97" t="s">
        <v>293</v>
      </c>
      <c r="E701" s="17" t="s">
        <v>294</v>
      </c>
      <c r="F701" s="59" t="s">
        <v>295</v>
      </c>
      <c r="G701" s="17"/>
      <c r="H701" s="17"/>
      <c r="I701" s="68">
        <v>44836</v>
      </c>
      <c r="J701" s="17" t="s">
        <v>238</v>
      </c>
      <c r="K701" s="17" t="s">
        <v>203</v>
      </c>
      <c r="L701">
        <v>244</v>
      </c>
      <c r="M701"/>
      <c r="N701" s="88">
        <v>245.4</v>
      </c>
      <c r="O701">
        <v>187.06</v>
      </c>
      <c r="P701">
        <v>199.31</v>
      </c>
      <c r="Q701">
        <v>45.69</v>
      </c>
      <c r="R701">
        <v>32.92</v>
      </c>
      <c r="S701">
        <v>118.73</v>
      </c>
      <c r="T701">
        <v>96.2</v>
      </c>
      <c r="U701">
        <v>52.34</v>
      </c>
      <c r="V701">
        <v>43.4</v>
      </c>
      <c r="W701">
        <v>69.84</v>
      </c>
      <c r="X701">
        <v>94.99</v>
      </c>
      <c r="Y701">
        <v>38.31</v>
      </c>
      <c r="Z701">
        <v>104.08</v>
      </c>
      <c r="AA701">
        <v>81.25</v>
      </c>
      <c r="AB701">
        <v>71.98</v>
      </c>
      <c r="AC701">
        <v>17.53</v>
      </c>
      <c r="AD701">
        <v>50.19</v>
      </c>
      <c r="AE701">
        <v>41.05</v>
      </c>
      <c r="AF701">
        <v>45.32</v>
      </c>
      <c r="AG701">
        <v>40.130000000000003</v>
      </c>
      <c r="AH701">
        <v>47.38</v>
      </c>
      <c r="AI701">
        <v>1.2370000000000001</v>
      </c>
      <c r="AJ701"/>
      <c r="AK701"/>
      <c r="AL701">
        <v>18</v>
      </c>
      <c r="AM701"/>
      <c r="AN701"/>
      <c r="AO701">
        <v>8.5</v>
      </c>
      <c r="AP701">
        <v>101.4</v>
      </c>
      <c r="AQ701">
        <v>64</v>
      </c>
      <c r="AR701">
        <v>47.1</v>
      </c>
      <c r="AS701">
        <v>20.9</v>
      </c>
      <c r="AT701"/>
      <c r="AU701"/>
    </row>
    <row r="702" spans="1:47" ht="51" x14ac:dyDescent="0.2">
      <c r="A702" s="29">
        <v>707.99999999999841</v>
      </c>
      <c r="B702" s="77">
        <v>121731</v>
      </c>
      <c r="C702">
        <v>22.701000000000001</v>
      </c>
      <c r="D702" s="97" t="s">
        <v>293</v>
      </c>
      <c r="E702" s="17" t="s">
        <v>294</v>
      </c>
      <c r="F702" s="59" t="s">
        <v>295</v>
      </c>
      <c r="G702" s="17"/>
      <c r="H702" s="17"/>
      <c r="I702" s="68">
        <v>44810</v>
      </c>
      <c r="J702" s="17" t="s">
        <v>238</v>
      </c>
      <c r="K702" s="17" t="s">
        <v>203</v>
      </c>
      <c r="L702">
        <v>242</v>
      </c>
      <c r="M702"/>
      <c r="N702" s="88">
        <v>245.6</v>
      </c>
      <c r="O702">
        <v>174.41</v>
      </c>
      <c r="P702">
        <v>193.06</v>
      </c>
      <c r="Q702">
        <v>40.75</v>
      </c>
      <c r="R702">
        <v>26.5</v>
      </c>
      <c r="S702">
        <v>115.65</v>
      </c>
      <c r="T702">
        <v>94.11</v>
      </c>
      <c r="U702">
        <v>56.22</v>
      </c>
      <c r="V702">
        <v>44</v>
      </c>
      <c r="W702">
        <v>71.13</v>
      </c>
      <c r="X702">
        <v>94.11</v>
      </c>
      <c r="Y702">
        <v>40.85</v>
      </c>
      <c r="Z702">
        <v>101.43</v>
      </c>
      <c r="AA702">
        <v>78.89</v>
      </c>
      <c r="AB702">
        <v>74.83</v>
      </c>
      <c r="AC702">
        <v>16.829999999999998</v>
      </c>
      <c r="AD702">
        <v>51.54</v>
      </c>
      <c r="AE702">
        <v>35.159999999999997</v>
      </c>
      <c r="AF702">
        <v>40.590000000000003</v>
      </c>
      <c r="AG702">
        <v>36.9</v>
      </c>
      <c r="AH702">
        <v>42.85</v>
      </c>
      <c r="AI702">
        <v>1.3819999999999999</v>
      </c>
      <c r="AJ702"/>
      <c r="AK702"/>
      <c r="AL702">
        <v>22</v>
      </c>
      <c r="AM702"/>
      <c r="AN702"/>
      <c r="AO702">
        <v>9.6</v>
      </c>
      <c r="AP702">
        <v>104.3</v>
      </c>
      <c r="AQ702">
        <v>53.6</v>
      </c>
      <c r="AR702">
        <v>51.3</v>
      </c>
      <c r="AS702">
        <v>22.5</v>
      </c>
      <c r="AT702"/>
      <c r="AU702"/>
    </row>
    <row r="703" spans="1:47" ht="51" x14ac:dyDescent="0.2">
      <c r="A703" s="29">
        <v>708.99999999999966</v>
      </c>
      <c r="B703" s="77">
        <v>121728</v>
      </c>
      <c r="C703">
        <v>22.702000000000002</v>
      </c>
      <c r="D703" s="97" t="s">
        <v>293</v>
      </c>
      <c r="E703" s="17" t="s">
        <v>294</v>
      </c>
      <c r="F703" s="59" t="s">
        <v>295</v>
      </c>
      <c r="G703" s="17"/>
      <c r="H703" s="17"/>
      <c r="I703" s="68">
        <v>44810</v>
      </c>
      <c r="J703" s="17" t="s">
        <v>238</v>
      </c>
      <c r="K703" s="17" t="s">
        <v>203</v>
      </c>
      <c r="L703">
        <v>238</v>
      </c>
      <c r="M703"/>
      <c r="N703" s="88">
        <v>238.1</v>
      </c>
      <c r="O703">
        <v>178.45</v>
      </c>
      <c r="P703">
        <v>186.62</v>
      </c>
      <c r="Q703">
        <v>40.49</v>
      </c>
      <c r="R703">
        <v>19.55</v>
      </c>
      <c r="S703">
        <v>120.76</v>
      </c>
      <c r="T703">
        <v>97.5</v>
      </c>
      <c r="U703">
        <v>54.09</v>
      </c>
      <c r="V703">
        <v>42.97</v>
      </c>
      <c r="W703">
        <v>62.65</v>
      </c>
      <c r="X703">
        <v>85.04</v>
      </c>
      <c r="Y703">
        <v>39.630000000000003</v>
      </c>
      <c r="Z703">
        <v>94.89</v>
      </c>
      <c r="AA703">
        <v>75.489999999999995</v>
      </c>
      <c r="AB703">
        <v>69.73</v>
      </c>
      <c r="AC703">
        <v>16.68</v>
      </c>
      <c r="AD703">
        <v>50.14</v>
      </c>
      <c r="AE703">
        <v>27.78</v>
      </c>
      <c r="AF703">
        <v>41.26</v>
      </c>
      <c r="AG703">
        <v>36.68</v>
      </c>
      <c r="AH703">
        <v>44.61</v>
      </c>
      <c r="AI703">
        <v>1.417</v>
      </c>
      <c r="AJ703"/>
      <c r="AK703"/>
      <c r="AL703">
        <v>20.5</v>
      </c>
      <c r="AM703"/>
      <c r="AN703"/>
      <c r="AO703">
        <v>8</v>
      </c>
      <c r="AP703">
        <v>103.8</v>
      </c>
      <c r="AQ703">
        <v>51.8</v>
      </c>
      <c r="AR703">
        <v>48.7</v>
      </c>
      <c r="AS703">
        <v>21.4</v>
      </c>
      <c r="AT703"/>
      <c r="AU703"/>
    </row>
    <row r="704" spans="1:47" ht="51" x14ac:dyDescent="0.2">
      <c r="A704" s="29">
        <v>710.00000000000091</v>
      </c>
      <c r="B704" s="3">
        <v>121721</v>
      </c>
      <c r="C704">
        <v>22.702999999999999</v>
      </c>
      <c r="D704" s="97" t="s">
        <v>293</v>
      </c>
      <c r="E704" s="17" t="s">
        <v>294</v>
      </c>
      <c r="F704" s="59" t="s">
        <v>295</v>
      </c>
      <c r="G704" s="17"/>
      <c r="H704" s="17"/>
      <c r="I704" s="68">
        <v>44805</v>
      </c>
      <c r="J704" s="17" t="s">
        <v>238</v>
      </c>
      <c r="K704" s="17" t="s">
        <v>203</v>
      </c>
      <c r="L704">
        <v>232</v>
      </c>
      <c r="M704"/>
      <c r="N704" s="88">
        <v>217.1</v>
      </c>
      <c r="O704">
        <v>175.96</v>
      </c>
      <c r="P704">
        <v>185.6</v>
      </c>
      <c r="Q704">
        <v>41.54</v>
      </c>
      <c r="R704">
        <v>27.17</v>
      </c>
      <c r="S704">
        <v>114.82</v>
      </c>
      <c r="T704">
        <v>94.19</v>
      </c>
      <c r="U704">
        <v>55.32</v>
      </c>
      <c r="V704">
        <v>43.78</v>
      </c>
      <c r="W704">
        <v>68.83</v>
      </c>
      <c r="X704">
        <v>87.47</v>
      </c>
      <c r="Y704">
        <v>37.31</v>
      </c>
      <c r="Z704">
        <v>100.15</v>
      </c>
      <c r="AA704">
        <v>78.680000000000007</v>
      </c>
      <c r="AB704">
        <v>74.25</v>
      </c>
      <c r="AC704">
        <v>20.88</v>
      </c>
      <c r="AD704">
        <v>48.95</v>
      </c>
      <c r="AE704">
        <v>34.18</v>
      </c>
      <c r="AF704">
        <v>42.11</v>
      </c>
      <c r="AG704">
        <v>40.56</v>
      </c>
      <c r="AH704">
        <v>44.06</v>
      </c>
      <c r="AI704">
        <v>1.258</v>
      </c>
      <c r="AJ704"/>
      <c r="AK704"/>
      <c r="AL704">
        <v>25.5</v>
      </c>
      <c r="AM704"/>
      <c r="AN704"/>
      <c r="AO704">
        <v>6.6</v>
      </c>
      <c r="AP704">
        <v>90.5</v>
      </c>
      <c r="AQ704">
        <v>45.9</v>
      </c>
      <c r="AR704">
        <v>44</v>
      </c>
      <c r="AS704">
        <v>19.2</v>
      </c>
      <c r="AT704"/>
      <c r="AU704"/>
    </row>
    <row r="705" spans="1:53" ht="51" x14ac:dyDescent="0.2">
      <c r="A705" s="29">
        <v>710.99999999999852</v>
      </c>
      <c r="B705" s="77">
        <v>121734</v>
      </c>
      <c r="C705">
        <v>22.704000000000001</v>
      </c>
      <c r="D705" s="97" t="s">
        <v>293</v>
      </c>
      <c r="E705" s="17" t="s">
        <v>294</v>
      </c>
      <c r="F705" s="59" t="s">
        <v>295</v>
      </c>
      <c r="G705" s="17"/>
      <c r="H705" s="17"/>
      <c r="I705" s="68">
        <v>44822</v>
      </c>
      <c r="J705" s="17" t="s">
        <v>238</v>
      </c>
      <c r="K705" s="17" t="s">
        <v>203</v>
      </c>
      <c r="L705">
        <v>252</v>
      </c>
      <c r="M705"/>
      <c r="N705" s="88">
        <v>257.10000000000002</v>
      </c>
      <c r="O705" s="88">
        <v>175.93</v>
      </c>
      <c r="P705">
        <v>188.5</v>
      </c>
      <c r="Q705">
        <v>42.24</v>
      </c>
      <c r="R705">
        <v>21.14</v>
      </c>
      <c r="S705">
        <v>117.57</v>
      </c>
      <c r="T705">
        <v>95.43</v>
      </c>
      <c r="U705">
        <v>61.04</v>
      </c>
      <c r="V705">
        <v>45.67</v>
      </c>
      <c r="W705">
        <v>72.56</v>
      </c>
      <c r="X705">
        <v>94.9</v>
      </c>
      <c r="Y705">
        <v>39.4</v>
      </c>
      <c r="Z705">
        <v>102.37</v>
      </c>
      <c r="AA705">
        <v>80.650000000000006</v>
      </c>
      <c r="AB705">
        <v>74.260000000000005</v>
      </c>
      <c r="AC705">
        <v>18.55</v>
      </c>
      <c r="AD705">
        <v>52.42</v>
      </c>
      <c r="AE705">
        <v>31.77</v>
      </c>
      <c r="AF705">
        <v>42.06</v>
      </c>
      <c r="AG705">
        <v>37.54</v>
      </c>
      <c r="AH705">
        <v>42.84</v>
      </c>
      <c r="AI705">
        <v>1.266</v>
      </c>
      <c r="AJ705"/>
      <c r="AK705"/>
      <c r="AL705">
        <f>12.5+11.5</f>
        <v>24</v>
      </c>
      <c r="AM705"/>
      <c r="AN705"/>
      <c r="AO705">
        <v>8.6999999999999993</v>
      </c>
      <c r="AP705">
        <v>79.5</v>
      </c>
      <c r="AQ705">
        <v>89.5</v>
      </c>
      <c r="AR705">
        <v>50.5</v>
      </c>
      <c r="AS705">
        <v>22.3</v>
      </c>
      <c r="AT705"/>
      <c r="AU705"/>
    </row>
    <row r="706" spans="1:53" ht="51" x14ac:dyDescent="0.2">
      <c r="A706" s="29">
        <v>711.99999999999977</v>
      </c>
      <c r="B706">
        <v>121715</v>
      </c>
      <c r="C706">
        <v>22.704999999999998</v>
      </c>
      <c r="D706" s="97" t="s">
        <v>293</v>
      </c>
      <c r="E706" s="17" t="s">
        <v>294</v>
      </c>
      <c r="F706" s="59" t="s">
        <v>295</v>
      </c>
      <c r="G706" s="17" t="s">
        <v>296</v>
      </c>
      <c r="H706" s="17"/>
      <c r="I706" s="56">
        <v>44791</v>
      </c>
      <c r="J706" s="17" t="s">
        <v>238</v>
      </c>
      <c r="K706" s="17" t="s">
        <v>235</v>
      </c>
      <c r="L706">
        <v>292</v>
      </c>
      <c r="M706"/>
      <c r="N706" s="88">
        <v>292.8</v>
      </c>
      <c r="O706">
        <v>193.5</v>
      </c>
      <c r="P706">
        <v>213.07</v>
      </c>
      <c r="Q706">
        <v>50.09</v>
      </c>
      <c r="R706">
        <v>30.9</v>
      </c>
      <c r="S706">
        <v>128.72999999999999</v>
      </c>
      <c r="T706">
        <v>102.43</v>
      </c>
      <c r="U706">
        <v>53.43</v>
      </c>
      <c r="V706">
        <v>37.81</v>
      </c>
      <c r="W706">
        <v>64.87</v>
      </c>
      <c r="X706">
        <v>89.56</v>
      </c>
      <c r="Y706">
        <v>36.22</v>
      </c>
      <c r="Z706">
        <v>98.71</v>
      </c>
      <c r="AA706">
        <v>82.5</v>
      </c>
      <c r="AB706">
        <v>68.760000000000005</v>
      </c>
      <c r="AC706">
        <v>6.49</v>
      </c>
      <c r="AD706">
        <v>55.05</v>
      </c>
      <c r="AE706">
        <v>40.08</v>
      </c>
      <c r="AF706">
        <v>45.19</v>
      </c>
      <c r="AG706">
        <v>45.19</v>
      </c>
      <c r="AH706">
        <v>45.18</v>
      </c>
      <c r="AI706">
        <v>1.36</v>
      </c>
      <c r="AJ706">
        <v>50.8</v>
      </c>
      <c r="AK706" t="s">
        <v>173</v>
      </c>
      <c r="AL706"/>
      <c r="AM706"/>
      <c r="AN706">
        <v>160</v>
      </c>
      <c r="AO706"/>
      <c r="AP706"/>
      <c r="AQ706"/>
      <c r="AR706"/>
      <c r="AS706"/>
      <c r="AT706"/>
      <c r="AU706"/>
      <c r="AV706"/>
    </row>
    <row r="707" spans="1:53" ht="51" x14ac:dyDescent="0.2">
      <c r="A707" s="29">
        <v>713.00000000000091</v>
      </c>
      <c r="B707">
        <v>121714</v>
      </c>
      <c r="C707">
        <v>22.706</v>
      </c>
      <c r="D707" s="97" t="s">
        <v>293</v>
      </c>
      <c r="E707" s="17" t="s">
        <v>294</v>
      </c>
      <c r="F707" s="59" t="s">
        <v>295</v>
      </c>
      <c r="G707" s="17" t="s">
        <v>296</v>
      </c>
      <c r="H707" s="17"/>
      <c r="I707" s="56">
        <v>44780</v>
      </c>
      <c r="J707" s="17" t="s">
        <v>238</v>
      </c>
      <c r="K707" s="17" t="s">
        <v>235</v>
      </c>
      <c r="L707">
        <v>300</v>
      </c>
      <c r="M707"/>
      <c r="N707" s="88"/>
      <c r="O707">
        <v>218.12</v>
      </c>
      <c r="P707">
        <v>229.47</v>
      </c>
      <c r="Q707">
        <v>50.4</v>
      </c>
      <c r="R707">
        <v>33.31</v>
      </c>
      <c r="S707">
        <v>141.11000000000001</v>
      </c>
      <c r="T707">
        <v>113.34</v>
      </c>
      <c r="U707">
        <v>53.65</v>
      </c>
      <c r="V707">
        <v>41.84</v>
      </c>
      <c r="W707">
        <v>67.52</v>
      </c>
      <c r="X707">
        <v>88.47</v>
      </c>
      <c r="Y707">
        <v>37.01</v>
      </c>
      <c r="Z707">
        <v>97.51</v>
      </c>
      <c r="AA707">
        <v>81.39</v>
      </c>
      <c r="AB707">
        <v>67.900000000000006</v>
      </c>
      <c r="AC707">
        <v>12.78</v>
      </c>
      <c r="AD707">
        <v>56.74</v>
      </c>
      <c r="AE707">
        <v>45.39</v>
      </c>
      <c r="AF707">
        <v>45.39</v>
      </c>
      <c r="AG707">
        <v>45.31</v>
      </c>
      <c r="AH707">
        <v>46.7</v>
      </c>
      <c r="AI707">
        <v>1.018</v>
      </c>
      <c r="AJ707">
        <v>53.1</v>
      </c>
      <c r="AK707" t="s">
        <v>173</v>
      </c>
      <c r="AL707"/>
      <c r="AM707"/>
      <c r="AN707"/>
      <c r="AO707"/>
      <c r="AP707"/>
      <c r="AQ707"/>
      <c r="AR707"/>
      <c r="AS707"/>
      <c r="AT707"/>
      <c r="AU707"/>
      <c r="AV707"/>
    </row>
    <row r="708" spans="1:53" ht="51" x14ac:dyDescent="0.2">
      <c r="A708" s="29">
        <v>713.99999999999864</v>
      </c>
      <c r="B708">
        <v>121718</v>
      </c>
      <c r="C708">
        <v>22.707000000000001</v>
      </c>
      <c r="D708" s="97" t="s">
        <v>293</v>
      </c>
      <c r="E708" s="17" t="s">
        <v>294</v>
      </c>
      <c r="F708" s="59" t="s">
        <v>295</v>
      </c>
      <c r="G708" s="17" t="s">
        <v>296</v>
      </c>
      <c r="H708" s="17"/>
      <c r="I708" s="56">
        <v>44798</v>
      </c>
      <c r="J708" s="17" t="s">
        <v>238</v>
      </c>
      <c r="K708" s="17" t="s">
        <v>235</v>
      </c>
      <c r="L708">
        <v>266</v>
      </c>
      <c r="M708"/>
      <c r="N708" s="88">
        <v>267.3</v>
      </c>
      <c r="O708">
        <v>193.39</v>
      </c>
      <c r="P708">
        <v>211.6</v>
      </c>
      <c r="Q708">
        <v>49.86</v>
      </c>
      <c r="R708">
        <v>24.24</v>
      </c>
      <c r="S708">
        <v>131.15</v>
      </c>
      <c r="T708">
        <v>102.53</v>
      </c>
      <c r="U708">
        <v>49.56</v>
      </c>
      <c r="V708">
        <v>39.69</v>
      </c>
      <c r="W708">
        <v>60.43</v>
      </c>
      <c r="X708">
        <v>88.51</v>
      </c>
      <c r="Y708">
        <v>38.64</v>
      </c>
      <c r="Z708">
        <v>96.4</v>
      </c>
      <c r="AA708">
        <v>79.2</v>
      </c>
      <c r="AB708">
        <v>68.33</v>
      </c>
      <c r="AC708">
        <v>6.83</v>
      </c>
      <c r="AD708">
        <v>54.88</v>
      </c>
      <c r="AE708">
        <v>35.85</v>
      </c>
      <c r="AF708">
        <v>47.31</v>
      </c>
      <c r="AG708">
        <v>43.73</v>
      </c>
      <c r="AH708">
        <v>47.54</v>
      </c>
      <c r="AI708">
        <v>1.3460000000000001</v>
      </c>
      <c r="AJ708">
        <v>48.3</v>
      </c>
      <c r="AK708" t="s">
        <v>173</v>
      </c>
      <c r="AL708"/>
      <c r="AM708"/>
      <c r="AN708">
        <v>98</v>
      </c>
      <c r="AO708"/>
      <c r="AP708"/>
      <c r="AQ708"/>
      <c r="AR708"/>
      <c r="AS708"/>
      <c r="AT708"/>
      <c r="AU708"/>
      <c r="AV708"/>
    </row>
    <row r="709" spans="1:53" ht="51" x14ac:dyDescent="0.2">
      <c r="A709" s="29">
        <v>714.99999999999989</v>
      </c>
      <c r="B709">
        <v>121716</v>
      </c>
      <c r="C709">
        <v>22.707999999999998</v>
      </c>
      <c r="D709" s="97" t="s">
        <v>293</v>
      </c>
      <c r="E709" s="17" t="s">
        <v>294</v>
      </c>
      <c r="F709" s="59" t="s">
        <v>295</v>
      </c>
      <c r="G709" s="17" t="s">
        <v>296</v>
      </c>
      <c r="H709" s="17"/>
      <c r="I709" s="56">
        <v>44791</v>
      </c>
      <c r="J709" s="17" t="s">
        <v>238</v>
      </c>
      <c r="K709" s="17" t="s">
        <v>235</v>
      </c>
      <c r="L709">
        <v>286</v>
      </c>
      <c r="M709"/>
      <c r="N709" s="88">
        <v>278.5</v>
      </c>
      <c r="O709">
        <v>202.52</v>
      </c>
      <c r="P709">
        <v>215.8</v>
      </c>
      <c r="Q709">
        <v>47.15</v>
      </c>
      <c r="R709">
        <v>26.55</v>
      </c>
      <c r="S709">
        <v>138.19999999999999</v>
      </c>
      <c r="T709">
        <v>107.68</v>
      </c>
      <c r="U709">
        <v>49.43</v>
      </c>
      <c r="V709">
        <v>38.56</v>
      </c>
      <c r="W709">
        <v>58.41</v>
      </c>
      <c r="X709">
        <v>91.55</v>
      </c>
      <c r="Y709">
        <v>38.5</v>
      </c>
      <c r="Z709">
        <v>98.44</v>
      </c>
      <c r="AA709">
        <v>83.77</v>
      </c>
      <c r="AB709">
        <v>70.95</v>
      </c>
      <c r="AC709">
        <v>8.5</v>
      </c>
      <c r="AD709">
        <v>53.09</v>
      </c>
      <c r="AE709">
        <v>40.229999999999997</v>
      </c>
      <c r="AF709">
        <v>47.39</v>
      </c>
      <c r="AG709">
        <v>40.74</v>
      </c>
      <c r="AH709">
        <v>46.24</v>
      </c>
      <c r="AI709">
        <v>1.2030000000000001</v>
      </c>
      <c r="AJ709">
        <v>51.6</v>
      </c>
      <c r="AK709" t="s">
        <v>173</v>
      </c>
      <c r="AL709"/>
      <c r="AM709"/>
      <c r="AN709">
        <v>109</v>
      </c>
      <c r="AO709"/>
      <c r="AP709"/>
      <c r="AQ709"/>
      <c r="AR709"/>
      <c r="AS709"/>
      <c r="AT709"/>
      <c r="AU709"/>
      <c r="AV709"/>
    </row>
    <row r="710" spans="1:53" x14ac:dyDescent="0.2">
      <c r="A710" s="29">
        <v>716.00000000000114</v>
      </c>
      <c r="B710">
        <v>81</v>
      </c>
      <c r="C710">
        <v>22.709</v>
      </c>
      <c r="D710" s="31" t="s">
        <v>140</v>
      </c>
      <c r="E710" s="3" t="s">
        <v>141</v>
      </c>
      <c r="F710" s="17" t="s">
        <v>62</v>
      </c>
      <c r="H710" s="17" t="s">
        <v>62</v>
      </c>
      <c r="I710" s="32">
        <v>44692</v>
      </c>
      <c r="J710" s="3" t="s">
        <v>142</v>
      </c>
      <c r="K710" s="3" t="s">
        <v>166</v>
      </c>
      <c r="L710" s="3">
        <v>231.2</v>
      </c>
      <c r="M710" s="17"/>
      <c r="N710" s="88">
        <v>238.9</v>
      </c>
      <c r="O710">
        <v>203.96</v>
      </c>
      <c r="P710">
        <v>206.67</v>
      </c>
      <c r="Q710">
        <v>50.08</v>
      </c>
      <c r="R710">
        <v>29.4</v>
      </c>
      <c r="S710">
        <v>124.43</v>
      </c>
      <c r="T710">
        <v>99.76</v>
      </c>
      <c r="U710">
        <v>66.09</v>
      </c>
      <c r="V710">
        <v>50.3</v>
      </c>
      <c r="W710">
        <v>75.760000000000005</v>
      </c>
      <c r="X710">
        <v>90.81</v>
      </c>
      <c r="Y710">
        <v>38.979999999999997</v>
      </c>
      <c r="Z710">
        <v>102.66</v>
      </c>
      <c r="AA710">
        <v>79.17</v>
      </c>
      <c r="AB710">
        <v>78.459999999999994</v>
      </c>
      <c r="AC710">
        <v>22.31</v>
      </c>
      <c r="AD710">
        <v>46.46</v>
      </c>
      <c r="AE710">
        <v>35</v>
      </c>
      <c r="AF710">
        <v>45.19</v>
      </c>
      <c r="AG710">
        <v>42.46</v>
      </c>
      <c r="AH710">
        <v>48.99</v>
      </c>
      <c r="AI710">
        <v>1.4950000000000001</v>
      </c>
      <c r="AJ710"/>
      <c r="AK710"/>
      <c r="AL710"/>
      <c r="AM710"/>
      <c r="AN710"/>
      <c r="AO710">
        <v>5.9</v>
      </c>
      <c r="AP710">
        <v>42</v>
      </c>
      <c r="AQ710">
        <f>148.9+4</f>
        <v>152.9</v>
      </c>
      <c r="AR710">
        <v>48.2</v>
      </c>
      <c r="AS710">
        <v>20.9</v>
      </c>
      <c r="AT710"/>
      <c r="AU710"/>
    </row>
    <row r="711" spans="1:53" x14ac:dyDescent="0.2">
      <c r="A711" s="29">
        <v>716.99999999999875</v>
      </c>
      <c r="B711" s="17" t="s">
        <v>396</v>
      </c>
      <c r="C711" s="5" t="s">
        <v>45</v>
      </c>
      <c r="D711" s="74" t="s">
        <v>179</v>
      </c>
      <c r="E711" t="s">
        <v>180</v>
      </c>
      <c r="F711" t="s">
        <v>181</v>
      </c>
      <c r="G711"/>
      <c r="H711" t="s">
        <v>268</v>
      </c>
      <c r="I711" s="56">
        <v>44826</v>
      </c>
      <c r="J711" s="17" t="s">
        <v>238</v>
      </c>
      <c r="K711" s="17" t="s">
        <v>235</v>
      </c>
      <c r="L711">
        <v>245</v>
      </c>
      <c r="M711"/>
      <c r="N711" s="88">
        <v>250.8</v>
      </c>
      <c r="O711">
        <v>200.24</v>
      </c>
      <c r="P711">
        <v>219.4</v>
      </c>
      <c r="Q711">
        <v>46.31</v>
      </c>
      <c r="R711">
        <v>28.38</v>
      </c>
      <c r="S711">
        <v>131.94999999999999</v>
      </c>
      <c r="T711">
        <v>107.8</v>
      </c>
      <c r="U711">
        <v>58.28</v>
      </c>
      <c r="V711">
        <v>44.65</v>
      </c>
      <c r="W711">
        <v>67.66</v>
      </c>
      <c r="X711">
        <v>83.86</v>
      </c>
      <c r="Y711">
        <v>39.770000000000003</v>
      </c>
      <c r="Z711">
        <v>91.79</v>
      </c>
      <c r="AA711">
        <v>77.099999999999994</v>
      </c>
      <c r="AB711">
        <v>63.42</v>
      </c>
      <c r="AC711">
        <v>18.690000000000001</v>
      </c>
      <c r="AD711">
        <v>52.85</v>
      </c>
      <c r="AE711">
        <v>30.87</v>
      </c>
      <c r="AF711">
        <v>42.86</v>
      </c>
      <c r="AG711">
        <v>35.68</v>
      </c>
      <c r="AH711">
        <v>45.13</v>
      </c>
      <c r="AI711">
        <v>0.98599999999999999</v>
      </c>
      <c r="AJ711">
        <v>29.5</v>
      </c>
      <c r="AK711" t="s">
        <v>172</v>
      </c>
      <c r="AL711"/>
      <c r="AM711"/>
      <c r="AN711">
        <v>166</v>
      </c>
      <c r="AO711"/>
      <c r="AP711"/>
      <c r="AQ711"/>
      <c r="AR711"/>
      <c r="AS711"/>
      <c r="AT711" t="s">
        <v>146</v>
      </c>
      <c r="AU711" t="s">
        <v>147</v>
      </c>
    </row>
    <row r="712" spans="1:53" x14ac:dyDescent="0.2">
      <c r="A712" s="29">
        <v>718</v>
      </c>
      <c r="B712" s="17" t="s">
        <v>397</v>
      </c>
      <c r="C712">
        <v>22.710999999999999</v>
      </c>
      <c r="D712" s="74" t="s">
        <v>179</v>
      </c>
      <c r="E712" t="s">
        <v>180</v>
      </c>
      <c r="F712" t="s">
        <v>181</v>
      </c>
      <c r="G712" s="11">
        <v>259</v>
      </c>
      <c r="H712" s="11">
        <v>259</v>
      </c>
      <c r="I712" s="56">
        <v>44823</v>
      </c>
      <c r="J712" s="17" t="s">
        <v>238</v>
      </c>
      <c r="K712" s="17" t="s">
        <v>235</v>
      </c>
      <c r="L712">
        <v>260</v>
      </c>
      <c r="M712"/>
      <c r="N712" s="88">
        <v>266.3</v>
      </c>
      <c r="O712">
        <v>185.3</v>
      </c>
      <c r="P712">
        <v>191.82</v>
      </c>
      <c r="Q712">
        <v>43.79</v>
      </c>
      <c r="R712">
        <v>20.010000000000002</v>
      </c>
      <c r="S712">
        <v>126.89</v>
      </c>
      <c r="T712">
        <v>103.78</v>
      </c>
      <c r="U712">
        <v>60.35</v>
      </c>
      <c r="V712">
        <v>44.75</v>
      </c>
      <c r="W712">
        <v>68.81</v>
      </c>
      <c r="X712">
        <v>86.05</v>
      </c>
      <c r="Y712">
        <v>40.51</v>
      </c>
      <c r="Z712">
        <v>97.4</v>
      </c>
      <c r="AA712">
        <v>82.29</v>
      </c>
      <c r="AB712">
        <v>74.08</v>
      </c>
      <c r="AC712">
        <v>14.48</v>
      </c>
      <c r="AD712">
        <v>50.81</v>
      </c>
      <c r="AE712">
        <v>31.42</v>
      </c>
      <c r="AF712">
        <v>39.64</v>
      </c>
      <c r="AG712">
        <v>32.04</v>
      </c>
      <c r="AH712">
        <v>47.48</v>
      </c>
      <c r="AI712">
        <v>0.97699999999999998</v>
      </c>
      <c r="AJ712">
        <v>42.9</v>
      </c>
      <c r="AK712" t="s">
        <v>172</v>
      </c>
      <c r="AL712"/>
      <c r="AM712"/>
      <c r="AN712">
        <f>60+35+30</f>
        <v>125</v>
      </c>
      <c r="AO712"/>
      <c r="AP712"/>
      <c r="AQ712"/>
      <c r="AR712"/>
      <c r="AS712"/>
      <c r="AT712" t="s">
        <v>146</v>
      </c>
      <c r="AU712" t="s">
        <v>147</v>
      </c>
    </row>
    <row r="713" spans="1:53" x14ac:dyDescent="0.2">
      <c r="A713" s="29">
        <v>719.00000000000114</v>
      </c>
      <c r="B713" s="17" t="s">
        <v>398</v>
      </c>
      <c r="C713">
        <v>22.712</v>
      </c>
      <c r="D713" s="74" t="s">
        <v>179</v>
      </c>
      <c r="E713" t="s">
        <v>180</v>
      </c>
      <c r="F713" t="s">
        <v>181</v>
      </c>
      <c r="G713" s="11">
        <v>259</v>
      </c>
      <c r="H713" s="11">
        <v>259</v>
      </c>
      <c r="I713" s="56">
        <v>44831</v>
      </c>
      <c r="J713" s="17" t="s">
        <v>238</v>
      </c>
      <c r="K713" s="17" t="s">
        <v>235</v>
      </c>
      <c r="L713">
        <v>270</v>
      </c>
      <c r="M713"/>
      <c r="N713" s="88">
        <v>266.5</v>
      </c>
      <c r="O713">
        <v>189.04</v>
      </c>
      <c r="P713">
        <v>192.24</v>
      </c>
      <c r="Q713">
        <v>40.049999999999997</v>
      </c>
      <c r="R713">
        <v>21.71</v>
      </c>
      <c r="S713">
        <v>125.12</v>
      </c>
      <c r="T713">
        <v>99.96</v>
      </c>
      <c r="U713">
        <v>60.85</v>
      </c>
      <c r="V713">
        <v>45.23</v>
      </c>
      <c r="W713">
        <v>69.83</v>
      </c>
      <c r="X713">
        <v>88.2</v>
      </c>
      <c r="Y713">
        <v>39.700000000000003</v>
      </c>
      <c r="Z713">
        <v>99.87</v>
      </c>
      <c r="AA713">
        <v>84.51</v>
      </c>
      <c r="AB713">
        <v>76.52</v>
      </c>
      <c r="AC713">
        <v>14.19</v>
      </c>
      <c r="AD713">
        <v>50.39</v>
      </c>
      <c r="AE713">
        <v>33.96</v>
      </c>
      <c r="AF713">
        <v>43.2</v>
      </c>
      <c r="AG713">
        <v>37.17</v>
      </c>
      <c r="AH713">
        <v>44.69</v>
      </c>
      <c r="AI713">
        <v>1.008</v>
      </c>
      <c r="AJ713">
        <v>37.1</v>
      </c>
      <c r="AK713" t="s">
        <v>172</v>
      </c>
      <c r="AL713"/>
      <c r="AM713"/>
      <c r="AN713">
        <v>126</v>
      </c>
      <c r="AO713"/>
      <c r="AP713"/>
      <c r="AQ713"/>
      <c r="AR713"/>
      <c r="AS713"/>
      <c r="AT713" t="s">
        <v>146</v>
      </c>
      <c r="AU713" t="s">
        <v>147</v>
      </c>
    </row>
    <row r="714" spans="1:53" x14ac:dyDescent="0.2">
      <c r="A714" s="29">
        <v>719.99999999999886</v>
      </c>
      <c r="B714" s="77">
        <v>438</v>
      </c>
      <c r="C714">
        <v>22.713000000000001</v>
      </c>
      <c r="D714" s="78" t="s">
        <v>168</v>
      </c>
      <c r="E714" s="17" t="s">
        <v>169</v>
      </c>
      <c r="F714" s="3" t="s">
        <v>170</v>
      </c>
      <c r="G714" t="s">
        <v>30</v>
      </c>
      <c r="H714" s="17"/>
      <c r="I714" s="68">
        <v>44792</v>
      </c>
      <c r="J714" s="17" t="s">
        <v>238</v>
      </c>
      <c r="K714" s="17" t="s">
        <v>235</v>
      </c>
      <c r="L714"/>
      <c r="M714"/>
      <c r="N714" s="88">
        <v>305.89999999999998</v>
      </c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>
        <v>1.3320000000000001</v>
      </c>
      <c r="AJ714">
        <v>56</v>
      </c>
      <c r="AK714" t="s">
        <v>172</v>
      </c>
      <c r="AL714"/>
      <c r="AM714"/>
      <c r="AN714">
        <v>116</v>
      </c>
      <c r="AO714"/>
      <c r="AP714"/>
      <c r="AQ714"/>
      <c r="AR714"/>
      <c r="AS714"/>
      <c r="AT714" t="s">
        <v>146</v>
      </c>
      <c r="AU714"/>
      <c r="AV714"/>
    </row>
    <row r="715" spans="1:53" x14ac:dyDescent="0.2">
      <c r="A715" s="29">
        <v>721.00000000000011</v>
      </c>
      <c r="B715" s="77">
        <v>450</v>
      </c>
      <c r="C715">
        <v>22.713999999999999</v>
      </c>
      <c r="D715" s="78" t="s">
        <v>168</v>
      </c>
      <c r="E715" s="17" t="s">
        <v>169</v>
      </c>
      <c r="F715" s="3" t="s">
        <v>170</v>
      </c>
      <c r="H715" t="s">
        <v>30</v>
      </c>
      <c r="I715" s="68">
        <v>44805</v>
      </c>
      <c r="J715" s="17" t="s">
        <v>238</v>
      </c>
      <c r="K715" s="17" t="s">
        <v>204</v>
      </c>
      <c r="L715"/>
      <c r="M715"/>
      <c r="N715" s="88">
        <v>304.3</v>
      </c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>
        <v>1.371</v>
      </c>
      <c r="AJ715">
        <v>55.2</v>
      </c>
      <c r="AK715" t="s">
        <v>172</v>
      </c>
      <c r="AL715"/>
      <c r="AM715"/>
      <c r="AN715">
        <v>152</v>
      </c>
      <c r="AO715"/>
      <c r="AP715"/>
      <c r="AQ715"/>
      <c r="AR715"/>
      <c r="AS715"/>
      <c r="AT715" t="s">
        <v>146</v>
      </c>
      <c r="AU715"/>
      <c r="AV715"/>
      <c r="AW715"/>
      <c r="AX715"/>
      <c r="AY715"/>
      <c r="AZ715"/>
      <c r="BA715"/>
    </row>
    <row r="716" spans="1:53" x14ac:dyDescent="0.2">
      <c r="A716" s="29">
        <v>722.00000000000136</v>
      </c>
      <c r="B716" s="17">
        <v>426</v>
      </c>
      <c r="C716">
        <v>22.715</v>
      </c>
      <c r="D716" s="78" t="s">
        <v>168</v>
      </c>
      <c r="E716" s="17" t="s">
        <v>169</v>
      </c>
      <c r="F716" s="3" t="s">
        <v>170</v>
      </c>
      <c r="G716"/>
      <c r="H716" t="s">
        <v>30</v>
      </c>
      <c r="I716" s="68">
        <v>44780</v>
      </c>
      <c r="J716" s="17" t="s">
        <v>142</v>
      </c>
      <c r="K716" s="17" t="s">
        <v>235</v>
      </c>
      <c r="L716"/>
      <c r="M716"/>
      <c r="N716" s="88">
        <v>300.60000000000002</v>
      </c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>
        <v>1.504</v>
      </c>
      <c r="AJ716">
        <v>54.4</v>
      </c>
      <c r="AK716" t="s">
        <v>172</v>
      </c>
      <c r="AL716"/>
      <c r="AM716"/>
      <c r="AN716">
        <v>151</v>
      </c>
      <c r="AO716"/>
      <c r="AP716"/>
      <c r="AQ716"/>
      <c r="AR716"/>
      <c r="AS716"/>
      <c r="AT716" t="s">
        <v>146</v>
      </c>
      <c r="AU716"/>
    </row>
    <row r="717" spans="1:53" x14ac:dyDescent="0.2">
      <c r="A717" s="29">
        <v>722.99999999999898</v>
      </c>
      <c r="B717" s="77">
        <v>435</v>
      </c>
      <c r="C717">
        <v>22.716000000000001</v>
      </c>
      <c r="D717" s="78" t="s">
        <v>168</v>
      </c>
      <c r="E717" s="28" t="s">
        <v>169</v>
      </c>
      <c r="F717" s="14" t="s">
        <v>170</v>
      </c>
      <c r="G717" s="28"/>
      <c r="H717" s="28"/>
      <c r="I717" s="68">
        <v>44791</v>
      </c>
      <c r="J717" s="17" t="s">
        <v>142</v>
      </c>
      <c r="K717" s="17" t="s">
        <v>235</v>
      </c>
      <c r="L717"/>
      <c r="M717"/>
      <c r="N717" s="88">
        <v>85.5</v>
      </c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>
        <v>1.1000000000000001</v>
      </c>
      <c r="AJ717"/>
      <c r="AK717" t="s">
        <v>172</v>
      </c>
      <c r="AL717"/>
      <c r="AM717"/>
      <c r="AN717"/>
      <c r="AO717"/>
      <c r="AP717"/>
      <c r="AQ717"/>
      <c r="AR717"/>
      <c r="AS717"/>
      <c r="AT717" t="s">
        <v>146</v>
      </c>
      <c r="AU717"/>
    </row>
    <row r="718" spans="1:53" x14ac:dyDescent="0.2">
      <c r="A718" s="29">
        <v>724.00000000000023</v>
      </c>
      <c r="B718" s="3">
        <v>447</v>
      </c>
      <c r="C718" s="3">
        <v>22.716999999999999</v>
      </c>
      <c r="D718" s="78" t="s">
        <v>168</v>
      </c>
      <c r="E718" s="17" t="s">
        <v>169</v>
      </c>
      <c r="F718" s="3" t="s">
        <v>170</v>
      </c>
      <c r="G718" s="17"/>
      <c r="H718" s="18" t="s">
        <v>177</v>
      </c>
      <c r="I718" s="68">
        <v>44805</v>
      </c>
      <c r="J718" s="17" t="s">
        <v>142</v>
      </c>
      <c r="K718" s="17" t="s">
        <v>204</v>
      </c>
      <c r="L718"/>
      <c r="N718" s="3">
        <v>300.10000000000002</v>
      </c>
      <c r="AI718" s="3">
        <v>1.262</v>
      </c>
      <c r="AJ718" s="3">
        <v>52.6</v>
      </c>
      <c r="AK718" s="3" t="s">
        <v>172</v>
      </c>
      <c r="AN718" s="3">
        <v>144</v>
      </c>
      <c r="AT718" t="s">
        <v>146</v>
      </c>
    </row>
    <row r="719" spans="1:53" x14ac:dyDescent="0.2">
      <c r="A719" s="29">
        <v>725.00000000000136</v>
      </c>
      <c r="B719" s="77">
        <v>461</v>
      </c>
      <c r="C719">
        <v>22.718</v>
      </c>
      <c r="D719" s="78" t="s">
        <v>168</v>
      </c>
      <c r="E719" s="17" t="s">
        <v>169</v>
      </c>
      <c r="F719" s="3" t="s">
        <v>170</v>
      </c>
      <c r="G719" t="s">
        <v>30</v>
      </c>
      <c r="H719" s="17"/>
      <c r="I719" s="68">
        <v>44819</v>
      </c>
      <c r="J719" s="17" t="s">
        <v>142</v>
      </c>
      <c r="K719" s="17" t="s">
        <v>204</v>
      </c>
      <c r="L719"/>
      <c r="N719" s="3">
        <v>304.8</v>
      </c>
      <c r="AI719" s="3">
        <v>1.3260000000000001</v>
      </c>
      <c r="AJ719" s="3">
        <v>49.6</v>
      </c>
      <c r="AK719" s="3" t="s">
        <v>172</v>
      </c>
      <c r="AN719" s="3">
        <v>178</v>
      </c>
      <c r="AT719" t="s">
        <v>146</v>
      </c>
    </row>
    <row r="720" spans="1:53" x14ac:dyDescent="0.2">
      <c r="A720" s="29">
        <v>725.99999999999909</v>
      </c>
      <c r="B720" s="77">
        <v>437</v>
      </c>
      <c r="C720">
        <v>22.719000000000001</v>
      </c>
      <c r="D720" s="78" t="s">
        <v>168</v>
      </c>
      <c r="E720" s="17" t="s">
        <v>169</v>
      </c>
      <c r="F720" s="3" t="s">
        <v>170</v>
      </c>
      <c r="G720"/>
      <c r="H720" s="17"/>
      <c r="I720" s="68">
        <v>44789</v>
      </c>
      <c r="J720" s="17" t="s">
        <v>142</v>
      </c>
      <c r="K720" s="17" t="s">
        <v>235</v>
      </c>
      <c r="L720"/>
      <c r="N720" s="3">
        <v>312.60000000000002</v>
      </c>
      <c r="AI720" s="3">
        <v>1.456</v>
      </c>
      <c r="AJ720" s="3">
        <v>64.2</v>
      </c>
      <c r="AK720" s="3" t="s">
        <v>172</v>
      </c>
      <c r="AN720" s="3">
        <v>136</v>
      </c>
      <c r="AT720" t="s">
        <v>146</v>
      </c>
    </row>
    <row r="721" spans="1:47" x14ac:dyDescent="0.2">
      <c r="A721" s="29">
        <v>727.00000000000034</v>
      </c>
      <c r="B721" s="17">
        <v>428</v>
      </c>
      <c r="C721" s="5" t="s">
        <v>22</v>
      </c>
      <c r="D721" s="78" t="s">
        <v>168</v>
      </c>
      <c r="E721" s="17" t="s">
        <v>169</v>
      </c>
      <c r="F721" s="3" t="s">
        <v>170</v>
      </c>
      <c r="G721" t="s">
        <v>30</v>
      </c>
      <c r="H721" s="17"/>
      <c r="I721" s="68">
        <v>44780</v>
      </c>
      <c r="J721" s="17" t="s">
        <v>142</v>
      </c>
      <c r="K721" s="17" t="s">
        <v>235</v>
      </c>
      <c r="N721" s="3">
        <v>301</v>
      </c>
      <c r="AI721" s="3">
        <v>1.4450000000000001</v>
      </c>
      <c r="AJ721" s="3">
        <v>57.6</v>
      </c>
      <c r="AK721" s="3" t="s">
        <v>172</v>
      </c>
      <c r="AN721" s="3">
        <v>131</v>
      </c>
      <c r="AT721" t="s">
        <v>146</v>
      </c>
    </row>
    <row r="722" spans="1:47" x14ac:dyDescent="0.2">
      <c r="A722" s="29">
        <v>728.00000000000159</v>
      </c>
      <c r="B722" s="3">
        <v>429</v>
      </c>
      <c r="C722" s="3">
        <v>22.721</v>
      </c>
      <c r="D722" s="78" t="s">
        <v>168</v>
      </c>
      <c r="E722" s="17" t="s">
        <v>169</v>
      </c>
      <c r="F722" s="3" t="s">
        <v>170</v>
      </c>
      <c r="G722" t="s">
        <v>30</v>
      </c>
      <c r="H722" s="17"/>
      <c r="I722" s="68">
        <v>44780</v>
      </c>
      <c r="J722" s="17" t="s">
        <v>142</v>
      </c>
      <c r="K722" s="17" t="s">
        <v>235</v>
      </c>
      <c r="N722" s="3">
        <v>310.60000000000002</v>
      </c>
      <c r="AI722" s="3">
        <v>1.2330000000000001</v>
      </c>
      <c r="AJ722" s="3">
        <v>53.5</v>
      </c>
      <c r="AK722" s="3" t="s">
        <v>172</v>
      </c>
      <c r="AN722" s="3">
        <v>142</v>
      </c>
      <c r="AT722" t="s">
        <v>146</v>
      </c>
    </row>
    <row r="723" spans="1:47" x14ac:dyDescent="0.2">
      <c r="A723" s="29">
        <v>728.9999999999992</v>
      </c>
      <c r="B723" s="77">
        <v>470</v>
      </c>
      <c r="C723">
        <v>22.722000000000001</v>
      </c>
      <c r="D723" s="78" t="s">
        <v>168</v>
      </c>
      <c r="E723" s="17" t="s">
        <v>169</v>
      </c>
      <c r="F723" s="17" t="s">
        <v>170</v>
      </c>
      <c r="G723" s="17"/>
      <c r="H723" s="3" t="s">
        <v>234</v>
      </c>
      <c r="I723" s="68">
        <v>44827</v>
      </c>
      <c r="J723" s="17" t="s">
        <v>142</v>
      </c>
      <c r="K723" s="17" t="s">
        <v>204</v>
      </c>
      <c r="N723" s="3">
        <v>295.39999999999998</v>
      </c>
      <c r="AI723" s="3">
        <v>1.369</v>
      </c>
      <c r="AJ723" s="33"/>
      <c r="AK723" s="3" t="s">
        <v>172</v>
      </c>
      <c r="AN723" s="33"/>
      <c r="AT723" t="s">
        <v>146</v>
      </c>
    </row>
    <row r="724" spans="1:47" x14ac:dyDescent="0.2">
      <c r="A724" s="29">
        <v>730.00000000000045</v>
      </c>
      <c r="B724" s="77">
        <v>451</v>
      </c>
      <c r="C724">
        <v>22.722999999999999</v>
      </c>
      <c r="D724" s="78" t="s">
        <v>168</v>
      </c>
      <c r="E724" s="17" t="s">
        <v>169</v>
      </c>
      <c r="F724" s="3" t="s">
        <v>170</v>
      </c>
      <c r="G724" t="s">
        <v>30</v>
      </c>
      <c r="H724" s="17"/>
      <c r="I724" s="68">
        <v>44805</v>
      </c>
      <c r="J724" s="17" t="s">
        <v>142</v>
      </c>
      <c r="K724" s="17" t="s">
        <v>204</v>
      </c>
      <c r="N724" s="3">
        <v>303.39999999999998</v>
      </c>
      <c r="AI724" s="3">
        <v>1.4730000000000001</v>
      </c>
      <c r="AJ724" s="3">
        <v>51.9</v>
      </c>
      <c r="AK724" s="3" t="s">
        <v>172</v>
      </c>
      <c r="AN724" s="33"/>
      <c r="AT724" t="s">
        <v>146</v>
      </c>
    </row>
    <row r="725" spans="1:47" x14ac:dyDescent="0.2">
      <c r="A725" s="29">
        <v>731.00000000000159</v>
      </c>
      <c r="B725" s="17">
        <v>427</v>
      </c>
      <c r="C725">
        <v>22.724</v>
      </c>
      <c r="D725" s="78" t="s">
        <v>168</v>
      </c>
      <c r="E725" s="17" t="s">
        <v>169</v>
      </c>
      <c r="F725" s="3" t="s">
        <v>170</v>
      </c>
      <c r="G725" t="s">
        <v>30</v>
      </c>
      <c r="H725" s="17"/>
      <c r="I725" s="68">
        <v>44780</v>
      </c>
      <c r="J725" s="17" t="s">
        <v>142</v>
      </c>
      <c r="K725" s="17" t="s">
        <v>235</v>
      </c>
      <c r="N725" s="3">
        <v>305.60000000000002</v>
      </c>
      <c r="AI725" s="3">
        <v>1.26</v>
      </c>
      <c r="AJ725" s="3">
        <v>61.5</v>
      </c>
      <c r="AK725" s="3" t="s">
        <v>172</v>
      </c>
      <c r="AN725" s="3">
        <v>124</v>
      </c>
      <c r="AT725" t="s">
        <v>146</v>
      </c>
    </row>
    <row r="726" spans="1:47" x14ac:dyDescent="0.2">
      <c r="A726" s="29">
        <v>731.99999999999932</v>
      </c>
      <c r="B726" s="17">
        <v>424</v>
      </c>
      <c r="C726">
        <v>22.725000000000001</v>
      </c>
      <c r="D726" s="78" t="s">
        <v>168</v>
      </c>
      <c r="E726" s="17" t="s">
        <v>169</v>
      </c>
      <c r="F726" s="17" t="s">
        <v>170</v>
      </c>
      <c r="G726" s="17"/>
      <c r="H726" s="3" t="s">
        <v>234</v>
      </c>
      <c r="I726" s="56">
        <v>44774</v>
      </c>
      <c r="J726" s="17" t="s">
        <v>142</v>
      </c>
      <c r="K726" s="17" t="s">
        <v>235</v>
      </c>
      <c r="N726" s="3">
        <v>312</v>
      </c>
      <c r="AI726" s="3">
        <v>1.621</v>
      </c>
      <c r="AJ726" s="3">
        <f>41+8.2</f>
        <v>49.2</v>
      </c>
      <c r="AK726" s="3" t="s">
        <v>172</v>
      </c>
      <c r="AN726" s="3">
        <v>145</v>
      </c>
      <c r="AT726" t="s">
        <v>146</v>
      </c>
    </row>
    <row r="727" spans="1:47" x14ac:dyDescent="0.2">
      <c r="A727" s="29">
        <v>733.00000000000057</v>
      </c>
      <c r="B727" s="77">
        <v>454</v>
      </c>
      <c r="C727">
        <v>22.725999999999999</v>
      </c>
      <c r="D727" s="78" t="s">
        <v>168</v>
      </c>
      <c r="E727" s="17" t="s">
        <v>169</v>
      </c>
      <c r="F727" s="3" t="s">
        <v>170</v>
      </c>
      <c r="G727" t="s">
        <v>30</v>
      </c>
      <c r="H727" s="17"/>
      <c r="I727" s="68">
        <v>44805</v>
      </c>
      <c r="J727" s="17" t="s">
        <v>142</v>
      </c>
      <c r="K727" s="17" t="s">
        <v>235</v>
      </c>
      <c r="N727" s="3">
        <v>303.89999999999998</v>
      </c>
      <c r="AI727" s="3">
        <v>1.1339999999999999</v>
      </c>
      <c r="AJ727" s="3">
        <v>63.4</v>
      </c>
      <c r="AK727" s="3" t="s">
        <v>172</v>
      </c>
      <c r="AN727" s="3">
        <v>132</v>
      </c>
      <c r="AT727" t="s">
        <v>146</v>
      </c>
    </row>
    <row r="728" spans="1:47" x14ac:dyDescent="0.2">
      <c r="A728" s="29">
        <v>734.00000000000182</v>
      </c>
      <c r="B728" s="17" t="s">
        <v>399</v>
      </c>
      <c r="C728">
        <v>22.727</v>
      </c>
      <c r="D728" s="74" t="s">
        <v>179</v>
      </c>
      <c r="E728" t="s">
        <v>180</v>
      </c>
      <c r="F728" t="s">
        <v>181</v>
      </c>
      <c r="G728"/>
      <c r="H728" t="s">
        <v>268</v>
      </c>
      <c r="I728" s="56">
        <v>44831</v>
      </c>
      <c r="J728" s="17" t="s">
        <v>238</v>
      </c>
      <c r="K728" s="17" t="s">
        <v>235</v>
      </c>
      <c r="L728">
        <v>265</v>
      </c>
      <c r="M728"/>
      <c r="N728" s="88">
        <v>266.89999999999998</v>
      </c>
      <c r="O728">
        <v>192.48</v>
      </c>
      <c r="P728">
        <v>200.36</v>
      </c>
      <c r="Q728" s="61"/>
      <c r="R728">
        <v>25.57</v>
      </c>
      <c r="S728" s="61"/>
      <c r="T728">
        <v>102.78</v>
      </c>
      <c r="U728">
        <v>58.54</v>
      </c>
      <c r="V728">
        <v>43.08</v>
      </c>
      <c r="W728">
        <v>67.86</v>
      </c>
      <c r="X728">
        <v>83.96</v>
      </c>
      <c r="Y728">
        <v>38.729999999999997</v>
      </c>
      <c r="Z728">
        <v>97.74</v>
      </c>
      <c r="AA728">
        <v>83.03</v>
      </c>
      <c r="AB728">
        <v>73.349999999999994</v>
      </c>
      <c r="AC728">
        <v>14.79</v>
      </c>
      <c r="AD728">
        <v>49.62</v>
      </c>
      <c r="AE728">
        <v>34.409999999999997</v>
      </c>
      <c r="AF728">
        <v>42.13</v>
      </c>
      <c r="AG728">
        <v>3.12</v>
      </c>
      <c r="AH728">
        <v>47.54</v>
      </c>
      <c r="AI728" s="3">
        <v>0.95799999999999996</v>
      </c>
      <c r="AJ728" s="3">
        <v>33.299999999999997</v>
      </c>
      <c r="AK728" s="3" t="s">
        <v>172</v>
      </c>
      <c r="AL728"/>
      <c r="AM728"/>
      <c r="AN728" s="3">
        <v>140</v>
      </c>
      <c r="AO728"/>
      <c r="AP728"/>
      <c r="AQ728"/>
      <c r="AR728"/>
      <c r="AS728"/>
      <c r="AT728" t="s">
        <v>146</v>
      </c>
      <c r="AU728"/>
    </row>
    <row r="729" spans="1:47" x14ac:dyDescent="0.2">
      <c r="A729" s="29">
        <v>734.99999999999943</v>
      </c>
      <c r="B729" s="17" t="s">
        <v>400</v>
      </c>
      <c r="C729">
        <v>22.728000000000002</v>
      </c>
      <c r="D729" s="74" t="s">
        <v>179</v>
      </c>
      <c r="E729" t="s">
        <v>180</v>
      </c>
      <c r="F729" t="s">
        <v>181</v>
      </c>
      <c r="G729"/>
      <c r="H729" t="s">
        <v>268</v>
      </c>
      <c r="I729" s="56">
        <v>44823</v>
      </c>
      <c r="J729" s="17" t="s">
        <v>238</v>
      </c>
      <c r="K729" s="17" t="s">
        <v>206</v>
      </c>
      <c r="L729">
        <v>240</v>
      </c>
      <c r="M729"/>
      <c r="N729" s="88">
        <v>238.5</v>
      </c>
      <c r="O729">
        <v>186.01</v>
      </c>
      <c r="P729">
        <v>193.13</v>
      </c>
      <c r="Q729">
        <v>44.02</v>
      </c>
      <c r="R729">
        <v>20.02</v>
      </c>
      <c r="S729">
        <v>125.83</v>
      </c>
      <c r="T729">
        <v>100.76</v>
      </c>
      <c r="U729">
        <v>62.9</v>
      </c>
      <c r="V729">
        <v>46.36</v>
      </c>
      <c r="W729">
        <v>71.48</v>
      </c>
      <c r="X729">
        <v>87.61</v>
      </c>
      <c r="Y729">
        <v>41.03</v>
      </c>
      <c r="Z729">
        <v>98.17</v>
      </c>
      <c r="AA729">
        <v>82.54</v>
      </c>
      <c r="AB729">
        <v>75.56</v>
      </c>
      <c r="AC729">
        <v>15.35</v>
      </c>
      <c r="AD729">
        <v>47.9</v>
      </c>
      <c r="AE729">
        <v>31.26</v>
      </c>
      <c r="AF729">
        <v>42.85</v>
      </c>
      <c r="AG729">
        <v>36.57</v>
      </c>
      <c r="AH729">
        <v>45.24</v>
      </c>
      <c r="AI729" s="3">
        <v>1.071</v>
      </c>
      <c r="AJ729" s="33"/>
      <c r="AK729" s="3" t="s">
        <v>172</v>
      </c>
      <c r="AN729" s="3">
        <v>194</v>
      </c>
      <c r="AT729" t="s">
        <v>146</v>
      </c>
    </row>
    <row r="730" spans="1:47" x14ac:dyDescent="0.2">
      <c r="A730" s="29">
        <v>736.00000000000068</v>
      </c>
      <c r="B730" s="17" t="s">
        <v>401</v>
      </c>
      <c r="C730">
        <v>22.728999999999999</v>
      </c>
      <c r="D730" s="74" t="s">
        <v>179</v>
      </c>
      <c r="E730" t="s">
        <v>180</v>
      </c>
      <c r="F730" t="s">
        <v>181</v>
      </c>
      <c r="G730" s="11">
        <v>259</v>
      </c>
      <c r="H730" s="11">
        <v>259</v>
      </c>
      <c r="I730" s="56">
        <v>44826</v>
      </c>
      <c r="J730" s="17" t="s">
        <v>238</v>
      </c>
      <c r="K730" s="17" t="s">
        <v>235</v>
      </c>
      <c r="L730">
        <v>260</v>
      </c>
      <c r="M730"/>
      <c r="N730" s="88">
        <v>260.7</v>
      </c>
      <c r="O730">
        <v>185.67</v>
      </c>
      <c r="P730">
        <v>193.93</v>
      </c>
      <c r="Q730">
        <v>41.74</v>
      </c>
      <c r="R730">
        <v>21.82</v>
      </c>
      <c r="S730" s="61"/>
      <c r="T730">
        <v>101.45</v>
      </c>
      <c r="U730">
        <v>62.29</v>
      </c>
      <c r="V730">
        <v>46.51</v>
      </c>
      <c r="W730" s="61"/>
      <c r="X730">
        <v>86.94</v>
      </c>
      <c r="Y730">
        <v>37.76</v>
      </c>
      <c r="Z730">
        <v>98.82</v>
      </c>
      <c r="AA730">
        <v>84.26</v>
      </c>
      <c r="AB730">
        <v>76.040000000000006</v>
      </c>
      <c r="AC730">
        <v>16.989999999999998</v>
      </c>
      <c r="AD730">
        <v>51.69</v>
      </c>
      <c r="AE730">
        <v>32.24</v>
      </c>
      <c r="AF730">
        <v>45.78</v>
      </c>
      <c r="AG730">
        <v>35.31</v>
      </c>
      <c r="AH730">
        <v>45.02</v>
      </c>
      <c r="AI730" s="3">
        <v>0.88100000000000001</v>
      </c>
      <c r="AJ730" s="3">
        <v>43.4</v>
      </c>
      <c r="AK730" s="3" t="s">
        <v>173</v>
      </c>
      <c r="AL730">
        <v>18</v>
      </c>
      <c r="AM730">
        <v>77</v>
      </c>
      <c r="AN730"/>
      <c r="AO730"/>
      <c r="AP730"/>
      <c r="AQ730"/>
      <c r="AR730"/>
      <c r="AS730"/>
      <c r="AT730" t="s">
        <v>146</v>
      </c>
      <c r="AU730"/>
    </row>
    <row r="731" spans="1:47" x14ac:dyDescent="0.2">
      <c r="A731" s="29">
        <v>736.99999999999829</v>
      </c>
      <c r="B731" s="17" t="s">
        <v>402</v>
      </c>
      <c r="C731" s="5" t="s">
        <v>44</v>
      </c>
      <c r="D731" s="74" t="s">
        <v>179</v>
      </c>
      <c r="E731" t="s">
        <v>180</v>
      </c>
      <c r="F731" t="s">
        <v>181</v>
      </c>
      <c r="G731" s="11">
        <v>259</v>
      </c>
      <c r="H731" s="11">
        <v>259</v>
      </c>
      <c r="I731" s="56">
        <v>44812</v>
      </c>
      <c r="J731" s="17" t="s">
        <v>238</v>
      </c>
      <c r="K731" s="17" t="s">
        <v>235</v>
      </c>
      <c r="L731">
        <v>270</v>
      </c>
      <c r="M731"/>
      <c r="N731" s="88">
        <v>270.5</v>
      </c>
      <c r="O731">
        <v>198.63</v>
      </c>
      <c r="P731" s="61"/>
      <c r="Q731">
        <v>46.16</v>
      </c>
      <c r="R731">
        <v>24.87</v>
      </c>
      <c r="S731">
        <v>131.87</v>
      </c>
      <c r="T731">
        <v>104.11</v>
      </c>
      <c r="U731">
        <v>59.17</v>
      </c>
      <c r="V731">
        <v>46.22</v>
      </c>
      <c r="W731">
        <v>65.760000000000005</v>
      </c>
      <c r="X731">
        <v>82.24</v>
      </c>
      <c r="Y731">
        <v>40.130000000000003</v>
      </c>
      <c r="Z731">
        <v>97.3</v>
      </c>
      <c r="AA731">
        <v>83.13</v>
      </c>
      <c r="AB731">
        <v>70.540000000000006</v>
      </c>
      <c r="AC731">
        <v>15.19</v>
      </c>
      <c r="AD731">
        <v>50.71</v>
      </c>
      <c r="AE731">
        <v>33.21</v>
      </c>
      <c r="AF731">
        <v>43.5</v>
      </c>
      <c r="AG731">
        <v>33.25</v>
      </c>
      <c r="AH731">
        <v>47.49</v>
      </c>
      <c r="AI731" s="3">
        <v>0.94699999999999995</v>
      </c>
      <c r="AJ731" s="3">
        <v>42.9</v>
      </c>
      <c r="AK731" s="3" t="s">
        <v>172</v>
      </c>
      <c r="AL731"/>
      <c r="AM731"/>
      <c r="AN731" s="3">
        <v>127</v>
      </c>
      <c r="AO731"/>
      <c r="AP731"/>
      <c r="AQ731"/>
      <c r="AR731"/>
      <c r="AS731"/>
      <c r="AT731" t="s">
        <v>146</v>
      </c>
      <c r="AU731"/>
    </row>
    <row r="732" spans="1:47" x14ac:dyDescent="0.2">
      <c r="A732" s="29">
        <v>737.99999999999955</v>
      </c>
      <c r="B732" s="17" t="s">
        <v>403</v>
      </c>
      <c r="C732">
        <v>22.731000000000002</v>
      </c>
      <c r="D732" s="74" t="s">
        <v>179</v>
      </c>
      <c r="E732" t="s">
        <v>180</v>
      </c>
      <c r="F732" t="s">
        <v>181</v>
      </c>
      <c r="G732"/>
      <c r="H732" t="s">
        <v>268</v>
      </c>
      <c r="I732" s="56">
        <v>44831</v>
      </c>
      <c r="J732" s="17" t="s">
        <v>238</v>
      </c>
      <c r="K732" s="17" t="s">
        <v>203</v>
      </c>
      <c r="L732">
        <v>215</v>
      </c>
      <c r="M732"/>
      <c r="N732" s="88">
        <v>213.3</v>
      </c>
      <c r="O732">
        <v>197.46</v>
      </c>
      <c r="P732">
        <v>206.77</v>
      </c>
      <c r="Q732">
        <v>50.23</v>
      </c>
      <c r="R732">
        <v>24.72</v>
      </c>
      <c r="S732">
        <v>126.96</v>
      </c>
      <c r="T732">
        <v>102.49</v>
      </c>
      <c r="U732">
        <v>57.76</v>
      </c>
      <c r="V732">
        <v>44.14</v>
      </c>
      <c r="W732">
        <v>67.430000000000007</v>
      </c>
      <c r="X732">
        <v>85.94</v>
      </c>
      <c r="Y732">
        <v>42.66</v>
      </c>
      <c r="Z732">
        <v>94.32</v>
      </c>
      <c r="AA732">
        <v>74.06</v>
      </c>
      <c r="AB732">
        <v>64.63</v>
      </c>
      <c r="AC732">
        <v>16.98</v>
      </c>
      <c r="AD732">
        <v>46.01</v>
      </c>
      <c r="AE732">
        <v>33.31</v>
      </c>
      <c r="AF732">
        <v>39.97</v>
      </c>
      <c r="AG732">
        <v>36.78</v>
      </c>
      <c r="AH732">
        <v>42.73</v>
      </c>
      <c r="AI732" s="3">
        <v>1.1020000000000001</v>
      </c>
      <c r="AL732" s="3">
        <v>19</v>
      </c>
      <c r="AO732" s="3">
        <v>10.1</v>
      </c>
      <c r="AP732" s="3">
        <v>89.8</v>
      </c>
      <c r="AQ732" s="3">
        <v>54.3</v>
      </c>
      <c r="AR732" s="3">
        <v>37</v>
      </c>
      <c r="AT732" t="s">
        <v>146</v>
      </c>
    </row>
    <row r="733" spans="1:47" x14ac:dyDescent="0.2">
      <c r="A733" s="29">
        <v>739.0000000000008</v>
      </c>
      <c r="B733">
        <v>163</v>
      </c>
      <c r="C733">
        <v>22.731999999999999</v>
      </c>
      <c r="D733" s="31" t="s">
        <v>140</v>
      </c>
      <c r="E733" s="3" t="s">
        <v>141</v>
      </c>
      <c r="F733" s="3" t="s">
        <v>60</v>
      </c>
      <c r="G733" s="3" t="s">
        <v>60</v>
      </c>
      <c r="H733" s="3" t="s">
        <v>60</v>
      </c>
      <c r="I733" s="32">
        <v>44842</v>
      </c>
      <c r="J733" s="3" t="s">
        <v>142</v>
      </c>
      <c r="K733" s="3" t="s">
        <v>235</v>
      </c>
      <c r="M733" s="17">
        <v>270.60000000000002</v>
      </c>
      <c r="N733" s="88">
        <v>272</v>
      </c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 s="3">
        <v>1.655</v>
      </c>
      <c r="AJ733" s="3">
        <v>54.9</v>
      </c>
      <c r="AK733" s="3" t="s">
        <v>173</v>
      </c>
      <c r="AL733" s="3">
        <v>79</v>
      </c>
      <c r="AM733">
        <v>45</v>
      </c>
      <c r="AN733"/>
      <c r="AO733"/>
      <c r="AP733"/>
      <c r="AQ733"/>
      <c r="AR733"/>
      <c r="AS733"/>
      <c r="AT733" t="s">
        <v>146</v>
      </c>
    </row>
    <row r="734" spans="1:47" x14ac:dyDescent="0.2">
      <c r="A734" s="29">
        <v>739.99999999999841</v>
      </c>
      <c r="B734">
        <v>158</v>
      </c>
      <c r="C734">
        <v>22.733000000000001</v>
      </c>
      <c r="D734" s="31" t="s">
        <v>140</v>
      </c>
      <c r="E734" s="3" t="s">
        <v>141</v>
      </c>
      <c r="F734" s="3" t="s">
        <v>61</v>
      </c>
      <c r="H734" s="3" t="s">
        <v>61</v>
      </c>
      <c r="I734" s="32">
        <v>44837</v>
      </c>
      <c r="J734" s="3" t="s">
        <v>142</v>
      </c>
      <c r="K734" s="3" t="s">
        <v>235</v>
      </c>
      <c r="M734" s="17">
        <v>237</v>
      </c>
      <c r="N734" s="88">
        <v>240.9</v>
      </c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 s="3">
        <v>0.98099999999999998</v>
      </c>
      <c r="AJ734" s="3">
        <v>46.6</v>
      </c>
      <c r="AK734" s="3" t="s">
        <v>173</v>
      </c>
      <c r="AL734" s="3">
        <v>53</v>
      </c>
      <c r="AM734">
        <v>53</v>
      </c>
      <c r="AN734"/>
      <c r="AO734"/>
      <c r="AP734"/>
      <c r="AQ734"/>
      <c r="AR734"/>
      <c r="AS734"/>
      <c r="AT734" t="s">
        <v>146</v>
      </c>
      <c r="AU734"/>
    </row>
    <row r="735" spans="1:47" x14ac:dyDescent="0.2">
      <c r="A735" s="29">
        <v>740.99999999999966</v>
      </c>
      <c r="B735">
        <v>148</v>
      </c>
      <c r="C735">
        <v>22.734000000000002</v>
      </c>
      <c r="D735" s="31" t="s">
        <v>140</v>
      </c>
      <c r="E735" s="3" t="s">
        <v>141</v>
      </c>
      <c r="F735" s="3" t="s">
        <v>60</v>
      </c>
      <c r="H735" s="3" t="s">
        <v>60</v>
      </c>
      <c r="I735" s="32">
        <v>44824</v>
      </c>
      <c r="J735" s="3" t="s">
        <v>142</v>
      </c>
      <c r="K735" s="3" t="s">
        <v>235</v>
      </c>
      <c r="M735" s="17">
        <v>279.3</v>
      </c>
      <c r="N735" s="3">
        <v>296.60000000000002</v>
      </c>
      <c r="AI735" s="3">
        <v>1.6259999999999999</v>
      </c>
      <c r="AJ735" s="33"/>
      <c r="AK735" s="3" t="s">
        <v>172</v>
      </c>
      <c r="AT735" t="s">
        <v>146</v>
      </c>
    </row>
    <row r="736" spans="1:47" x14ac:dyDescent="0.2">
      <c r="A736" s="29">
        <v>742.00000000000091</v>
      </c>
      <c r="B736">
        <v>159</v>
      </c>
      <c r="C736">
        <v>22.734999999999999</v>
      </c>
      <c r="D736" s="31" t="s">
        <v>140</v>
      </c>
      <c r="E736" s="3" t="s">
        <v>141</v>
      </c>
      <c r="F736" s="3" t="s">
        <v>61</v>
      </c>
      <c r="G736" s="3" t="s">
        <v>61</v>
      </c>
      <c r="H736" s="3" t="s">
        <v>61</v>
      </c>
      <c r="I736" s="32">
        <v>44837</v>
      </c>
      <c r="J736" s="3" t="s">
        <v>142</v>
      </c>
      <c r="K736" s="3" t="s">
        <v>235</v>
      </c>
      <c r="M736" s="17">
        <v>232.5</v>
      </c>
      <c r="N736" s="88">
        <v>236.8</v>
      </c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 s="3">
        <v>1.1850000000000001</v>
      </c>
      <c r="AJ736" s="3">
        <v>47.7</v>
      </c>
      <c r="AK736" s="3" t="s">
        <v>173</v>
      </c>
      <c r="AL736" s="3">
        <v>31</v>
      </c>
      <c r="AM736">
        <v>74</v>
      </c>
      <c r="AN736"/>
      <c r="AO736"/>
      <c r="AP736"/>
      <c r="AQ736"/>
      <c r="AR736"/>
      <c r="AS736"/>
      <c r="AT736" t="s">
        <v>146</v>
      </c>
    </row>
    <row r="737" spans="1:47" x14ac:dyDescent="0.2">
      <c r="A737" s="29">
        <v>742.99999999999852</v>
      </c>
      <c r="B737">
        <v>149</v>
      </c>
      <c r="C737">
        <v>22.736000000000001</v>
      </c>
      <c r="D737" s="31" t="s">
        <v>140</v>
      </c>
      <c r="E737" s="3" t="s">
        <v>141</v>
      </c>
      <c r="F737" s="3" t="s">
        <v>60</v>
      </c>
      <c r="H737" s="3" t="s">
        <v>60</v>
      </c>
      <c r="I737" s="32">
        <v>44825</v>
      </c>
      <c r="J737" s="3" t="s">
        <v>142</v>
      </c>
      <c r="K737" s="3" t="s">
        <v>235</v>
      </c>
      <c r="M737" s="17">
        <v>266.60000000000002</v>
      </c>
      <c r="N737" s="3">
        <v>268</v>
      </c>
      <c r="AI737" s="3">
        <v>1.6459999999999999</v>
      </c>
      <c r="AJ737" s="3">
        <v>53.1</v>
      </c>
      <c r="AK737" s="3" t="s">
        <v>172</v>
      </c>
      <c r="AN737" s="3">
        <v>120</v>
      </c>
      <c r="AT737" t="s">
        <v>146</v>
      </c>
    </row>
    <row r="738" spans="1:47" x14ac:dyDescent="0.2">
      <c r="A738" s="29">
        <v>743.99999999999977</v>
      </c>
      <c r="B738" s="3">
        <v>322</v>
      </c>
      <c r="C738" s="3">
        <v>22.736999999999998</v>
      </c>
      <c r="D738" s="64" t="s">
        <v>223</v>
      </c>
      <c r="E738" s="3" t="s">
        <v>224</v>
      </c>
      <c r="F738" s="3" t="s">
        <v>73</v>
      </c>
      <c r="G738" s="3" t="s">
        <v>73</v>
      </c>
      <c r="I738" s="81">
        <v>44840</v>
      </c>
      <c r="J738" s="3" t="s">
        <v>142</v>
      </c>
      <c r="K738" s="3" t="s">
        <v>235</v>
      </c>
      <c r="L738" s="3">
        <v>295</v>
      </c>
      <c r="N738" s="3">
        <v>295.39999999999998</v>
      </c>
      <c r="AI738" s="3">
        <v>1.655</v>
      </c>
      <c r="AJ738" s="3">
        <v>41.1</v>
      </c>
      <c r="AK738" s="3" t="s">
        <v>173</v>
      </c>
      <c r="AM738" s="3">
        <v>60</v>
      </c>
      <c r="AN738" s="3">
        <v>45</v>
      </c>
      <c r="AT738" t="s">
        <v>146</v>
      </c>
    </row>
    <row r="739" spans="1:47" x14ac:dyDescent="0.2">
      <c r="A739" s="29">
        <v>745.00000000000102</v>
      </c>
      <c r="B739" s="3">
        <v>324</v>
      </c>
      <c r="C739" s="3">
        <v>22.738</v>
      </c>
      <c r="D739" s="64" t="s">
        <v>223</v>
      </c>
      <c r="E739" s="3" t="s">
        <v>224</v>
      </c>
      <c r="F739" s="3" t="s">
        <v>73</v>
      </c>
      <c r="G739" s="3" t="s">
        <v>73</v>
      </c>
      <c r="I739" s="81">
        <v>44840</v>
      </c>
      <c r="J739" s="3" t="s">
        <v>142</v>
      </c>
      <c r="K739" s="3" t="s">
        <v>235</v>
      </c>
      <c r="L739" s="3">
        <v>295</v>
      </c>
      <c r="N739" s="3">
        <v>290.8</v>
      </c>
      <c r="AI739" s="3">
        <v>1.548</v>
      </c>
      <c r="AJ739" s="3">
        <v>41.1</v>
      </c>
      <c r="AK739" s="3" t="s">
        <v>173</v>
      </c>
      <c r="AM739" s="3">
        <v>40</v>
      </c>
      <c r="AN739" s="3">
        <v>60</v>
      </c>
      <c r="AT739" t="s">
        <v>146</v>
      </c>
    </row>
    <row r="740" spans="1:47" x14ac:dyDescent="0.2">
      <c r="A740" s="29">
        <v>745.99999999999864</v>
      </c>
      <c r="B740" s="3">
        <v>321</v>
      </c>
      <c r="C740" s="3">
        <v>22.739000000000001</v>
      </c>
      <c r="D740" s="64" t="s">
        <v>223</v>
      </c>
      <c r="E740" s="3" t="s">
        <v>224</v>
      </c>
      <c r="F740" s="3" t="s">
        <v>73</v>
      </c>
      <c r="G740" s="3" t="s">
        <v>73</v>
      </c>
      <c r="I740" s="81">
        <v>44840</v>
      </c>
      <c r="J740" s="3" t="s">
        <v>142</v>
      </c>
      <c r="K740" s="3" t="s">
        <v>235</v>
      </c>
      <c r="L740" s="3">
        <v>290</v>
      </c>
      <c r="N740" s="3">
        <v>282.5</v>
      </c>
      <c r="AI740" s="3">
        <v>1.52</v>
      </c>
      <c r="AJ740" s="3">
        <v>40.5</v>
      </c>
      <c r="AK740" s="3" t="s">
        <v>173</v>
      </c>
      <c r="AM740" s="3">
        <v>52</v>
      </c>
      <c r="AN740" s="3">
        <v>37</v>
      </c>
      <c r="AT740" t="s">
        <v>146</v>
      </c>
    </row>
    <row r="741" spans="1:47" x14ac:dyDescent="0.2">
      <c r="A741" s="29">
        <v>746.99999999999989</v>
      </c>
      <c r="B741" s="3">
        <v>329</v>
      </c>
      <c r="C741" s="12" t="s">
        <v>72</v>
      </c>
      <c r="D741" s="64" t="s">
        <v>223</v>
      </c>
      <c r="E741" s="3" t="s">
        <v>224</v>
      </c>
      <c r="F741" s="3" t="s">
        <v>73</v>
      </c>
      <c r="G741" s="3" t="s">
        <v>73</v>
      </c>
      <c r="I741" s="81">
        <v>44848</v>
      </c>
      <c r="J741" s="3" t="s">
        <v>142</v>
      </c>
      <c r="K741" s="3" t="s">
        <v>235</v>
      </c>
      <c r="L741" s="3">
        <v>275</v>
      </c>
      <c r="N741" s="3">
        <v>278.7</v>
      </c>
      <c r="AI741" s="3">
        <v>1.569</v>
      </c>
      <c r="AJ741" s="3">
        <v>41.4</v>
      </c>
      <c r="AK741" s="3" t="s">
        <v>173</v>
      </c>
      <c r="AM741" s="3">
        <v>50</v>
      </c>
      <c r="AN741" s="3">
        <v>35</v>
      </c>
    </row>
    <row r="742" spans="1:47" x14ac:dyDescent="0.2">
      <c r="A742" s="29">
        <v>748.00000000000114</v>
      </c>
      <c r="B742" s="3">
        <v>328</v>
      </c>
      <c r="C742" s="3">
        <v>22.741</v>
      </c>
      <c r="D742" s="64" t="s">
        <v>223</v>
      </c>
      <c r="E742" s="3" t="s">
        <v>224</v>
      </c>
      <c r="F742" s="3" t="s">
        <v>73</v>
      </c>
      <c r="G742" s="3" t="s">
        <v>73</v>
      </c>
      <c r="I742" s="81">
        <v>44848</v>
      </c>
      <c r="J742" s="3" t="s">
        <v>142</v>
      </c>
      <c r="K742" s="3" t="s">
        <v>235</v>
      </c>
      <c r="L742" s="3">
        <v>285</v>
      </c>
      <c r="N742" s="3">
        <v>285.8</v>
      </c>
      <c r="AI742" s="3">
        <v>1.6060000000000001</v>
      </c>
      <c r="AJ742" s="3">
        <v>44.3</v>
      </c>
      <c r="AK742" s="3" t="s">
        <v>173</v>
      </c>
      <c r="AN742" s="3">
        <v>79</v>
      </c>
    </row>
    <row r="743" spans="1:47" x14ac:dyDescent="0.2">
      <c r="A743" s="29">
        <v>748.99999999999875</v>
      </c>
      <c r="B743" s="3">
        <v>320</v>
      </c>
      <c r="C743" s="3">
        <v>22.742000000000001</v>
      </c>
      <c r="D743" s="64" t="s">
        <v>223</v>
      </c>
      <c r="E743" s="3" t="s">
        <v>224</v>
      </c>
      <c r="F743" s="3" t="s">
        <v>73</v>
      </c>
      <c r="G743" s="3" t="s">
        <v>73</v>
      </c>
      <c r="I743" s="81">
        <v>44840</v>
      </c>
      <c r="J743" s="3" t="s">
        <v>142</v>
      </c>
      <c r="K743" s="3" t="s">
        <v>235</v>
      </c>
      <c r="L743" s="3">
        <v>290</v>
      </c>
      <c r="N743" s="3">
        <v>289.3</v>
      </c>
      <c r="AI743" s="3">
        <v>1.611</v>
      </c>
      <c r="AJ743" s="3">
        <v>38.700000000000003</v>
      </c>
      <c r="AK743" s="3" t="s">
        <v>173</v>
      </c>
      <c r="AM743" s="3">
        <v>74</v>
      </c>
      <c r="AN743" s="3">
        <v>25</v>
      </c>
    </row>
    <row r="744" spans="1:47" x14ac:dyDescent="0.2">
      <c r="A744" s="29">
        <v>750</v>
      </c>
      <c r="B744" s="3">
        <v>327</v>
      </c>
      <c r="C744" s="3">
        <v>22.742999999999999</v>
      </c>
      <c r="D744" s="64" t="s">
        <v>223</v>
      </c>
      <c r="E744" s="3" t="s">
        <v>224</v>
      </c>
      <c r="F744" s="3" t="s">
        <v>73</v>
      </c>
      <c r="G744" s="3" t="s">
        <v>73</v>
      </c>
      <c r="I744" s="81">
        <v>44848</v>
      </c>
      <c r="J744" s="3" t="s">
        <v>142</v>
      </c>
      <c r="K744" s="3" t="s">
        <v>235</v>
      </c>
      <c r="L744" s="3">
        <v>270</v>
      </c>
      <c r="N744" s="3">
        <v>275.10000000000002</v>
      </c>
      <c r="AI744" s="3">
        <v>1.413</v>
      </c>
      <c r="AJ744" s="3">
        <v>41.7</v>
      </c>
      <c r="AK744" s="3" t="s">
        <v>173</v>
      </c>
      <c r="AL744" s="3">
        <v>15</v>
      </c>
      <c r="AM744" s="3">
        <v>65</v>
      </c>
    </row>
    <row r="745" spans="1:47" x14ac:dyDescent="0.2">
      <c r="A745" s="29">
        <v>751.00000000000125</v>
      </c>
      <c r="B745" s="3">
        <v>325</v>
      </c>
      <c r="C745" s="3">
        <v>22.744</v>
      </c>
      <c r="D745" s="64" t="s">
        <v>223</v>
      </c>
      <c r="E745" s="3" t="s">
        <v>224</v>
      </c>
      <c r="F745" s="3" t="s">
        <v>73</v>
      </c>
      <c r="G745" s="3" t="s">
        <v>73</v>
      </c>
      <c r="I745" s="81">
        <v>44848</v>
      </c>
      <c r="J745" s="3" t="s">
        <v>142</v>
      </c>
      <c r="K745" s="3" t="s">
        <v>235</v>
      </c>
      <c r="L745" s="3">
        <v>275</v>
      </c>
      <c r="N745" s="3">
        <v>277.8</v>
      </c>
      <c r="AI745" s="3">
        <v>1.4339999999999999</v>
      </c>
      <c r="AJ745" s="3">
        <v>40.1</v>
      </c>
      <c r="AK745" s="3" t="s">
        <v>173</v>
      </c>
      <c r="AL745" s="3">
        <v>37</v>
      </c>
      <c r="AM745" s="3">
        <v>64</v>
      </c>
    </row>
    <row r="746" spans="1:47" x14ac:dyDescent="0.2">
      <c r="A746" s="29">
        <v>751.99999999999886</v>
      </c>
      <c r="B746" s="3">
        <v>326</v>
      </c>
      <c r="C746" s="3">
        <v>22.745000000000001</v>
      </c>
      <c r="D746" s="64" t="s">
        <v>223</v>
      </c>
      <c r="E746" s="3" t="s">
        <v>224</v>
      </c>
      <c r="F746" s="3" t="s">
        <v>73</v>
      </c>
      <c r="G746" s="3" t="s">
        <v>73</v>
      </c>
      <c r="I746" s="81">
        <v>44848</v>
      </c>
      <c r="J746" s="3" t="s">
        <v>142</v>
      </c>
      <c r="K746" s="3" t="s">
        <v>235</v>
      </c>
      <c r="L746" s="3">
        <v>270</v>
      </c>
      <c r="N746" s="3">
        <v>271</v>
      </c>
      <c r="AI746" s="3">
        <v>1.411</v>
      </c>
      <c r="AJ746" s="3">
        <v>41.4</v>
      </c>
      <c r="AK746" s="3" t="s">
        <v>173</v>
      </c>
      <c r="AM746" s="3">
        <v>54</v>
      </c>
      <c r="AN746" s="3">
        <v>41</v>
      </c>
    </row>
    <row r="747" spans="1:47" x14ac:dyDescent="0.2">
      <c r="A747" s="29">
        <v>753.00000000000011</v>
      </c>
      <c r="B747" s="3">
        <v>323</v>
      </c>
      <c r="C747" s="3">
        <v>22.745999999999999</v>
      </c>
      <c r="D747" s="64" t="s">
        <v>223</v>
      </c>
      <c r="E747" s="3" t="s">
        <v>224</v>
      </c>
      <c r="F747" s="3" t="s">
        <v>73</v>
      </c>
      <c r="G747" s="3" t="s">
        <v>73</v>
      </c>
      <c r="I747" s="81">
        <v>44840</v>
      </c>
      <c r="J747" s="3" t="s">
        <v>142</v>
      </c>
      <c r="K747" s="3" t="s">
        <v>235</v>
      </c>
      <c r="L747" s="3">
        <v>280</v>
      </c>
      <c r="N747" s="3">
        <v>279.3</v>
      </c>
      <c r="AI747" s="3">
        <v>1.4850000000000001</v>
      </c>
      <c r="AJ747" s="3">
        <v>39.5</v>
      </c>
      <c r="AK747" s="3" t="s">
        <v>173</v>
      </c>
      <c r="AL747" s="3">
        <v>19</v>
      </c>
      <c r="AM747" s="3">
        <v>80</v>
      </c>
    </row>
    <row r="748" spans="1:47" x14ac:dyDescent="0.2">
      <c r="A748" s="29">
        <v>754.00000000000136</v>
      </c>
      <c r="B748">
        <v>135</v>
      </c>
      <c r="C748" s="3">
        <v>22.747</v>
      </c>
      <c r="D748" s="31" t="s">
        <v>140</v>
      </c>
      <c r="E748" s="3" t="s">
        <v>141</v>
      </c>
      <c r="F748" s="3" t="s">
        <v>60</v>
      </c>
      <c r="H748" s="3" t="s">
        <v>60</v>
      </c>
      <c r="I748" s="32">
        <v>44811</v>
      </c>
      <c r="J748" s="3" t="s">
        <v>142</v>
      </c>
      <c r="K748" s="3" t="s">
        <v>203</v>
      </c>
      <c r="M748" s="17">
        <v>210.1</v>
      </c>
      <c r="N748" s="88">
        <v>213.2</v>
      </c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 s="3">
        <v>2.0059999999999998</v>
      </c>
      <c r="AJ748"/>
      <c r="AK748"/>
      <c r="AL748">
        <v>33</v>
      </c>
      <c r="AM748"/>
      <c r="AN748"/>
      <c r="AO748">
        <v>9.1999999999999993</v>
      </c>
      <c r="AP748">
        <v>76.5</v>
      </c>
      <c r="AQ748">
        <v>40.799999999999997</v>
      </c>
      <c r="AR748">
        <v>49.6</v>
      </c>
      <c r="AS748">
        <v>21.9</v>
      </c>
    </row>
    <row r="749" spans="1:47" x14ac:dyDescent="0.2">
      <c r="A749" s="29">
        <v>754.99999999999898</v>
      </c>
      <c r="B749">
        <v>94</v>
      </c>
      <c r="C749" s="3">
        <v>22.748000000000001</v>
      </c>
      <c r="D749" s="31" t="s">
        <v>140</v>
      </c>
      <c r="E749" s="3" t="s">
        <v>141</v>
      </c>
      <c r="F749" s="17" t="s">
        <v>62</v>
      </c>
      <c r="H749" s="17" t="s">
        <v>62</v>
      </c>
      <c r="I749" s="32">
        <v>44732</v>
      </c>
      <c r="J749" s="3" t="s">
        <v>142</v>
      </c>
      <c r="K749" s="3" t="s">
        <v>166</v>
      </c>
      <c r="M749" s="17">
        <v>214.8</v>
      </c>
      <c r="N749" s="88">
        <v>221.9</v>
      </c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 s="3">
        <v>1.4279999999999999</v>
      </c>
      <c r="AJ749"/>
      <c r="AK749"/>
      <c r="AL749"/>
      <c r="AM749"/>
      <c r="AN749"/>
      <c r="AO749">
        <v>8.1999999999999993</v>
      </c>
      <c r="AP749">
        <v>27.8</v>
      </c>
      <c r="AQ749">
        <v>138.69999999999999</v>
      </c>
      <c r="AR749">
        <v>40.299999999999997</v>
      </c>
      <c r="AS749">
        <v>16.899999999999999</v>
      </c>
      <c r="AT749"/>
      <c r="AU749"/>
    </row>
    <row r="750" spans="1:47" x14ac:dyDescent="0.2">
      <c r="A750" s="29">
        <v>756.00000000000023</v>
      </c>
      <c r="B750">
        <v>93</v>
      </c>
      <c r="C750" s="3">
        <v>22.748999999999999</v>
      </c>
      <c r="D750" s="31" t="s">
        <v>140</v>
      </c>
      <c r="E750" s="3" t="s">
        <v>141</v>
      </c>
      <c r="F750" s="17" t="s">
        <v>62</v>
      </c>
      <c r="H750" s="17" t="s">
        <v>62</v>
      </c>
      <c r="I750" s="32">
        <v>44732</v>
      </c>
      <c r="J750" s="3" t="s">
        <v>142</v>
      </c>
      <c r="K750" s="3" t="s">
        <v>166</v>
      </c>
      <c r="M750" s="17">
        <v>225</v>
      </c>
      <c r="N750" s="88">
        <v>230.4</v>
      </c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 s="3">
        <v>1.403</v>
      </c>
      <c r="AJ750"/>
      <c r="AK750"/>
      <c r="AL750"/>
      <c r="AM750"/>
      <c r="AN750"/>
      <c r="AO750">
        <v>6.9</v>
      </c>
      <c r="AP750">
        <v>43.3</v>
      </c>
      <c r="AQ750">
        <v>130</v>
      </c>
      <c r="AR750">
        <v>44.2</v>
      </c>
      <c r="AS750">
        <v>18.600000000000001</v>
      </c>
      <c r="AT750"/>
      <c r="AU750"/>
    </row>
    <row r="751" spans="1:47" x14ac:dyDescent="0.2">
      <c r="A751" s="29">
        <v>757.00000000000148</v>
      </c>
      <c r="B751" s="3">
        <v>176</v>
      </c>
      <c r="C751" s="12" t="s">
        <v>56</v>
      </c>
      <c r="D751" s="31" t="s">
        <v>140</v>
      </c>
      <c r="E751" s="3" t="s">
        <v>141</v>
      </c>
      <c r="F751" s="3" t="s">
        <v>61</v>
      </c>
      <c r="H751" s="3" t="s">
        <v>61</v>
      </c>
      <c r="I751" s="81">
        <v>44860</v>
      </c>
      <c r="J751" s="3" t="s">
        <v>142</v>
      </c>
      <c r="K751" s="3" t="s">
        <v>204</v>
      </c>
      <c r="L751" s="3">
        <v>245.5</v>
      </c>
      <c r="N751" s="3">
        <v>245.5</v>
      </c>
      <c r="AI751" s="3">
        <v>1.0549999999999999</v>
      </c>
    </row>
    <row r="752" spans="1:47" ht="51" x14ac:dyDescent="0.2">
      <c r="A752" s="29">
        <v>757.99999999999909</v>
      </c>
      <c r="B752" s="77">
        <v>121732</v>
      </c>
      <c r="C752" s="12">
        <v>22.751000000000001</v>
      </c>
      <c r="D752" s="97" t="s">
        <v>293</v>
      </c>
      <c r="E752" s="17" t="s">
        <v>294</v>
      </c>
      <c r="F752" s="59" t="s">
        <v>295</v>
      </c>
      <c r="H752" s="17"/>
      <c r="I752" s="68">
        <v>44815</v>
      </c>
      <c r="J752" s="17" t="s">
        <v>238</v>
      </c>
      <c r="K752" s="17" t="s">
        <v>203</v>
      </c>
      <c r="L752">
        <v>234</v>
      </c>
      <c r="M752"/>
      <c r="N752" s="88">
        <v>236.7</v>
      </c>
      <c r="O752">
        <v>179.92</v>
      </c>
      <c r="P752">
        <v>189.31</v>
      </c>
      <c r="Q752">
        <v>41.72</v>
      </c>
      <c r="R752">
        <v>23.88</v>
      </c>
      <c r="S752">
        <v>117.21</v>
      </c>
      <c r="T752">
        <v>95.45</v>
      </c>
      <c r="U752">
        <v>58.9</v>
      </c>
      <c r="V752">
        <v>45.75</v>
      </c>
      <c r="W752">
        <v>68.17</v>
      </c>
      <c r="X752">
        <v>94.24</v>
      </c>
      <c r="Y752">
        <v>40.450000000000003</v>
      </c>
      <c r="Z752">
        <v>102.24</v>
      </c>
      <c r="AA752">
        <v>80.69</v>
      </c>
      <c r="AB752">
        <v>73.38</v>
      </c>
      <c r="AC752">
        <v>13.46</v>
      </c>
      <c r="AD752">
        <v>47.35</v>
      </c>
      <c r="AE752">
        <v>36.1</v>
      </c>
      <c r="AF752">
        <v>42.54</v>
      </c>
      <c r="AG752">
        <v>35.869999999999997</v>
      </c>
      <c r="AH752">
        <v>43.2</v>
      </c>
      <c r="AI752">
        <v>1.379</v>
      </c>
      <c r="AJ752"/>
      <c r="AK752"/>
      <c r="AL752">
        <v>23</v>
      </c>
      <c r="AM752"/>
      <c r="AN752"/>
      <c r="AO752">
        <v>8.3000000000000007</v>
      </c>
      <c r="AP752">
        <v>96.5</v>
      </c>
      <c r="AQ752">
        <v>58.7</v>
      </c>
      <c r="AR752">
        <v>47.1</v>
      </c>
      <c r="AS752">
        <v>20.5</v>
      </c>
      <c r="AT752"/>
      <c r="AU752"/>
    </row>
    <row r="753" spans="1:47" ht="51" x14ac:dyDescent="0.2">
      <c r="A753" s="29">
        <v>759.00000000000034</v>
      </c>
      <c r="B753" s="77">
        <v>121736</v>
      </c>
      <c r="C753" s="12">
        <v>22.751999999999999</v>
      </c>
      <c r="D753" s="97" t="s">
        <v>293</v>
      </c>
      <c r="E753" s="17" t="s">
        <v>294</v>
      </c>
      <c r="F753" s="59" t="s">
        <v>295</v>
      </c>
      <c r="G753" s="17"/>
      <c r="H753" s="17"/>
      <c r="I753" s="68">
        <v>44836</v>
      </c>
      <c r="J753" s="17" t="s">
        <v>238</v>
      </c>
      <c r="K753" s="17" t="s">
        <v>203</v>
      </c>
      <c r="L753">
        <v>244</v>
      </c>
      <c r="M753"/>
      <c r="N753" s="88">
        <v>220.7</v>
      </c>
      <c r="O753">
        <v>185.75</v>
      </c>
      <c r="P753">
        <v>200.28</v>
      </c>
      <c r="Q753">
        <v>45.75</v>
      </c>
      <c r="R753">
        <v>27.24</v>
      </c>
      <c r="S753">
        <v>126.5</v>
      </c>
      <c r="T753">
        <v>100.04</v>
      </c>
      <c r="U753">
        <v>54.07</v>
      </c>
      <c r="V753">
        <v>40.07</v>
      </c>
      <c r="W753">
        <v>65.22</v>
      </c>
      <c r="X753">
        <v>89.89</v>
      </c>
      <c r="Y753">
        <v>39.58</v>
      </c>
      <c r="Z753">
        <v>98.49</v>
      </c>
      <c r="AA753">
        <v>79.44</v>
      </c>
      <c r="AB753">
        <v>69.66</v>
      </c>
      <c r="AC753">
        <v>16.690000000000001</v>
      </c>
      <c r="AD753">
        <v>48.13</v>
      </c>
      <c r="AE753">
        <v>35.159999999999997</v>
      </c>
      <c r="AF753">
        <v>42.73</v>
      </c>
      <c r="AG753">
        <v>37.21</v>
      </c>
      <c r="AH753">
        <v>46.34</v>
      </c>
      <c r="AI753">
        <v>1.5449999999999999</v>
      </c>
      <c r="AJ753"/>
      <c r="AK753"/>
      <c r="AL753">
        <v>14</v>
      </c>
      <c r="AM753"/>
      <c r="AN753"/>
      <c r="AO753">
        <v>5</v>
      </c>
      <c r="AP753">
        <v>95.1</v>
      </c>
      <c r="AQ753">
        <v>54.5</v>
      </c>
      <c r="AR753">
        <v>49.3</v>
      </c>
      <c r="AS753">
        <v>21.3</v>
      </c>
      <c r="AT753"/>
      <c r="AU753"/>
    </row>
    <row r="754" spans="1:47" ht="51" x14ac:dyDescent="0.2">
      <c r="A754" s="29">
        <v>760.00000000000159</v>
      </c>
      <c r="B754" s="3">
        <v>121719</v>
      </c>
      <c r="C754" s="12">
        <v>22.753</v>
      </c>
      <c r="D754" s="97" t="s">
        <v>293</v>
      </c>
      <c r="E754" s="17" t="s">
        <v>294</v>
      </c>
      <c r="F754" s="59" t="s">
        <v>295</v>
      </c>
      <c r="G754" s="17"/>
      <c r="H754" s="17"/>
      <c r="I754" s="68">
        <v>44805</v>
      </c>
      <c r="J754" s="17" t="s">
        <v>238</v>
      </c>
      <c r="K754" s="17" t="s">
        <v>203</v>
      </c>
      <c r="L754">
        <v>238</v>
      </c>
      <c r="M754"/>
      <c r="N754" s="88">
        <v>236.5</v>
      </c>
      <c r="O754">
        <v>178.35</v>
      </c>
      <c r="P754">
        <v>193.04</v>
      </c>
      <c r="Q754">
        <v>40.89</v>
      </c>
      <c r="R754">
        <v>25.35</v>
      </c>
      <c r="S754">
        <v>120.01</v>
      </c>
      <c r="T754">
        <v>99.73</v>
      </c>
      <c r="U754">
        <v>55.18</v>
      </c>
      <c r="V754">
        <v>39.700000000000003</v>
      </c>
      <c r="W754">
        <v>64.47</v>
      </c>
      <c r="X754">
        <v>86.7</v>
      </c>
      <c r="Y754">
        <v>40.33</v>
      </c>
      <c r="Z754">
        <v>96</v>
      </c>
      <c r="AA754">
        <v>75.75</v>
      </c>
      <c r="AB754">
        <v>71.790000000000006</v>
      </c>
      <c r="AC754">
        <v>19.34</v>
      </c>
      <c r="AD754">
        <v>49.88</v>
      </c>
      <c r="AE754">
        <v>35.4</v>
      </c>
      <c r="AF754">
        <v>40.659999999999997</v>
      </c>
      <c r="AG754">
        <v>37.32</v>
      </c>
      <c r="AH754">
        <v>42.35</v>
      </c>
      <c r="AI754">
        <v>1.528</v>
      </c>
      <c r="AJ754"/>
      <c r="AK754"/>
      <c r="AL754">
        <v>26</v>
      </c>
      <c r="AM754"/>
      <c r="AN754"/>
      <c r="AO754">
        <v>9.1</v>
      </c>
      <c r="AP754">
        <v>84</v>
      </c>
      <c r="AQ754">
        <v>63.3</v>
      </c>
      <c r="AR754">
        <v>48.3</v>
      </c>
      <c r="AS754">
        <v>20.8</v>
      </c>
      <c r="AT754"/>
      <c r="AU754"/>
    </row>
    <row r="755" spans="1:47" ht="51" x14ac:dyDescent="0.2">
      <c r="A755" s="29">
        <v>760.9999999999992</v>
      </c>
      <c r="B755" s="77">
        <v>121727</v>
      </c>
      <c r="C755" s="12">
        <v>22.754000000000001</v>
      </c>
      <c r="D755" s="97" t="s">
        <v>293</v>
      </c>
      <c r="E755" s="17" t="s">
        <v>294</v>
      </c>
      <c r="F755" s="59" t="s">
        <v>295</v>
      </c>
      <c r="G755" s="17"/>
      <c r="H755" s="17"/>
      <c r="I755" s="68">
        <v>44826</v>
      </c>
      <c r="J755" s="17" t="s">
        <v>238</v>
      </c>
      <c r="K755" s="17" t="s">
        <v>203</v>
      </c>
      <c r="L755">
        <v>240</v>
      </c>
      <c r="M755"/>
      <c r="N755" s="88">
        <v>241.5</v>
      </c>
      <c r="O755">
        <v>180.14</v>
      </c>
      <c r="P755">
        <v>184.84</v>
      </c>
      <c r="Q755">
        <v>43.39</v>
      </c>
      <c r="R755">
        <v>21.27</v>
      </c>
      <c r="S755">
        <v>118.59</v>
      </c>
      <c r="T755">
        <v>98.51</v>
      </c>
      <c r="U755">
        <v>60.05</v>
      </c>
      <c r="V755">
        <v>44.44</v>
      </c>
      <c r="W755">
        <v>71.12</v>
      </c>
      <c r="X755">
        <v>91.99</v>
      </c>
      <c r="Y755">
        <v>39.159999999999997</v>
      </c>
      <c r="Z755">
        <v>100.49</v>
      </c>
      <c r="AA755">
        <v>79.19</v>
      </c>
      <c r="AB755">
        <v>73.42</v>
      </c>
      <c r="AC755">
        <v>16.46</v>
      </c>
      <c r="AD755">
        <v>50.52</v>
      </c>
      <c r="AE755">
        <v>32.42</v>
      </c>
      <c r="AF755">
        <v>42.94</v>
      </c>
      <c r="AG755">
        <v>36.380000000000003</v>
      </c>
      <c r="AH755">
        <v>47.14</v>
      </c>
      <c r="AI755">
        <v>1.0960000000000001</v>
      </c>
      <c r="AJ755"/>
      <c r="AK755"/>
      <c r="AL755">
        <v>21</v>
      </c>
      <c r="AM755"/>
      <c r="AN755"/>
      <c r="AO755">
        <v>8.1</v>
      </c>
      <c r="AP755">
        <v>97.3</v>
      </c>
      <c r="AQ755">
        <v>69.099999999999994</v>
      </c>
      <c r="AR755">
        <v>42.3</v>
      </c>
      <c r="AS755">
        <v>18.399999999999999</v>
      </c>
      <c r="AT755"/>
      <c r="AU755"/>
    </row>
    <row r="756" spans="1:47" ht="51" x14ac:dyDescent="0.2">
      <c r="A756" s="29">
        <v>762.00000000000045</v>
      </c>
      <c r="B756" s="77">
        <v>121729</v>
      </c>
      <c r="C756" s="12">
        <v>22.754999999999999</v>
      </c>
      <c r="D756" s="97" t="s">
        <v>293</v>
      </c>
      <c r="E756" s="17" t="s">
        <v>294</v>
      </c>
      <c r="F756" s="59" t="s">
        <v>295</v>
      </c>
      <c r="G756" s="17"/>
      <c r="H756" s="17"/>
      <c r="I756" s="68">
        <v>44810</v>
      </c>
      <c r="J756" s="17" t="s">
        <v>238</v>
      </c>
      <c r="K756" s="17" t="s">
        <v>203</v>
      </c>
      <c r="L756">
        <v>248</v>
      </c>
      <c r="M756"/>
      <c r="N756" s="88">
        <v>246.5</v>
      </c>
      <c r="O756">
        <v>176.19</v>
      </c>
      <c r="P756">
        <v>183.12</v>
      </c>
      <c r="Q756">
        <v>45.38</v>
      </c>
      <c r="R756">
        <v>20.96</v>
      </c>
      <c r="S756">
        <v>112.68</v>
      </c>
      <c r="T756">
        <v>93.13</v>
      </c>
      <c r="U756">
        <v>61.85</v>
      </c>
      <c r="V756">
        <v>45.86</v>
      </c>
      <c r="W756">
        <v>73.13</v>
      </c>
      <c r="X756">
        <v>95.45</v>
      </c>
      <c r="Y756">
        <v>39.79</v>
      </c>
      <c r="Z756">
        <v>103.5</v>
      </c>
      <c r="AA756">
        <v>80.430000000000007</v>
      </c>
      <c r="AB756">
        <v>76.13</v>
      </c>
      <c r="AC756">
        <v>17.149999999999999</v>
      </c>
      <c r="AD756">
        <v>50.39</v>
      </c>
      <c r="AE756">
        <v>34.869999999999997</v>
      </c>
      <c r="AF756">
        <v>44.53</v>
      </c>
      <c r="AG756">
        <v>38.19</v>
      </c>
      <c r="AH756">
        <v>45.37</v>
      </c>
      <c r="AI756">
        <v>1.488</v>
      </c>
      <c r="AJ756"/>
      <c r="AK756"/>
      <c r="AL756">
        <v>25</v>
      </c>
      <c r="AM756"/>
      <c r="AN756"/>
      <c r="AO756">
        <v>10.3</v>
      </c>
      <c r="AP756">
        <v>95</v>
      </c>
      <c r="AQ756">
        <v>55.7</v>
      </c>
      <c r="AR756">
        <v>55.3</v>
      </c>
      <c r="AS756">
        <v>24.4</v>
      </c>
      <c r="AT756"/>
      <c r="AU756"/>
    </row>
    <row r="757" spans="1:47" ht="51" x14ac:dyDescent="0.2">
      <c r="A757" s="29">
        <v>763.00000000000171</v>
      </c>
      <c r="B757" s="77">
        <v>121733</v>
      </c>
      <c r="C757" s="12">
        <v>22.756</v>
      </c>
      <c r="D757" s="97" t="s">
        <v>293</v>
      </c>
      <c r="E757" s="17" t="s">
        <v>294</v>
      </c>
      <c r="F757" s="59" t="s">
        <v>295</v>
      </c>
      <c r="G757" s="17"/>
      <c r="H757" s="17"/>
      <c r="I757" s="68">
        <v>44822</v>
      </c>
      <c r="J757" s="17" t="s">
        <v>238</v>
      </c>
      <c r="K757" s="17" t="s">
        <v>203</v>
      </c>
      <c r="L757">
        <v>234</v>
      </c>
      <c r="M757"/>
      <c r="N757" s="88">
        <v>237.2</v>
      </c>
      <c r="O757">
        <v>172.75</v>
      </c>
      <c r="P757">
        <v>180.13</v>
      </c>
      <c r="Q757">
        <v>40.380000000000003</v>
      </c>
      <c r="R757">
        <v>21.81</v>
      </c>
      <c r="S757">
        <v>113.95</v>
      </c>
      <c r="T757">
        <v>95.49</v>
      </c>
      <c r="U757">
        <v>58.13</v>
      </c>
      <c r="V757">
        <v>45.07</v>
      </c>
      <c r="W757">
        <v>70.81</v>
      </c>
      <c r="X757">
        <v>91.22</v>
      </c>
      <c r="Y757">
        <v>39.28</v>
      </c>
      <c r="Z757">
        <v>101.69</v>
      </c>
      <c r="AA757">
        <v>77.75</v>
      </c>
      <c r="AB757">
        <v>74.48</v>
      </c>
      <c r="AC757">
        <v>17.579999999999998</v>
      </c>
      <c r="AD757">
        <v>51.29</v>
      </c>
      <c r="AE757">
        <v>33.840000000000003</v>
      </c>
      <c r="AF757">
        <v>42.29</v>
      </c>
      <c r="AG757">
        <v>34.79</v>
      </c>
      <c r="AH757">
        <v>44.56</v>
      </c>
      <c r="AI757">
        <v>1.323</v>
      </c>
      <c r="AJ757"/>
      <c r="AK757"/>
      <c r="AL757">
        <v>26</v>
      </c>
      <c r="AM757"/>
      <c r="AN757"/>
      <c r="AO757">
        <v>8.3000000000000007</v>
      </c>
      <c r="AP757">
        <v>96.5</v>
      </c>
      <c r="AQ757">
        <v>56.9</v>
      </c>
      <c r="AR757">
        <v>45.9</v>
      </c>
      <c r="AS757">
        <v>20.3</v>
      </c>
      <c r="AT757"/>
      <c r="AU757"/>
    </row>
    <row r="758" spans="1:47" x14ac:dyDescent="0.2">
      <c r="A758" s="29">
        <v>763.99999999999932</v>
      </c>
      <c r="B758">
        <v>108</v>
      </c>
      <c r="C758" s="12">
        <v>22.757000000000001</v>
      </c>
      <c r="D758" s="31" t="s">
        <v>140</v>
      </c>
      <c r="E758" s="3" t="s">
        <v>141</v>
      </c>
      <c r="F758" s="3" t="s">
        <v>60</v>
      </c>
      <c r="H758" s="3" t="s">
        <v>60</v>
      </c>
      <c r="I758" s="32">
        <v>44767</v>
      </c>
      <c r="J758" s="3" t="s">
        <v>142</v>
      </c>
      <c r="K758" s="3" t="s">
        <v>204</v>
      </c>
      <c r="M758" s="17">
        <v>239.1</v>
      </c>
      <c r="N758" s="8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</row>
    <row r="759" spans="1:47" x14ac:dyDescent="0.2">
      <c r="A759" s="29">
        <v>765.00000000000057</v>
      </c>
      <c r="B759">
        <v>115</v>
      </c>
      <c r="C759" s="12">
        <v>22.757999999999999</v>
      </c>
      <c r="D759" s="31" t="s">
        <v>140</v>
      </c>
      <c r="E759" s="3" t="s">
        <v>141</v>
      </c>
      <c r="F759" s="3" t="s">
        <v>60</v>
      </c>
      <c r="H759" s="3" t="s">
        <v>60</v>
      </c>
      <c r="I759" s="32">
        <v>44786</v>
      </c>
      <c r="J759" s="3" t="s">
        <v>142</v>
      </c>
      <c r="K759" s="3" t="s">
        <v>166</v>
      </c>
      <c r="M759" s="102"/>
      <c r="N759" s="88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</row>
    <row r="760" spans="1:47" x14ac:dyDescent="0.2">
      <c r="A760" s="29">
        <v>765.00000000000057</v>
      </c>
      <c r="B760">
        <v>160</v>
      </c>
      <c r="C760" s="12">
        <v>22.759</v>
      </c>
      <c r="D760" s="31" t="s">
        <v>140</v>
      </c>
      <c r="E760" s="3" t="s">
        <v>141</v>
      </c>
      <c r="F760" s="3" t="s">
        <v>61</v>
      </c>
      <c r="H760" s="3" t="s">
        <v>61</v>
      </c>
      <c r="I760" s="32">
        <v>44837</v>
      </c>
      <c r="J760" s="3" t="s">
        <v>142</v>
      </c>
      <c r="K760" s="3" t="s">
        <v>203</v>
      </c>
      <c r="M760" s="17">
        <v>179</v>
      </c>
      <c r="N760" s="88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</row>
    <row r="761" spans="1:47" x14ac:dyDescent="0.2">
      <c r="A761" s="29">
        <v>765.99999999999818</v>
      </c>
      <c r="B761">
        <v>161</v>
      </c>
      <c r="C761" s="12" t="s">
        <v>404</v>
      </c>
      <c r="D761" s="31" t="s">
        <v>140</v>
      </c>
      <c r="E761" s="3" t="s">
        <v>141</v>
      </c>
      <c r="F761" s="3" t="s">
        <v>61</v>
      </c>
      <c r="H761" s="3" t="s">
        <v>61</v>
      </c>
      <c r="I761" s="32">
        <v>44838</v>
      </c>
      <c r="J761" s="3" t="s">
        <v>142</v>
      </c>
      <c r="K761" s="3" t="s">
        <v>203</v>
      </c>
      <c r="M761" s="17">
        <v>185.9</v>
      </c>
      <c r="N761" s="88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</row>
    <row r="762" spans="1:47" x14ac:dyDescent="0.2">
      <c r="A762" s="29">
        <v>766.99999999999943</v>
      </c>
      <c r="B762">
        <v>162</v>
      </c>
      <c r="C762" s="12">
        <v>22.760999999999999</v>
      </c>
      <c r="D762" s="31" t="s">
        <v>140</v>
      </c>
      <c r="E762" s="3" t="s">
        <v>141</v>
      </c>
      <c r="F762" s="3" t="s">
        <v>60</v>
      </c>
      <c r="H762" s="3" t="s">
        <v>60</v>
      </c>
      <c r="I762" s="32">
        <v>44841</v>
      </c>
      <c r="J762" s="3" t="s">
        <v>142</v>
      </c>
      <c r="K762" s="3" t="s">
        <v>203</v>
      </c>
      <c r="M762" s="17">
        <v>220.4</v>
      </c>
      <c r="N762" s="88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</row>
    <row r="763" spans="1:47" x14ac:dyDescent="0.2">
      <c r="A763" s="29">
        <v>768.00000000000068</v>
      </c>
      <c r="B763">
        <v>164</v>
      </c>
      <c r="C763" s="12">
        <v>22.762</v>
      </c>
      <c r="D763" s="31" t="s">
        <v>140</v>
      </c>
      <c r="E763" s="3" t="s">
        <v>141</v>
      </c>
      <c r="F763" s="3" t="s">
        <v>60</v>
      </c>
      <c r="H763" s="3" t="s">
        <v>60</v>
      </c>
      <c r="I763" s="32">
        <v>44842</v>
      </c>
      <c r="J763" s="3" t="s">
        <v>142</v>
      </c>
      <c r="K763" s="3" t="s">
        <v>203</v>
      </c>
      <c r="M763" s="17">
        <v>211.9</v>
      </c>
      <c r="N763" s="88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</row>
    <row r="764" spans="1:47" x14ac:dyDescent="0.2">
      <c r="A764" s="29">
        <v>768.99999999999841</v>
      </c>
      <c r="B764">
        <v>166</v>
      </c>
      <c r="C764" s="12">
        <v>22.763000000000002</v>
      </c>
      <c r="D764" s="31" t="s">
        <v>140</v>
      </c>
      <c r="E764" s="3" t="s">
        <v>141</v>
      </c>
      <c r="F764" s="3" t="s">
        <v>60</v>
      </c>
      <c r="H764" s="3" t="s">
        <v>60</v>
      </c>
      <c r="I764" s="32">
        <v>44842</v>
      </c>
      <c r="J764" s="3" t="s">
        <v>142</v>
      </c>
      <c r="K764" s="3" t="s">
        <v>203</v>
      </c>
      <c r="M764" s="17">
        <v>208.6</v>
      </c>
      <c r="N764" s="88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</row>
    <row r="765" spans="1:47" x14ac:dyDescent="0.2">
      <c r="A765" s="29">
        <v>769.99999999999955</v>
      </c>
      <c r="B765">
        <v>167</v>
      </c>
      <c r="C765" s="12">
        <v>22.763999999999999</v>
      </c>
      <c r="D765" s="31" t="s">
        <v>140</v>
      </c>
      <c r="E765" s="3" t="s">
        <v>141</v>
      </c>
      <c r="F765" s="3" t="s">
        <v>60</v>
      </c>
      <c r="H765" s="3" t="s">
        <v>60</v>
      </c>
      <c r="I765" s="32">
        <v>44842</v>
      </c>
      <c r="J765" s="3" t="s">
        <v>142</v>
      </c>
      <c r="K765" s="3" t="s">
        <v>203</v>
      </c>
      <c r="M765" s="17">
        <v>213.1</v>
      </c>
      <c r="N765" s="88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</row>
    <row r="766" spans="1:47" x14ac:dyDescent="0.2">
      <c r="A766" s="29">
        <v>771.0000000000008</v>
      </c>
      <c r="B766">
        <v>169</v>
      </c>
      <c r="C766" s="12">
        <v>22.765000000000001</v>
      </c>
      <c r="D766" s="31" t="s">
        <v>140</v>
      </c>
      <c r="E766" s="3" t="s">
        <v>141</v>
      </c>
      <c r="F766" s="3" t="s">
        <v>60</v>
      </c>
      <c r="H766" s="3" t="s">
        <v>60</v>
      </c>
      <c r="I766" s="32">
        <v>44842</v>
      </c>
      <c r="J766" s="3" t="s">
        <v>142</v>
      </c>
      <c r="K766" s="3" t="s">
        <v>203</v>
      </c>
      <c r="M766" s="17">
        <v>210.6</v>
      </c>
      <c r="N766" s="88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</row>
    <row r="767" spans="1:47" x14ac:dyDescent="0.2">
      <c r="A767" s="29">
        <v>771.99999999999841</v>
      </c>
      <c r="B767">
        <v>170</v>
      </c>
      <c r="C767" s="12">
        <v>22.765999999999998</v>
      </c>
      <c r="D767" s="31" t="s">
        <v>140</v>
      </c>
      <c r="E767" s="3" t="s">
        <v>141</v>
      </c>
      <c r="F767" s="3" t="s">
        <v>60</v>
      </c>
      <c r="H767" s="3" t="s">
        <v>60</v>
      </c>
      <c r="I767" s="32">
        <v>44843</v>
      </c>
      <c r="J767" s="3" t="s">
        <v>142</v>
      </c>
      <c r="K767" s="3" t="s">
        <v>203</v>
      </c>
      <c r="M767" s="17">
        <v>222.7</v>
      </c>
      <c r="N767" s="88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</row>
    <row r="768" spans="1:47" x14ac:dyDescent="0.2">
      <c r="A768" s="29">
        <v>772.99999999999966</v>
      </c>
      <c r="B768" s="77">
        <v>172</v>
      </c>
      <c r="C768" s="12">
        <v>22.766999999999999</v>
      </c>
      <c r="D768" s="31" t="s">
        <v>140</v>
      </c>
      <c r="E768" s="3" t="s">
        <v>141</v>
      </c>
      <c r="F768" s="3" t="s">
        <v>60</v>
      </c>
      <c r="H768" s="3" t="s">
        <v>60</v>
      </c>
      <c r="I768" s="68">
        <v>44854</v>
      </c>
      <c r="J768" s="3" t="s">
        <v>142</v>
      </c>
      <c r="K768" s="3" t="s">
        <v>203</v>
      </c>
      <c r="L768"/>
      <c r="M768" s="102"/>
      <c r="N768" s="8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</row>
    <row r="769" spans="1:47" x14ac:dyDescent="0.2">
      <c r="A769" s="29">
        <v>774.00000000000091</v>
      </c>
      <c r="B769" s="17">
        <v>173</v>
      </c>
      <c r="C769" s="12">
        <v>22.768000000000001</v>
      </c>
      <c r="D769" s="31" t="s">
        <v>140</v>
      </c>
      <c r="E769" s="3" t="s">
        <v>141</v>
      </c>
      <c r="F769" s="3" t="s">
        <v>61</v>
      </c>
      <c r="H769" s="3" t="s">
        <v>61</v>
      </c>
      <c r="I769" s="68">
        <v>44860</v>
      </c>
      <c r="J769" s="3" t="s">
        <v>142</v>
      </c>
      <c r="K769" s="3" t="s">
        <v>203</v>
      </c>
      <c r="L769"/>
      <c r="M769" s="17">
        <v>182.9</v>
      </c>
      <c r="N769" s="88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</row>
    <row r="770" spans="1:47" x14ac:dyDescent="0.2">
      <c r="A770" s="29">
        <v>774.99999999999864</v>
      </c>
      <c r="B770" s="77">
        <v>174</v>
      </c>
      <c r="C770" s="12">
        <v>22.768999999999998</v>
      </c>
      <c r="D770" s="31" t="s">
        <v>140</v>
      </c>
      <c r="E770" s="3" t="s">
        <v>141</v>
      </c>
      <c r="F770" s="3" t="s">
        <v>61</v>
      </c>
      <c r="H770" s="3" t="s">
        <v>61</v>
      </c>
      <c r="I770" s="68">
        <v>44860</v>
      </c>
      <c r="J770" s="3" t="s">
        <v>142</v>
      </c>
      <c r="K770" s="3" t="s">
        <v>203</v>
      </c>
      <c r="L770"/>
      <c r="M770" s="17">
        <v>183.2</v>
      </c>
      <c r="N770" s="88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</row>
    <row r="771" spans="1:47" x14ac:dyDescent="0.2">
      <c r="A771" s="29">
        <v>775.99999999999977</v>
      </c>
      <c r="B771" s="17">
        <v>175</v>
      </c>
      <c r="C771" s="12" t="s">
        <v>405</v>
      </c>
      <c r="D771" s="31" t="s">
        <v>140</v>
      </c>
      <c r="E771" s="3" t="s">
        <v>141</v>
      </c>
      <c r="F771" s="3" t="s">
        <v>61</v>
      </c>
      <c r="H771" s="3" t="s">
        <v>61</v>
      </c>
      <c r="I771" s="68">
        <v>44860</v>
      </c>
      <c r="J771" s="3" t="s">
        <v>142</v>
      </c>
      <c r="K771" s="3" t="s">
        <v>203</v>
      </c>
      <c r="L771"/>
      <c r="M771" s="17">
        <v>180.7</v>
      </c>
      <c r="N771" s="88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</row>
    <row r="772" spans="1:47" x14ac:dyDescent="0.2">
      <c r="A772" s="29">
        <v>777.00000000000102</v>
      </c>
      <c r="B772" s="17">
        <v>177</v>
      </c>
      <c r="C772" s="12">
        <v>22.771000000000001</v>
      </c>
      <c r="D772" s="31" t="s">
        <v>140</v>
      </c>
      <c r="E772" s="3" t="s">
        <v>141</v>
      </c>
      <c r="F772" s="3" t="s">
        <v>60</v>
      </c>
      <c r="H772" s="3" t="s">
        <v>60</v>
      </c>
      <c r="I772" s="68">
        <v>44862</v>
      </c>
      <c r="J772" s="3" t="s">
        <v>142</v>
      </c>
      <c r="K772" s="3" t="s">
        <v>203</v>
      </c>
      <c r="L772"/>
      <c r="M772" s="17">
        <v>245.5</v>
      </c>
      <c r="N772" s="88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</row>
    <row r="773" spans="1:47" x14ac:dyDescent="0.2">
      <c r="A773" s="29">
        <v>777.99999999999864</v>
      </c>
      <c r="B773" s="77">
        <v>178</v>
      </c>
      <c r="C773" s="12">
        <v>22.771999999999998</v>
      </c>
      <c r="D773" s="31" t="s">
        <v>140</v>
      </c>
      <c r="E773" s="3" t="s">
        <v>141</v>
      </c>
      <c r="F773" s="3" t="s">
        <v>60</v>
      </c>
      <c r="H773" s="3" t="s">
        <v>60</v>
      </c>
      <c r="I773" s="68">
        <v>44862</v>
      </c>
      <c r="J773" s="3" t="s">
        <v>142</v>
      </c>
      <c r="K773" s="3" t="s">
        <v>203</v>
      </c>
      <c r="L773"/>
      <c r="M773" s="17">
        <v>221.3</v>
      </c>
      <c r="N773" s="88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</row>
    <row r="774" spans="1:47" x14ac:dyDescent="0.2">
      <c r="A774" s="29">
        <v>778.99999999999989</v>
      </c>
      <c r="B774" s="17">
        <v>179</v>
      </c>
      <c r="C774" s="12">
        <v>22.773</v>
      </c>
      <c r="D774" s="31" t="s">
        <v>140</v>
      </c>
      <c r="E774" s="3" t="s">
        <v>141</v>
      </c>
      <c r="F774" s="3" t="s">
        <v>60</v>
      </c>
      <c r="H774" s="3" t="s">
        <v>60</v>
      </c>
      <c r="I774" s="68">
        <v>44862</v>
      </c>
      <c r="J774" s="3" t="s">
        <v>142</v>
      </c>
      <c r="K774" s="3" t="s">
        <v>203</v>
      </c>
      <c r="L774"/>
      <c r="M774" s="102"/>
      <c r="N774" s="88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</row>
    <row r="775" spans="1:47" x14ac:dyDescent="0.2">
      <c r="A775" s="29">
        <v>780.00000000000114</v>
      </c>
      <c r="B775" s="77">
        <v>180</v>
      </c>
      <c r="C775" s="12">
        <v>22.774000000000001</v>
      </c>
      <c r="D775" s="31" t="s">
        <v>140</v>
      </c>
      <c r="E775" s="3" t="s">
        <v>141</v>
      </c>
      <c r="F775" s="3" t="s">
        <v>60</v>
      </c>
      <c r="H775" s="3" t="s">
        <v>60</v>
      </c>
      <c r="I775" s="68">
        <v>44864</v>
      </c>
      <c r="J775" s="3" t="s">
        <v>142</v>
      </c>
      <c r="K775" s="3" t="s">
        <v>203</v>
      </c>
      <c r="L775"/>
      <c r="M775" s="17">
        <v>213.6</v>
      </c>
      <c r="N775" s="88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</row>
    <row r="776" spans="1:47" x14ac:dyDescent="0.2">
      <c r="A776" s="29">
        <v>780.99999999999886</v>
      </c>
      <c r="B776" s="77">
        <v>182</v>
      </c>
      <c r="C776" s="12">
        <v>22.774999999999999</v>
      </c>
      <c r="D776" s="31" t="s">
        <v>140</v>
      </c>
      <c r="E776" s="3" t="s">
        <v>141</v>
      </c>
      <c r="F776" s="3" t="s">
        <v>60</v>
      </c>
      <c r="H776" s="3" t="s">
        <v>60</v>
      </c>
      <c r="I776" s="68">
        <v>44864</v>
      </c>
      <c r="J776" s="3" t="s">
        <v>142</v>
      </c>
      <c r="K776" s="3" t="s">
        <v>203</v>
      </c>
      <c r="L776"/>
      <c r="M776" s="17">
        <v>212.5</v>
      </c>
      <c r="N776" s="88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</row>
    <row r="777" spans="1:47" x14ac:dyDescent="0.2">
      <c r="A777" s="29">
        <v>782</v>
      </c>
      <c r="B777" s="17">
        <v>183</v>
      </c>
      <c r="C777" s="12">
        <v>22.776</v>
      </c>
      <c r="D777" s="31" t="s">
        <v>140</v>
      </c>
      <c r="E777" s="3" t="s">
        <v>141</v>
      </c>
      <c r="F777" s="3" t="s">
        <v>61</v>
      </c>
      <c r="H777" s="3" t="s">
        <v>61</v>
      </c>
      <c r="I777" s="68">
        <v>44865</v>
      </c>
      <c r="J777" s="3" t="s">
        <v>142</v>
      </c>
      <c r="K777" s="3" t="s">
        <v>203</v>
      </c>
      <c r="L777"/>
      <c r="M777" s="102"/>
      <c r="N777" s="88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</row>
    <row r="778" spans="1:47" x14ac:dyDescent="0.2">
      <c r="A778" s="29">
        <v>783.00000000000125</v>
      </c>
      <c r="B778" s="77">
        <v>184</v>
      </c>
      <c r="C778" s="12">
        <v>22.777000000000001</v>
      </c>
      <c r="D778" s="31" t="s">
        <v>140</v>
      </c>
      <c r="E778" s="3" t="s">
        <v>141</v>
      </c>
      <c r="F778" s="3" t="s">
        <v>61</v>
      </c>
      <c r="H778" s="3" t="s">
        <v>61</v>
      </c>
      <c r="I778" s="68">
        <v>44865</v>
      </c>
      <c r="J778" s="3" t="s">
        <v>142</v>
      </c>
      <c r="K778" s="3" t="s">
        <v>203</v>
      </c>
      <c r="L778"/>
      <c r="M778" s="17">
        <v>195.4</v>
      </c>
      <c r="N778" s="8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</row>
    <row r="779" spans="1:47" x14ac:dyDescent="0.2">
      <c r="A779" s="29">
        <v>783.99999999999886</v>
      </c>
      <c r="B779" s="77">
        <v>431</v>
      </c>
      <c r="C779" s="3">
        <v>22.777999999999999</v>
      </c>
      <c r="D779" s="78" t="s">
        <v>168</v>
      </c>
      <c r="E779" s="17" t="s">
        <v>169</v>
      </c>
      <c r="F779" s="17" t="s">
        <v>170</v>
      </c>
      <c r="G779" s="3" t="s">
        <v>29</v>
      </c>
      <c r="H779" s="17"/>
      <c r="I779" s="68">
        <v>44783</v>
      </c>
      <c r="J779" s="17" t="s">
        <v>238</v>
      </c>
      <c r="K779" s="17" t="s">
        <v>203</v>
      </c>
      <c r="L779"/>
      <c r="M779"/>
      <c r="N779" s="88"/>
      <c r="O779">
        <v>125.4</v>
      </c>
      <c r="P779">
        <v>120.48</v>
      </c>
      <c r="Q779">
        <v>6.93</v>
      </c>
      <c r="R779">
        <v>7.48</v>
      </c>
      <c r="S779">
        <v>113.19</v>
      </c>
      <c r="T779">
        <v>90.98</v>
      </c>
      <c r="U779">
        <v>60.63</v>
      </c>
      <c r="V779">
        <v>47.36</v>
      </c>
      <c r="W779">
        <v>59.71</v>
      </c>
      <c r="X779">
        <v>63.37</v>
      </c>
      <c r="Y779">
        <v>36.11</v>
      </c>
      <c r="Z779">
        <v>82.87</v>
      </c>
      <c r="AA779">
        <v>70.260000000000005</v>
      </c>
      <c r="AB779">
        <v>72.3</v>
      </c>
      <c r="AC779">
        <v>57.35</v>
      </c>
      <c r="AD779">
        <v>53.51</v>
      </c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 t="s">
        <v>147</v>
      </c>
    </row>
    <row r="780" spans="1:47" x14ac:dyDescent="0.2">
      <c r="A780" s="29">
        <v>785.00000000000011</v>
      </c>
      <c r="B780" s="17" t="s">
        <v>406</v>
      </c>
      <c r="C780" s="3">
        <v>22.779</v>
      </c>
      <c r="D780" s="74" t="s">
        <v>179</v>
      </c>
      <c r="E780" t="s">
        <v>180</v>
      </c>
      <c r="F780" t="s">
        <v>181</v>
      </c>
      <c r="G780"/>
      <c r="H780" t="s">
        <v>268</v>
      </c>
      <c r="I780" s="32">
        <v>44770</v>
      </c>
      <c r="J780" s="17" t="s">
        <v>356</v>
      </c>
      <c r="K780" s="17" t="s">
        <v>203</v>
      </c>
      <c r="L780">
        <v>220</v>
      </c>
      <c r="M780"/>
      <c r="N780" s="88"/>
      <c r="O780" s="58">
        <v>185.89</v>
      </c>
      <c r="P780" s="58">
        <v>196.1</v>
      </c>
      <c r="Q780" s="58">
        <v>42.13</v>
      </c>
      <c r="R780" s="58">
        <v>23.88</v>
      </c>
      <c r="S780" s="58">
        <v>126.57</v>
      </c>
      <c r="T780" s="58">
        <v>98.67</v>
      </c>
      <c r="U780" s="58">
        <v>64.27</v>
      </c>
      <c r="V780" s="58">
        <v>46.33</v>
      </c>
      <c r="W780" s="58">
        <v>71.510000000000005</v>
      </c>
      <c r="X780" s="58">
        <v>86.13</v>
      </c>
      <c r="Y780" s="58">
        <v>37.49</v>
      </c>
      <c r="Z780" s="58">
        <v>94.54</v>
      </c>
      <c r="AA780" s="58">
        <v>74.72</v>
      </c>
      <c r="AB780" s="58">
        <v>73.86</v>
      </c>
      <c r="AC780" s="58">
        <v>15.9</v>
      </c>
      <c r="AD780" s="58">
        <v>45.36</v>
      </c>
      <c r="AE780" s="58">
        <v>31.98</v>
      </c>
      <c r="AF780" s="58">
        <v>40.64</v>
      </c>
      <c r="AG780" s="58">
        <v>37.549999999999997</v>
      </c>
      <c r="AH780" s="58">
        <v>41.82</v>
      </c>
      <c r="AI780"/>
      <c r="AJ780"/>
      <c r="AK780"/>
      <c r="AL780"/>
      <c r="AM780"/>
      <c r="AN780"/>
      <c r="AO780"/>
      <c r="AP780"/>
      <c r="AQ780"/>
      <c r="AR780"/>
      <c r="AS780"/>
      <c r="AT780"/>
      <c r="AU780"/>
    </row>
    <row r="781" spans="1:47" x14ac:dyDescent="0.2">
      <c r="A781" s="29">
        <v>786.00000000000136</v>
      </c>
      <c r="B781" s="77">
        <v>441</v>
      </c>
      <c r="C781" s="5" t="s">
        <v>407</v>
      </c>
      <c r="D781" s="78" t="s">
        <v>168</v>
      </c>
      <c r="E781" s="17" t="s">
        <v>169</v>
      </c>
      <c r="F781" s="17" t="s">
        <v>170</v>
      </c>
      <c r="G781" s="3" t="s">
        <v>29</v>
      </c>
      <c r="H781" s="17"/>
      <c r="I781" s="68">
        <v>44792</v>
      </c>
      <c r="J781" s="17" t="s">
        <v>142</v>
      </c>
      <c r="K781" s="17" t="s">
        <v>235</v>
      </c>
      <c r="L781"/>
      <c r="M781"/>
      <c r="N781" s="88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</row>
    <row r="782" spans="1:47" ht="34" x14ac:dyDescent="0.2">
      <c r="A782" s="29">
        <v>786.99999999999909</v>
      </c>
      <c r="B782" s="77">
        <v>407</v>
      </c>
      <c r="C782">
        <v>22.780999999999999</v>
      </c>
      <c r="D782" s="78" t="s">
        <v>168</v>
      </c>
      <c r="E782" s="17" t="s">
        <v>169</v>
      </c>
      <c r="F782" s="59" t="s">
        <v>170</v>
      </c>
      <c r="G782" s="17"/>
      <c r="H782" s="17" t="s">
        <v>287</v>
      </c>
      <c r="I782" s="68">
        <v>44736</v>
      </c>
      <c r="J782" s="17" t="s">
        <v>142</v>
      </c>
      <c r="K782" s="17" t="s">
        <v>235</v>
      </c>
      <c r="L782"/>
      <c r="M782"/>
      <c r="N782" s="88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</row>
    <row r="783" spans="1:47" x14ac:dyDescent="0.2">
      <c r="A783" s="29">
        <v>788.00000000000023</v>
      </c>
      <c r="B783" s="17" t="s">
        <v>408</v>
      </c>
      <c r="C783">
        <v>22.782</v>
      </c>
      <c r="D783" s="74" t="s">
        <v>179</v>
      </c>
      <c r="E783" t="s">
        <v>180</v>
      </c>
      <c r="F783" t="s">
        <v>181</v>
      </c>
      <c r="G783" s="18">
        <v>259</v>
      </c>
      <c r="H783" s="18"/>
      <c r="I783" s="56">
        <v>44841</v>
      </c>
      <c r="J783" s="17" t="s">
        <v>238</v>
      </c>
      <c r="K783" s="17" t="s">
        <v>235</v>
      </c>
      <c r="L783" s="88">
        <v>280</v>
      </c>
      <c r="M783"/>
      <c r="N783" s="88">
        <v>284.39999999999998</v>
      </c>
      <c r="O783" s="110"/>
      <c r="P783" s="110"/>
      <c r="Q783" s="110"/>
      <c r="R783" s="110"/>
      <c r="S783" s="110"/>
      <c r="T783" s="110"/>
      <c r="U783" s="110"/>
      <c r="V783" s="110"/>
      <c r="W783" s="110"/>
      <c r="X783" s="110"/>
      <c r="Y783" s="110"/>
      <c r="Z783" s="110"/>
      <c r="AA783" s="110"/>
      <c r="AB783" s="110"/>
      <c r="AC783" s="110"/>
      <c r="AD783" s="110"/>
      <c r="AE783" s="110"/>
      <c r="AF783" s="110"/>
      <c r="AG783" s="110"/>
      <c r="AH783" s="110"/>
      <c r="AI783">
        <v>0.98499999999999999</v>
      </c>
      <c r="AJ783">
        <v>32.6</v>
      </c>
      <c r="AK783" t="s">
        <v>172</v>
      </c>
      <c r="AL783"/>
      <c r="AM783"/>
      <c r="AN783">
        <v>147</v>
      </c>
      <c r="AO783"/>
      <c r="AP783"/>
      <c r="AQ783"/>
      <c r="AR783"/>
      <c r="AS783"/>
      <c r="AT783" t="s">
        <v>146</v>
      </c>
      <c r="AU783" t="s">
        <v>233</v>
      </c>
    </row>
    <row r="784" spans="1:47" x14ac:dyDescent="0.2">
      <c r="A784" s="29">
        <v>789.00000000000148</v>
      </c>
      <c r="B784" s="17" t="s">
        <v>409</v>
      </c>
      <c r="C784">
        <v>22.783000000000001</v>
      </c>
      <c r="D784" s="74" t="s">
        <v>179</v>
      </c>
      <c r="E784" t="s">
        <v>180</v>
      </c>
      <c r="F784" t="s">
        <v>181</v>
      </c>
      <c r="G784"/>
      <c r="H784" t="s">
        <v>199</v>
      </c>
      <c r="I784" s="56">
        <v>44847</v>
      </c>
      <c r="J784" s="17" t="s">
        <v>238</v>
      </c>
      <c r="K784" s="17" t="s">
        <v>235</v>
      </c>
      <c r="L784" s="88">
        <v>250</v>
      </c>
      <c r="M784"/>
      <c r="N784" s="88">
        <v>248.8</v>
      </c>
      <c r="O784" s="110"/>
      <c r="P784" s="110"/>
      <c r="Q784" s="110"/>
      <c r="R784" s="110"/>
      <c r="S784" s="110"/>
      <c r="T784" s="110"/>
      <c r="U784" s="110"/>
      <c r="V784" s="110"/>
      <c r="W784" s="110"/>
      <c r="X784" s="110"/>
      <c r="Y784" s="110"/>
      <c r="Z784" s="110"/>
      <c r="AA784" s="110"/>
      <c r="AB784" s="110"/>
      <c r="AC784" s="110"/>
      <c r="AD784" s="110"/>
      <c r="AE784" s="110"/>
      <c r="AF784" s="110"/>
      <c r="AG784" s="110"/>
      <c r="AH784" s="110"/>
      <c r="AI784">
        <v>0.94899999999999995</v>
      </c>
      <c r="AJ784">
        <v>31.9</v>
      </c>
      <c r="AK784" t="s">
        <v>173</v>
      </c>
      <c r="AL784"/>
      <c r="AM784">
        <v>60</v>
      </c>
      <c r="AN784">
        <v>24</v>
      </c>
      <c r="AO784"/>
      <c r="AP784"/>
      <c r="AQ784"/>
      <c r="AR784"/>
      <c r="AS784"/>
      <c r="AT784" t="s">
        <v>146</v>
      </c>
      <c r="AU784" t="s">
        <v>233</v>
      </c>
    </row>
    <row r="785" spans="1:47" x14ac:dyDescent="0.2">
      <c r="A785" s="29">
        <v>789.99999999999909</v>
      </c>
      <c r="B785" s="17" t="s">
        <v>410</v>
      </c>
      <c r="C785">
        <v>22.783999999999999</v>
      </c>
      <c r="D785" s="74" t="s">
        <v>179</v>
      </c>
      <c r="E785" t="s">
        <v>180</v>
      </c>
      <c r="F785" t="s">
        <v>181</v>
      </c>
      <c r="G785"/>
      <c r="H785" t="s">
        <v>268</v>
      </c>
      <c r="I785" s="56">
        <v>44847</v>
      </c>
      <c r="J785" s="17" t="s">
        <v>238</v>
      </c>
      <c r="K785" s="17" t="s">
        <v>235</v>
      </c>
      <c r="L785" s="88">
        <v>280</v>
      </c>
      <c r="M785"/>
      <c r="N785" s="88">
        <v>284.2</v>
      </c>
      <c r="O785" s="110"/>
      <c r="P785" s="110"/>
      <c r="Q785" s="110"/>
      <c r="R785" s="110"/>
      <c r="S785" s="110"/>
      <c r="T785" s="110"/>
      <c r="U785" s="110"/>
      <c r="V785" s="110"/>
      <c r="W785" s="110"/>
      <c r="X785" s="110"/>
      <c r="Y785" s="110"/>
      <c r="Z785" s="110"/>
      <c r="AA785" s="110"/>
      <c r="AB785" s="110"/>
      <c r="AC785" s="110"/>
      <c r="AD785" s="110"/>
      <c r="AE785" s="110"/>
      <c r="AF785" s="110"/>
      <c r="AG785" s="110"/>
      <c r="AH785" s="110"/>
      <c r="AI785">
        <v>0.93799999999999994</v>
      </c>
      <c r="AJ785">
        <v>39.1</v>
      </c>
      <c r="AK785" t="s">
        <v>172</v>
      </c>
      <c r="AL785"/>
      <c r="AM785"/>
      <c r="AN785">
        <v>146</v>
      </c>
      <c r="AO785"/>
      <c r="AP785"/>
      <c r="AQ785"/>
      <c r="AR785"/>
      <c r="AS785"/>
      <c r="AT785" t="s">
        <v>146</v>
      </c>
      <c r="AU785" t="s">
        <v>233</v>
      </c>
    </row>
    <row r="786" spans="1:47" x14ac:dyDescent="0.2">
      <c r="A786" s="29">
        <v>791.00000000000034</v>
      </c>
      <c r="B786" s="17" t="s">
        <v>411</v>
      </c>
      <c r="C786">
        <v>22.785</v>
      </c>
      <c r="D786" s="74" t="s">
        <v>179</v>
      </c>
      <c r="E786" t="s">
        <v>180</v>
      </c>
      <c r="F786" t="s">
        <v>181</v>
      </c>
      <c r="G786"/>
      <c r="H786" t="s">
        <v>182</v>
      </c>
      <c r="I786" s="56">
        <v>44847</v>
      </c>
      <c r="J786" s="17" t="s">
        <v>238</v>
      </c>
      <c r="K786" s="17" t="s">
        <v>235</v>
      </c>
      <c r="L786" s="88">
        <v>250</v>
      </c>
      <c r="M786"/>
      <c r="N786" s="88">
        <v>254.1</v>
      </c>
      <c r="O786" s="110"/>
      <c r="P786" s="110"/>
      <c r="Q786" s="110"/>
      <c r="R786" s="110"/>
      <c r="S786" s="110"/>
      <c r="T786" s="110"/>
      <c r="U786" s="110"/>
      <c r="V786" s="110"/>
      <c r="W786" s="110"/>
      <c r="X786" s="110"/>
      <c r="Y786" s="110"/>
      <c r="Z786" s="110"/>
      <c r="AA786" s="110"/>
      <c r="AB786" s="110"/>
      <c r="AC786" s="110"/>
      <c r="AD786" s="110"/>
      <c r="AE786" s="110"/>
      <c r="AF786" s="110"/>
      <c r="AG786" s="110"/>
      <c r="AH786" s="110"/>
      <c r="AI786">
        <v>1.0920000000000001</v>
      </c>
      <c r="AJ786">
        <v>32.5</v>
      </c>
      <c r="AK786" t="s">
        <v>173</v>
      </c>
      <c r="AL786">
        <v>15</v>
      </c>
      <c r="AM786">
        <v>65</v>
      </c>
      <c r="AN786"/>
      <c r="AO786"/>
      <c r="AP786"/>
      <c r="AQ786"/>
      <c r="AR786"/>
      <c r="AS786"/>
      <c r="AT786" t="s">
        <v>146</v>
      </c>
      <c r="AU786" t="s">
        <v>233</v>
      </c>
    </row>
    <row r="787" spans="1:47" x14ac:dyDescent="0.2">
      <c r="A787" s="29">
        <v>792.00000000000159</v>
      </c>
      <c r="B787" s="17" t="s">
        <v>412</v>
      </c>
      <c r="C787">
        <v>22.786000000000001</v>
      </c>
      <c r="D787" s="74" t="s">
        <v>179</v>
      </c>
      <c r="E787" t="s">
        <v>180</v>
      </c>
      <c r="F787" t="s">
        <v>181</v>
      </c>
      <c r="G787" s="11">
        <v>8</v>
      </c>
      <c r="H787" s="11">
        <v>8</v>
      </c>
      <c r="I787" s="56">
        <v>44847</v>
      </c>
      <c r="J787" s="17" t="s">
        <v>238</v>
      </c>
      <c r="K787" s="17" t="s">
        <v>235</v>
      </c>
      <c r="L787" s="88">
        <v>260</v>
      </c>
      <c r="M787"/>
      <c r="N787" s="88">
        <v>257</v>
      </c>
      <c r="O787" s="110"/>
      <c r="P787" s="110"/>
      <c r="Q787" s="110"/>
      <c r="R787" s="110"/>
      <c r="S787" s="110"/>
      <c r="T787" s="110"/>
      <c r="U787" s="110"/>
      <c r="V787" s="110"/>
      <c r="W787" s="110"/>
      <c r="X787" s="110"/>
      <c r="Y787" s="110"/>
      <c r="Z787" s="110"/>
      <c r="AA787" s="110"/>
      <c r="AB787" s="110"/>
      <c r="AC787" s="110"/>
      <c r="AD787" s="110"/>
      <c r="AE787" s="110"/>
      <c r="AF787" s="110"/>
      <c r="AG787" s="110"/>
      <c r="AH787" s="110"/>
      <c r="AI787">
        <v>0.94499999999999995</v>
      </c>
      <c r="AJ787">
        <v>29.6</v>
      </c>
      <c r="AK787" t="s">
        <v>172</v>
      </c>
      <c r="AL787"/>
      <c r="AM787"/>
      <c r="AN787">
        <v>105</v>
      </c>
      <c r="AO787"/>
      <c r="AP787"/>
      <c r="AQ787"/>
      <c r="AR787"/>
      <c r="AS787"/>
      <c r="AT787" t="s">
        <v>146</v>
      </c>
      <c r="AU787" t="s">
        <v>233</v>
      </c>
    </row>
    <row r="788" spans="1:47" x14ac:dyDescent="0.2">
      <c r="A788" s="29">
        <v>792.99999999999932</v>
      </c>
      <c r="B788" s="17" t="s">
        <v>413</v>
      </c>
      <c r="C788">
        <v>22.786999999999999</v>
      </c>
      <c r="D788" s="74" t="s">
        <v>179</v>
      </c>
      <c r="E788" t="s">
        <v>180</v>
      </c>
      <c r="F788" t="s">
        <v>181</v>
      </c>
      <c r="G788"/>
      <c r="H788" t="s">
        <v>268</v>
      </c>
      <c r="I788" s="56">
        <v>44857</v>
      </c>
      <c r="J788" s="17" t="s">
        <v>238</v>
      </c>
      <c r="K788" s="17" t="s">
        <v>235</v>
      </c>
      <c r="L788" s="88">
        <v>270</v>
      </c>
      <c r="M788"/>
      <c r="N788" s="88">
        <v>272.39999999999998</v>
      </c>
      <c r="O788" s="110"/>
      <c r="P788" s="110"/>
      <c r="Q788" s="110"/>
      <c r="R788" s="110"/>
      <c r="S788" s="110"/>
      <c r="T788" s="110"/>
      <c r="U788" s="110"/>
      <c r="V788" s="110"/>
      <c r="W788" s="110"/>
      <c r="X788" s="110"/>
      <c r="Y788" s="110"/>
      <c r="Z788" s="110"/>
      <c r="AA788" s="110"/>
      <c r="AB788" s="110"/>
      <c r="AC788" s="110"/>
      <c r="AD788" s="110"/>
      <c r="AE788" s="110"/>
      <c r="AF788" s="110"/>
      <c r="AG788" s="110"/>
      <c r="AH788" s="110"/>
      <c r="AI788">
        <v>1.1060000000000001</v>
      </c>
      <c r="AJ788">
        <v>41.3</v>
      </c>
      <c r="AK788" t="s">
        <v>173</v>
      </c>
      <c r="AL788">
        <v>21</v>
      </c>
      <c r="AM788">
        <v>70</v>
      </c>
      <c r="AN788"/>
      <c r="AO788"/>
      <c r="AP788"/>
      <c r="AQ788"/>
      <c r="AR788"/>
      <c r="AS788"/>
      <c r="AT788" t="s">
        <v>146</v>
      </c>
      <c r="AU788" t="s">
        <v>233</v>
      </c>
    </row>
    <row r="789" spans="1:47" x14ac:dyDescent="0.2">
      <c r="A789" s="29">
        <v>794.00000000000045</v>
      </c>
      <c r="B789" s="17" t="s">
        <v>414</v>
      </c>
      <c r="C789">
        <v>22.788</v>
      </c>
      <c r="D789" s="74" t="s">
        <v>179</v>
      </c>
      <c r="E789" t="s">
        <v>180</v>
      </c>
      <c r="F789" t="s">
        <v>181</v>
      </c>
      <c r="G789"/>
      <c r="H789" t="s">
        <v>268</v>
      </c>
      <c r="I789" s="56">
        <v>44857</v>
      </c>
      <c r="J789" s="17" t="s">
        <v>238</v>
      </c>
      <c r="K789" s="17" t="s">
        <v>235</v>
      </c>
      <c r="L789" s="88">
        <v>280</v>
      </c>
      <c r="M789"/>
      <c r="N789" s="88">
        <v>281.39999999999998</v>
      </c>
      <c r="O789" s="110"/>
      <c r="P789" s="110"/>
      <c r="Q789" s="110"/>
      <c r="R789" s="110"/>
      <c r="S789" s="110"/>
      <c r="T789" s="110"/>
      <c r="U789" s="110"/>
      <c r="V789" s="110"/>
      <c r="W789" s="110"/>
      <c r="X789" s="110"/>
      <c r="Y789" s="110"/>
      <c r="Z789" s="110"/>
      <c r="AA789" s="110"/>
      <c r="AB789" s="110"/>
      <c r="AC789" s="110"/>
      <c r="AD789" s="110"/>
      <c r="AE789" s="110"/>
      <c r="AF789" s="110"/>
      <c r="AG789" s="110"/>
      <c r="AH789" s="110"/>
      <c r="AI789">
        <v>1.17</v>
      </c>
      <c r="AJ789">
        <v>44.7</v>
      </c>
      <c r="AK789" t="s">
        <v>173</v>
      </c>
      <c r="AL789">
        <v>9</v>
      </c>
      <c r="AM789">
        <v>75</v>
      </c>
      <c r="AN789"/>
      <c r="AO789"/>
      <c r="AP789"/>
      <c r="AQ789"/>
      <c r="AR789"/>
      <c r="AS789"/>
      <c r="AT789" t="s">
        <v>146</v>
      </c>
      <c r="AU789" t="s">
        <v>233</v>
      </c>
    </row>
    <row r="790" spans="1:47" x14ac:dyDescent="0.2">
      <c r="A790" s="29">
        <v>795.00000000000171</v>
      </c>
      <c r="B790" s="17" t="s">
        <v>415</v>
      </c>
      <c r="C790">
        <v>22.789000000000001</v>
      </c>
      <c r="D790" s="74" t="s">
        <v>179</v>
      </c>
      <c r="E790" t="s">
        <v>180</v>
      </c>
      <c r="F790" t="s">
        <v>181</v>
      </c>
      <c r="G790"/>
      <c r="H790" t="s">
        <v>182</v>
      </c>
      <c r="I790" s="56">
        <v>44858</v>
      </c>
      <c r="J790" s="17" t="s">
        <v>238</v>
      </c>
      <c r="K790" s="17" t="s">
        <v>235</v>
      </c>
      <c r="L790" s="88">
        <v>260</v>
      </c>
      <c r="M790"/>
      <c r="N790" s="88">
        <v>260</v>
      </c>
      <c r="O790" s="110"/>
      <c r="P790" s="110"/>
      <c r="Q790" s="110"/>
      <c r="R790" s="110"/>
      <c r="S790" s="110"/>
      <c r="T790" s="110"/>
      <c r="U790" s="110"/>
      <c r="V790" s="110"/>
      <c r="W790" s="110"/>
      <c r="X790" s="110"/>
      <c r="Y790" s="110"/>
      <c r="Z790" s="110"/>
      <c r="AA790" s="110"/>
      <c r="AB790" s="110"/>
      <c r="AC790" s="110"/>
      <c r="AD790" s="110"/>
      <c r="AE790" s="110"/>
      <c r="AF790" s="110"/>
      <c r="AG790" s="110"/>
      <c r="AH790" s="110"/>
      <c r="AI790">
        <v>1.198</v>
      </c>
      <c r="AJ790">
        <v>32.200000000000003</v>
      </c>
      <c r="AK790" t="s">
        <v>173</v>
      </c>
      <c r="AL790">
        <v>16</v>
      </c>
      <c r="AM790">
        <v>60</v>
      </c>
      <c r="AN790"/>
      <c r="AO790"/>
      <c r="AP790"/>
      <c r="AQ790"/>
      <c r="AR790"/>
      <c r="AS790"/>
      <c r="AT790" t="s">
        <v>146</v>
      </c>
      <c r="AU790" t="s">
        <v>233</v>
      </c>
    </row>
    <row r="791" spans="1:47" x14ac:dyDescent="0.2">
      <c r="A791" s="29">
        <v>795.99999999999932</v>
      </c>
      <c r="B791" s="17" t="s">
        <v>416</v>
      </c>
      <c r="C791" s="5" t="s">
        <v>43</v>
      </c>
      <c r="D791" s="74" t="s">
        <v>179</v>
      </c>
      <c r="E791" t="s">
        <v>180</v>
      </c>
      <c r="F791" t="s">
        <v>181</v>
      </c>
      <c r="G791"/>
      <c r="H791" t="s">
        <v>182</v>
      </c>
      <c r="I791" s="56">
        <v>44858</v>
      </c>
      <c r="J791" s="17" t="s">
        <v>238</v>
      </c>
      <c r="K791" s="17" t="s">
        <v>235</v>
      </c>
      <c r="L791" s="88">
        <v>250</v>
      </c>
      <c r="M791"/>
      <c r="N791" s="88">
        <v>252.9</v>
      </c>
      <c r="O791" s="110"/>
      <c r="P791" s="110"/>
      <c r="Q791" s="110"/>
      <c r="R791" s="110"/>
      <c r="S791" s="110"/>
      <c r="T791" s="110"/>
      <c r="U791" s="110"/>
      <c r="V791" s="110"/>
      <c r="W791" s="110"/>
      <c r="X791" s="110"/>
      <c r="Y791" s="110"/>
      <c r="Z791" s="110"/>
      <c r="AA791" s="110"/>
      <c r="AB791" s="110"/>
      <c r="AC791" s="110"/>
      <c r="AD791" s="110"/>
      <c r="AE791" s="110"/>
      <c r="AF791" s="110"/>
      <c r="AG791" s="110"/>
      <c r="AH791" s="110"/>
      <c r="AI791">
        <v>1.0409999999999999</v>
      </c>
      <c r="AJ791">
        <v>32.799999999999997</v>
      </c>
      <c r="AK791" t="s">
        <v>173</v>
      </c>
      <c r="AL791">
        <v>13</v>
      </c>
      <c r="AM791">
        <v>74</v>
      </c>
      <c r="AN791"/>
      <c r="AO791"/>
      <c r="AP791"/>
      <c r="AQ791"/>
      <c r="AR791"/>
      <c r="AS791"/>
      <c r="AT791" t="s">
        <v>146</v>
      </c>
      <c r="AU791" t="s">
        <v>233</v>
      </c>
    </row>
    <row r="792" spans="1:47" x14ac:dyDescent="0.2">
      <c r="A792" s="29">
        <v>797.00000000000057</v>
      </c>
      <c r="B792" s="77">
        <v>488</v>
      </c>
      <c r="C792">
        <v>22.791</v>
      </c>
      <c r="D792" s="78" t="s">
        <v>168</v>
      </c>
      <c r="E792" s="17" t="s">
        <v>169</v>
      </c>
      <c r="F792" s="3" t="s">
        <v>170</v>
      </c>
      <c r="G792" s="17"/>
      <c r="H792" s="18" t="s">
        <v>177</v>
      </c>
      <c r="I792" s="68">
        <v>44844</v>
      </c>
      <c r="J792" s="17" t="s">
        <v>142</v>
      </c>
      <c r="K792" s="17" t="s">
        <v>203</v>
      </c>
      <c r="L792"/>
      <c r="M792" s="102"/>
      <c r="N792" s="88">
        <v>256.3</v>
      </c>
      <c r="O792">
        <v>187.19</v>
      </c>
      <c r="P792">
        <v>196.55</v>
      </c>
      <c r="Q792">
        <v>37.229999999999997</v>
      </c>
      <c r="R792">
        <v>23.01</v>
      </c>
      <c r="S792">
        <v>128.16999999999999</v>
      </c>
      <c r="T792">
        <v>100.28</v>
      </c>
      <c r="U792">
        <v>68.98</v>
      </c>
      <c r="V792">
        <v>51.78</v>
      </c>
      <c r="W792">
        <v>74.430000000000007</v>
      </c>
      <c r="X792">
        <v>88.64</v>
      </c>
      <c r="Y792">
        <v>41.48</v>
      </c>
      <c r="Z792">
        <v>97.88</v>
      </c>
      <c r="AA792">
        <v>80.03</v>
      </c>
      <c r="AB792">
        <v>79.510000000000005</v>
      </c>
      <c r="AC792">
        <v>16.27</v>
      </c>
      <c r="AD792">
        <v>49.27</v>
      </c>
      <c r="AE792">
        <v>36.700000000000003</v>
      </c>
      <c r="AF792">
        <v>44.03</v>
      </c>
      <c r="AG792">
        <v>33.6</v>
      </c>
      <c r="AH792">
        <v>47.64</v>
      </c>
      <c r="AI792">
        <v>1.766</v>
      </c>
      <c r="AJ792"/>
      <c r="AK792"/>
      <c r="AL792" s="102"/>
      <c r="AM792"/>
      <c r="AN792"/>
      <c r="AO792">
        <v>11.2</v>
      </c>
      <c r="AP792">
        <v>86.1</v>
      </c>
      <c r="AQ792">
        <v>101.9</v>
      </c>
      <c r="AR792">
        <v>55.6</v>
      </c>
      <c r="AS792">
        <v>24</v>
      </c>
      <c r="AT792" t="s">
        <v>147</v>
      </c>
      <c r="AU792" t="s">
        <v>147</v>
      </c>
    </row>
    <row r="793" spans="1:47" x14ac:dyDescent="0.2">
      <c r="A793" s="29">
        <v>797.99999999999829</v>
      </c>
      <c r="B793" s="77">
        <v>482</v>
      </c>
      <c r="C793">
        <v>22.792000000000002</v>
      </c>
      <c r="D793" s="78" t="s">
        <v>168</v>
      </c>
      <c r="E793" s="17" t="s">
        <v>169</v>
      </c>
      <c r="F793" s="3" t="s">
        <v>170</v>
      </c>
      <c r="G793" s="17"/>
      <c r="H793" s="18" t="s">
        <v>177</v>
      </c>
      <c r="I793" s="68">
        <v>44840</v>
      </c>
      <c r="J793" s="17" t="s">
        <v>142</v>
      </c>
      <c r="K793" s="17" t="s">
        <v>166</v>
      </c>
      <c r="L793"/>
      <c r="M793" s="102"/>
      <c r="N793" s="88">
        <v>239.7</v>
      </c>
      <c r="O793">
        <v>188.88</v>
      </c>
      <c r="P793">
        <v>193.01</v>
      </c>
      <c r="Q793">
        <v>42.18</v>
      </c>
      <c r="R793">
        <v>33.78</v>
      </c>
      <c r="S793">
        <v>116.76</v>
      </c>
      <c r="T793">
        <v>91.26</v>
      </c>
      <c r="U793">
        <v>72.709999999999994</v>
      </c>
      <c r="V793">
        <v>53.22</v>
      </c>
      <c r="W793">
        <v>77.239999999999995</v>
      </c>
      <c r="X793">
        <v>93.4</v>
      </c>
      <c r="Y793">
        <v>42.49</v>
      </c>
      <c r="Z793">
        <v>105.59</v>
      </c>
      <c r="AA793">
        <v>82.53</v>
      </c>
      <c r="AB793">
        <v>83.35</v>
      </c>
      <c r="AC793">
        <v>15.9</v>
      </c>
      <c r="AD793">
        <v>48.27</v>
      </c>
      <c r="AE793">
        <v>38.81</v>
      </c>
      <c r="AF793">
        <v>41.72</v>
      </c>
      <c r="AG793">
        <v>46.61</v>
      </c>
      <c r="AH793">
        <v>42.14</v>
      </c>
      <c r="AI793">
        <v>1.619</v>
      </c>
      <c r="AJ793"/>
      <c r="AK793"/>
      <c r="AL793" s="102"/>
      <c r="AM793"/>
      <c r="AN793"/>
      <c r="AO793">
        <v>8.6999999999999993</v>
      </c>
      <c r="AP793">
        <v>95.5</v>
      </c>
      <c r="AQ793">
        <v>85.8</v>
      </c>
      <c r="AR793">
        <v>48</v>
      </c>
      <c r="AS793">
        <v>21.4</v>
      </c>
      <c r="AT793" t="s">
        <v>147</v>
      </c>
      <c r="AU793" t="s">
        <v>147</v>
      </c>
    </row>
    <row r="794" spans="1:47" x14ac:dyDescent="0.2">
      <c r="A794" s="29">
        <v>798.99999999999955</v>
      </c>
      <c r="B794" s="77">
        <v>479</v>
      </c>
      <c r="C794">
        <v>22.792999999999999</v>
      </c>
      <c r="D794" s="78" t="s">
        <v>168</v>
      </c>
      <c r="E794" s="17" t="s">
        <v>169</v>
      </c>
      <c r="F794" s="17" t="s">
        <v>170</v>
      </c>
      <c r="H794" s="3" t="s">
        <v>29</v>
      </c>
      <c r="I794" s="68">
        <v>44832</v>
      </c>
      <c r="J794" s="17" t="s">
        <v>142</v>
      </c>
      <c r="K794" s="17" t="s">
        <v>166</v>
      </c>
      <c r="L794"/>
      <c r="M794" s="102"/>
      <c r="N794" s="88">
        <v>240.9</v>
      </c>
      <c r="O794">
        <v>133.41</v>
      </c>
      <c r="P794">
        <v>162.01</v>
      </c>
      <c r="Q794">
        <v>12.79</v>
      </c>
      <c r="R794">
        <v>6.23</v>
      </c>
      <c r="S794">
        <v>111.19</v>
      </c>
      <c r="T794">
        <v>90.42</v>
      </c>
      <c r="U794">
        <v>72.56</v>
      </c>
      <c r="V794">
        <v>61.95</v>
      </c>
      <c r="W794">
        <v>74.03</v>
      </c>
      <c r="X794">
        <v>87.87</v>
      </c>
      <c r="Y794">
        <v>39.630000000000003</v>
      </c>
      <c r="Z794">
        <v>92.84</v>
      </c>
      <c r="AA794">
        <v>76.36</v>
      </c>
      <c r="AB794">
        <v>75.3</v>
      </c>
      <c r="AC794">
        <v>48.91</v>
      </c>
      <c r="AD794">
        <v>55.64</v>
      </c>
      <c r="AE794">
        <v>22.37</v>
      </c>
      <c r="AF794">
        <v>26.73</v>
      </c>
      <c r="AG794">
        <v>24.61</v>
      </c>
      <c r="AH794">
        <v>25.54</v>
      </c>
      <c r="AI794">
        <v>1.7809999999999999</v>
      </c>
      <c r="AJ794"/>
      <c r="AK794"/>
      <c r="AL794" s="102"/>
      <c r="AM794"/>
      <c r="AN794"/>
      <c r="AO794">
        <v>9.5</v>
      </c>
      <c r="AP794">
        <v>79.5</v>
      </c>
      <c r="AQ794">
        <v>94.3</v>
      </c>
      <c r="AR794">
        <v>56.2</v>
      </c>
      <c r="AS794">
        <v>23.5</v>
      </c>
      <c r="AT794" t="s">
        <v>147</v>
      </c>
      <c r="AU794" t="s">
        <v>147</v>
      </c>
    </row>
    <row r="795" spans="1:47" x14ac:dyDescent="0.2">
      <c r="A795" s="29">
        <v>800.00000000000068</v>
      </c>
      <c r="B795" s="77">
        <v>471</v>
      </c>
      <c r="C795">
        <v>22.794</v>
      </c>
      <c r="D795" s="78" t="s">
        <v>168</v>
      </c>
      <c r="E795" s="17" t="s">
        <v>169</v>
      </c>
      <c r="F795" s="17" t="s">
        <v>170</v>
      </c>
      <c r="H795" s="3" t="s">
        <v>29</v>
      </c>
      <c r="I795" s="69">
        <v>44831</v>
      </c>
      <c r="J795" s="17" t="s">
        <v>142</v>
      </c>
      <c r="K795" s="17" t="s">
        <v>166</v>
      </c>
      <c r="L795"/>
      <c r="M795" s="102"/>
      <c r="N795" s="88">
        <v>216.5</v>
      </c>
      <c r="O795">
        <v>198.81</v>
      </c>
      <c r="P795">
        <v>165.33</v>
      </c>
      <c r="Q795">
        <v>17.579999999999998</v>
      </c>
      <c r="R795">
        <v>5.94</v>
      </c>
      <c r="S795">
        <v>116.26</v>
      </c>
      <c r="T795">
        <v>88.85</v>
      </c>
      <c r="U795">
        <v>74.010000000000005</v>
      </c>
      <c r="V795">
        <v>65.010000000000005</v>
      </c>
      <c r="W795">
        <v>75.569999999999993</v>
      </c>
      <c r="X795">
        <v>85.23</v>
      </c>
      <c r="Y795">
        <v>39.979999999999997</v>
      </c>
      <c r="Z795">
        <v>92.76</v>
      </c>
      <c r="AA795">
        <v>72.77</v>
      </c>
      <c r="AB795">
        <v>77.95</v>
      </c>
      <c r="AC795">
        <v>46.85</v>
      </c>
      <c r="AD795">
        <v>49.37</v>
      </c>
      <c r="AE795">
        <v>24.5</v>
      </c>
      <c r="AF795">
        <v>32.340000000000003</v>
      </c>
      <c r="AG795">
        <v>25.64</v>
      </c>
      <c r="AH795">
        <v>30.56</v>
      </c>
      <c r="AI795">
        <v>1.556</v>
      </c>
      <c r="AJ795"/>
      <c r="AK795"/>
      <c r="AL795" s="102"/>
      <c r="AM795"/>
      <c r="AN795"/>
      <c r="AO795">
        <v>7.6</v>
      </c>
      <c r="AP795">
        <v>72.8</v>
      </c>
      <c r="AQ795">
        <v>82.6</v>
      </c>
      <c r="AR795">
        <v>52.5</v>
      </c>
      <c r="AS795">
        <v>21.9</v>
      </c>
      <c r="AT795" t="s">
        <v>147</v>
      </c>
      <c r="AU795" t="s">
        <v>147</v>
      </c>
    </row>
    <row r="796" spans="1:47" x14ac:dyDescent="0.2">
      <c r="A796" s="29">
        <v>800.99999999999841</v>
      </c>
      <c r="B796" s="77">
        <v>478</v>
      </c>
      <c r="C796">
        <v>22.795000000000002</v>
      </c>
      <c r="D796" s="78" t="s">
        <v>168</v>
      </c>
      <c r="E796" s="17" t="s">
        <v>169</v>
      </c>
      <c r="F796" s="3" t="s">
        <v>170</v>
      </c>
      <c r="H796" t="s">
        <v>30</v>
      </c>
      <c r="I796" s="68">
        <v>44831</v>
      </c>
      <c r="J796" s="17" t="s">
        <v>142</v>
      </c>
      <c r="K796" s="17" t="s">
        <v>166</v>
      </c>
      <c r="L796"/>
      <c r="M796" s="102"/>
      <c r="N796" s="88">
        <v>237.1</v>
      </c>
      <c r="O796">
        <v>183.58</v>
      </c>
      <c r="P796">
        <v>184.83</v>
      </c>
      <c r="Q796">
        <v>39.75</v>
      </c>
      <c r="R796">
        <v>29.57</v>
      </c>
      <c r="S796">
        <v>119.61</v>
      </c>
      <c r="T796">
        <v>95.53</v>
      </c>
      <c r="U796">
        <v>72.239999999999995</v>
      </c>
      <c r="V796">
        <v>53.19</v>
      </c>
      <c r="W796">
        <v>76.12</v>
      </c>
      <c r="X796">
        <v>95.92</v>
      </c>
      <c r="Y796">
        <v>41.97</v>
      </c>
      <c r="Z796">
        <v>106.15</v>
      </c>
      <c r="AA796">
        <v>81.87</v>
      </c>
      <c r="AB796">
        <v>82.7</v>
      </c>
      <c r="AC796">
        <v>10.72</v>
      </c>
      <c r="AD796">
        <v>46.85</v>
      </c>
      <c r="AE796">
        <v>38.69</v>
      </c>
      <c r="AF796">
        <v>43.13</v>
      </c>
      <c r="AG796">
        <v>43.16</v>
      </c>
      <c r="AH796">
        <v>42.89</v>
      </c>
      <c r="AI796">
        <v>1.484</v>
      </c>
      <c r="AJ796"/>
      <c r="AK796"/>
      <c r="AL796" s="102"/>
      <c r="AM796"/>
      <c r="AN796"/>
      <c r="AO796">
        <v>9.6999999999999993</v>
      </c>
      <c r="AP796">
        <v>110.5</v>
      </c>
      <c r="AQ796">
        <v>66</v>
      </c>
      <c r="AR796">
        <v>49.5</v>
      </c>
      <c r="AS796">
        <v>21.8</v>
      </c>
      <c r="AT796" t="s">
        <v>147</v>
      </c>
      <c r="AU796" t="s">
        <v>147</v>
      </c>
    </row>
    <row r="797" spans="1:47" x14ac:dyDescent="0.2">
      <c r="A797" s="29">
        <v>801.99999999999955</v>
      </c>
      <c r="B797" s="77">
        <v>468</v>
      </c>
      <c r="C797">
        <v>22.795999999999999</v>
      </c>
      <c r="D797" s="78" t="s">
        <v>168</v>
      </c>
      <c r="E797" s="17" t="s">
        <v>169</v>
      </c>
      <c r="F797" s="17" t="s">
        <v>170</v>
      </c>
      <c r="G797" s="17"/>
      <c r="H797" s="3" t="s">
        <v>234</v>
      </c>
      <c r="I797" s="68">
        <v>44827</v>
      </c>
      <c r="J797" s="17" t="s">
        <v>142</v>
      </c>
      <c r="K797" s="17" t="s">
        <v>166</v>
      </c>
      <c r="L797"/>
      <c r="M797"/>
      <c r="N797" s="88">
        <v>253.2</v>
      </c>
      <c r="O797">
        <v>275.49</v>
      </c>
      <c r="P797">
        <v>181.76</v>
      </c>
      <c r="Q797">
        <v>34.89</v>
      </c>
      <c r="R797">
        <v>15.15</v>
      </c>
      <c r="S797">
        <v>121.1</v>
      </c>
      <c r="T797">
        <v>95.06</v>
      </c>
      <c r="U797">
        <v>72.650000000000006</v>
      </c>
      <c r="V797">
        <v>56.25</v>
      </c>
      <c r="W797">
        <v>75.010000000000005</v>
      </c>
      <c r="X797">
        <v>86.31</v>
      </c>
      <c r="Y797">
        <v>39.92</v>
      </c>
      <c r="Z797">
        <v>99.59</v>
      </c>
      <c r="AA797">
        <v>82.3</v>
      </c>
      <c r="AB797">
        <v>82.12</v>
      </c>
      <c r="AC797">
        <v>20.13</v>
      </c>
      <c r="AD797">
        <v>50.14</v>
      </c>
      <c r="AE797">
        <v>29.17</v>
      </c>
      <c r="AF797">
        <v>40.950000000000003</v>
      </c>
      <c r="AG797">
        <v>34.64</v>
      </c>
      <c r="AH797">
        <v>41.85</v>
      </c>
      <c r="AI797">
        <v>1.88</v>
      </c>
      <c r="AJ797"/>
      <c r="AK797"/>
      <c r="AL797" s="102"/>
      <c r="AM797"/>
      <c r="AN797"/>
      <c r="AO797">
        <v>9.5</v>
      </c>
      <c r="AP797">
        <v>99.3</v>
      </c>
      <c r="AQ797">
        <v>85.8</v>
      </c>
      <c r="AR797">
        <v>56.3</v>
      </c>
      <c r="AS797">
        <v>24.6</v>
      </c>
      <c r="AT797" t="s">
        <v>147</v>
      </c>
      <c r="AU797" t="s">
        <v>147</v>
      </c>
    </row>
    <row r="798" spans="1:47" x14ac:dyDescent="0.2">
      <c r="A798" s="29">
        <v>803.0000000000008</v>
      </c>
      <c r="B798" s="77">
        <v>506</v>
      </c>
      <c r="C798">
        <v>22.797000000000001</v>
      </c>
      <c r="D798" s="78" t="s">
        <v>168</v>
      </c>
      <c r="E798" s="17" t="s">
        <v>169</v>
      </c>
      <c r="F798" s="3" t="s">
        <v>170</v>
      </c>
      <c r="G798" s="17"/>
      <c r="H798" s="18" t="s">
        <v>177</v>
      </c>
      <c r="I798" s="68">
        <v>44860</v>
      </c>
      <c r="J798" s="17" t="s">
        <v>142</v>
      </c>
      <c r="K798" s="17" t="s">
        <v>203</v>
      </c>
      <c r="L798"/>
      <c r="M798"/>
      <c r="N798" s="88">
        <v>230.3</v>
      </c>
      <c r="O798">
        <v>187.83</v>
      </c>
      <c r="P798">
        <v>188.93</v>
      </c>
      <c r="Q798">
        <v>41.73</v>
      </c>
      <c r="R798">
        <v>34.61</v>
      </c>
      <c r="S798">
        <v>118.7</v>
      </c>
      <c r="T798">
        <v>97.86</v>
      </c>
      <c r="U798">
        <v>73.06</v>
      </c>
      <c r="V798">
        <v>52.81</v>
      </c>
      <c r="W798">
        <v>79.28</v>
      </c>
      <c r="X798">
        <v>93.62</v>
      </c>
      <c r="Y798">
        <v>42.34</v>
      </c>
      <c r="Z798">
        <v>104.75</v>
      </c>
      <c r="AA798">
        <v>79.650000000000006</v>
      </c>
      <c r="AB798">
        <v>83.3</v>
      </c>
      <c r="AC798">
        <v>14.28</v>
      </c>
      <c r="AD798">
        <v>46.18</v>
      </c>
      <c r="AE798">
        <v>42.35</v>
      </c>
      <c r="AF798">
        <v>40.049999999999997</v>
      </c>
      <c r="AG798">
        <v>50.34</v>
      </c>
      <c r="AH798">
        <v>40.82</v>
      </c>
      <c r="AI798">
        <v>1.3879999999999999</v>
      </c>
      <c r="AJ798"/>
      <c r="AK798"/>
      <c r="AL798" s="102"/>
      <c r="AM798"/>
      <c r="AN798"/>
      <c r="AO798">
        <v>9.8000000000000007</v>
      </c>
      <c r="AP798">
        <v>107.8</v>
      </c>
      <c r="AQ798">
        <v>64.599999999999994</v>
      </c>
      <c r="AR798">
        <v>46</v>
      </c>
      <c r="AS798">
        <v>20.2</v>
      </c>
      <c r="AT798" t="s">
        <v>147</v>
      </c>
      <c r="AU798" t="s">
        <v>147</v>
      </c>
    </row>
    <row r="799" spans="1:47" x14ac:dyDescent="0.2">
      <c r="A799" s="29">
        <v>803.99999999999852</v>
      </c>
      <c r="B799" s="77">
        <v>504</v>
      </c>
      <c r="C799">
        <v>22.797999999999998</v>
      </c>
      <c r="D799" s="78" t="s">
        <v>168</v>
      </c>
      <c r="E799" s="17" t="s">
        <v>169</v>
      </c>
      <c r="F799" s="3" t="s">
        <v>170</v>
      </c>
      <c r="G799" s="17"/>
      <c r="H799" s="18" t="s">
        <v>177</v>
      </c>
      <c r="I799" s="68">
        <v>44860</v>
      </c>
      <c r="J799" s="17" t="s">
        <v>142</v>
      </c>
      <c r="K799" s="17" t="s">
        <v>203</v>
      </c>
      <c r="L799"/>
      <c r="M799"/>
      <c r="N799" s="88">
        <v>241.9</v>
      </c>
      <c r="O799">
        <v>189.15</v>
      </c>
      <c r="P799">
        <v>191.42</v>
      </c>
      <c r="Q799">
        <v>44.71</v>
      </c>
      <c r="R799">
        <v>34.159999999999997</v>
      </c>
      <c r="S799">
        <v>118.16</v>
      </c>
      <c r="T799">
        <v>95.12</v>
      </c>
      <c r="U799">
        <v>72.89</v>
      </c>
      <c r="V799">
        <v>53.59</v>
      </c>
      <c r="W799">
        <v>79.22</v>
      </c>
      <c r="X799">
        <v>93.25</v>
      </c>
      <c r="Y799">
        <v>40.79</v>
      </c>
      <c r="Z799">
        <v>106.27</v>
      </c>
      <c r="AA799">
        <v>84.63</v>
      </c>
      <c r="AB799">
        <v>83.39</v>
      </c>
      <c r="AC799">
        <v>11.2</v>
      </c>
      <c r="AD799">
        <v>47.97</v>
      </c>
      <c r="AE799">
        <v>40.11</v>
      </c>
      <c r="AF799">
        <v>43.09</v>
      </c>
      <c r="AG799">
        <v>43.02</v>
      </c>
      <c r="AH799">
        <v>40.74</v>
      </c>
      <c r="AI799">
        <v>1.5</v>
      </c>
      <c r="AJ799"/>
      <c r="AK799"/>
      <c r="AL799" s="102"/>
      <c r="AM799"/>
      <c r="AN799"/>
      <c r="AO799">
        <v>9.4</v>
      </c>
      <c r="AP799">
        <v>117.8</v>
      </c>
      <c r="AQ799">
        <v>62</v>
      </c>
      <c r="AR799">
        <v>50.5</v>
      </c>
      <c r="AS799">
        <v>22.1</v>
      </c>
      <c r="AT799" t="s">
        <v>147</v>
      </c>
      <c r="AU799" t="s">
        <v>147</v>
      </c>
    </row>
    <row r="800" spans="1:47" x14ac:dyDescent="0.2">
      <c r="A800" s="29">
        <v>804.99999999999977</v>
      </c>
      <c r="B800" s="77">
        <v>503</v>
      </c>
      <c r="C800">
        <v>22.798999999999999</v>
      </c>
      <c r="D800" s="78" t="s">
        <v>168</v>
      </c>
      <c r="E800" s="17" t="s">
        <v>169</v>
      </c>
      <c r="F800" s="3" t="s">
        <v>170</v>
      </c>
      <c r="G800" s="17"/>
      <c r="H800" s="18" t="s">
        <v>177</v>
      </c>
      <c r="I800" s="68">
        <v>44860</v>
      </c>
      <c r="J800" s="17" t="s">
        <v>142</v>
      </c>
      <c r="K800" s="17" t="s">
        <v>203</v>
      </c>
      <c r="L800"/>
      <c r="M800"/>
      <c r="N800" s="88">
        <v>232.9</v>
      </c>
      <c r="O800">
        <v>188.85</v>
      </c>
      <c r="P800">
        <v>190.94</v>
      </c>
      <c r="Q800">
        <v>44.84</v>
      </c>
      <c r="R800">
        <v>30.27</v>
      </c>
      <c r="S800">
        <v>119.13</v>
      </c>
      <c r="T800">
        <v>95.39</v>
      </c>
      <c r="U800">
        <v>73.790000000000006</v>
      </c>
      <c r="V800">
        <v>53.9</v>
      </c>
      <c r="W800">
        <v>78.58</v>
      </c>
      <c r="X800">
        <v>94.58</v>
      </c>
      <c r="Y800">
        <v>40.35</v>
      </c>
      <c r="Z800">
        <v>104.12</v>
      </c>
      <c r="AA800">
        <v>82.53</v>
      </c>
      <c r="AB800">
        <v>84.58</v>
      </c>
      <c r="AC800">
        <v>10.39</v>
      </c>
      <c r="AD800">
        <v>47.15</v>
      </c>
      <c r="AE800">
        <v>40.47</v>
      </c>
      <c r="AF800">
        <v>44.91</v>
      </c>
      <c r="AG800">
        <v>46.19</v>
      </c>
      <c r="AH800">
        <v>40.82</v>
      </c>
      <c r="AI800">
        <v>1.401</v>
      </c>
      <c r="AJ800"/>
      <c r="AK800"/>
      <c r="AL800" s="102"/>
      <c r="AM800"/>
      <c r="AN800"/>
      <c r="AO800">
        <v>9</v>
      </c>
      <c r="AP800">
        <v>110.3</v>
      </c>
      <c r="AQ800">
        <v>63.7</v>
      </c>
      <c r="AR800">
        <v>47.7</v>
      </c>
      <c r="AS800">
        <v>21</v>
      </c>
      <c r="AT800" t="s">
        <v>147</v>
      </c>
      <c r="AU800" t="s">
        <v>147</v>
      </c>
    </row>
    <row r="801" spans="1:47" x14ac:dyDescent="0.2">
      <c r="A801" s="29">
        <v>806.00000000000091</v>
      </c>
      <c r="B801" s="77">
        <v>507</v>
      </c>
      <c r="C801" s="5" t="s">
        <v>417</v>
      </c>
      <c r="D801" s="78" t="s">
        <v>168</v>
      </c>
      <c r="E801" s="17" t="s">
        <v>169</v>
      </c>
      <c r="F801" s="3" t="s">
        <v>170</v>
      </c>
      <c r="G801" s="17"/>
      <c r="H801" s="18" t="s">
        <v>177</v>
      </c>
      <c r="I801" s="68">
        <v>44860</v>
      </c>
      <c r="J801" s="17" t="s">
        <v>142</v>
      </c>
      <c r="K801" s="17" t="s">
        <v>203</v>
      </c>
      <c r="L801"/>
      <c r="M801"/>
      <c r="N801" s="88">
        <v>234.6</v>
      </c>
      <c r="O801">
        <v>186.79</v>
      </c>
      <c r="P801">
        <v>182.59</v>
      </c>
      <c r="Q801">
        <v>41.83</v>
      </c>
      <c r="R801">
        <v>32.68</v>
      </c>
      <c r="S801">
        <v>119.43</v>
      </c>
      <c r="T801">
        <v>96.25</v>
      </c>
      <c r="U801">
        <v>75.42</v>
      </c>
      <c r="V801">
        <v>54.87</v>
      </c>
      <c r="W801">
        <v>80.319999999999993</v>
      </c>
      <c r="X801">
        <v>98.67</v>
      </c>
      <c r="Y801">
        <v>43.83</v>
      </c>
      <c r="Z801">
        <v>108.04</v>
      </c>
      <c r="AA801">
        <v>82.88</v>
      </c>
      <c r="AB801">
        <v>87.37</v>
      </c>
      <c r="AC801">
        <v>8.89</v>
      </c>
      <c r="AD801">
        <v>47.18</v>
      </c>
      <c r="AE801">
        <v>37.19</v>
      </c>
      <c r="AF801">
        <v>41.16</v>
      </c>
      <c r="AG801">
        <v>36.19</v>
      </c>
      <c r="AH801">
        <v>40.83</v>
      </c>
      <c r="AI801">
        <v>1.427</v>
      </c>
      <c r="AJ801"/>
      <c r="AK801"/>
      <c r="AL801" s="102"/>
      <c r="AM801"/>
      <c r="AN801"/>
      <c r="AO801">
        <v>9</v>
      </c>
      <c r="AP801">
        <v>111.5</v>
      </c>
      <c r="AQ801">
        <v>64.5</v>
      </c>
      <c r="AR801">
        <v>47.4</v>
      </c>
      <c r="AS801">
        <v>20.8</v>
      </c>
      <c r="AT801" t="s">
        <v>147</v>
      </c>
      <c r="AU801" t="s">
        <v>147</v>
      </c>
    </row>
    <row r="802" spans="1:47" x14ac:dyDescent="0.2">
      <c r="A802" s="29">
        <v>806.99999999999864</v>
      </c>
      <c r="B802" s="77">
        <v>498</v>
      </c>
      <c r="C802">
        <v>22.800999999999998</v>
      </c>
      <c r="D802" s="78" t="s">
        <v>168</v>
      </c>
      <c r="E802" s="17" t="s">
        <v>169</v>
      </c>
      <c r="F802" s="17" t="s">
        <v>170</v>
      </c>
      <c r="H802" s="3" t="s">
        <v>29</v>
      </c>
      <c r="I802" s="68">
        <v>44858</v>
      </c>
      <c r="J802" s="17" t="s">
        <v>142</v>
      </c>
      <c r="K802" s="17" t="s">
        <v>203</v>
      </c>
      <c r="L802"/>
      <c r="M802"/>
      <c r="N802" s="88">
        <v>238.8</v>
      </c>
      <c r="O802">
        <v>183.43</v>
      </c>
      <c r="P802">
        <v>148.41999999999999</v>
      </c>
      <c r="Q802">
        <v>26.16</v>
      </c>
      <c r="R802">
        <v>7.6</v>
      </c>
      <c r="S802">
        <v>123.99</v>
      </c>
      <c r="T802">
        <v>92.48</v>
      </c>
      <c r="U802">
        <v>71.56</v>
      </c>
      <c r="V802">
        <v>59.63</v>
      </c>
      <c r="W802">
        <v>71.22</v>
      </c>
      <c r="X802">
        <v>87.65</v>
      </c>
      <c r="Y802">
        <v>38.53</v>
      </c>
      <c r="Z802">
        <v>95.16</v>
      </c>
      <c r="AA802">
        <v>78.260000000000005</v>
      </c>
      <c r="AB802">
        <v>83.53</v>
      </c>
      <c r="AC802">
        <v>50.49</v>
      </c>
      <c r="AD802">
        <v>52.49</v>
      </c>
      <c r="AE802">
        <v>32.53</v>
      </c>
      <c r="AF802">
        <v>28.45</v>
      </c>
      <c r="AG802">
        <v>35.450000000000003</v>
      </c>
      <c r="AH802">
        <v>31.79</v>
      </c>
      <c r="AI802">
        <v>1.544</v>
      </c>
      <c r="AJ802"/>
      <c r="AK802"/>
      <c r="AL802" s="102"/>
      <c r="AM802"/>
      <c r="AN802"/>
      <c r="AO802">
        <v>11.3</v>
      </c>
      <c r="AP802">
        <v>63.2</v>
      </c>
      <c r="AQ802">
        <v>107.4</v>
      </c>
      <c r="AR802">
        <v>55.3</v>
      </c>
      <c r="AS802">
        <v>23</v>
      </c>
      <c r="AT802" t="s">
        <v>147</v>
      </c>
      <c r="AU802" t="s">
        <v>147</v>
      </c>
    </row>
    <row r="803" spans="1:47" x14ac:dyDescent="0.2">
      <c r="A803" s="29">
        <v>807.99999999999977</v>
      </c>
      <c r="B803" s="77">
        <v>500</v>
      </c>
      <c r="C803">
        <v>22.802</v>
      </c>
      <c r="D803" s="78" t="s">
        <v>168</v>
      </c>
      <c r="E803" s="17" t="s">
        <v>169</v>
      </c>
      <c r="F803" s="17" t="s">
        <v>170</v>
      </c>
      <c r="H803" s="3" t="s">
        <v>29</v>
      </c>
      <c r="I803" s="68">
        <v>44859</v>
      </c>
      <c r="J803" s="17" t="s">
        <v>142</v>
      </c>
      <c r="K803" s="17" t="s">
        <v>203</v>
      </c>
      <c r="L803"/>
      <c r="M803"/>
      <c r="N803" s="88">
        <v>245.4</v>
      </c>
      <c r="O803">
        <v>170.96</v>
      </c>
      <c r="P803">
        <v>180.57</v>
      </c>
      <c r="Q803">
        <v>36.97</v>
      </c>
      <c r="R803">
        <v>14.17</v>
      </c>
      <c r="S803">
        <v>123.93</v>
      </c>
      <c r="T803">
        <v>94.67</v>
      </c>
      <c r="U803">
        <v>69.02</v>
      </c>
      <c r="V803">
        <v>52.43</v>
      </c>
      <c r="W803">
        <v>71.39</v>
      </c>
      <c r="X803">
        <v>84.1</v>
      </c>
      <c r="Y803">
        <v>42.71</v>
      </c>
      <c r="Z803">
        <v>94.55</v>
      </c>
      <c r="AA803">
        <v>77.510000000000005</v>
      </c>
      <c r="AB803">
        <v>80.48</v>
      </c>
      <c r="AC803">
        <v>18.79</v>
      </c>
      <c r="AD803">
        <v>50.15</v>
      </c>
      <c r="AE803">
        <v>32.85</v>
      </c>
      <c r="AF803">
        <v>43.86</v>
      </c>
      <c r="AG803">
        <v>36.270000000000003</v>
      </c>
      <c r="AH803">
        <v>46</v>
      </c>
      <c r="AI803">
        <v>1.843</v>
      </c>
      <c r="AJ803"/>
      <c r="AK803"/>
      <c r="AL803" s="102"/>
      <c r="AM803"/>
      <c r="AN803"/>
      <c r="AO803">
        <v>10.8</v>
      </c>
      <c r="AP803">
        <v>89.9</v>
      </c>
      <c r="AQ803">
        <v>86.3</v>
      </c>
      <c r="AR803">
        <v>57.8</v>
      </c>
      <c r="AS803">
        <v>25</v>
      </c>
      <c r="AT803" t="s">
        <v>147</v>
      </c>
      <c r="AU803" t="s">
        <v>147</v>
      </c>
    </row>
    <row r="804" spans="1:47" x14ac:dyDescent="0.2">
      <c r="A804" s="29">
        <v>809.00000000000102</v>
      </c>
      <c r="B804" s="77">
        <v>486</v>
      </c>
      <c r="C804">
        <v>22.803000000000001</v>
      </c>
      <c r="D804" s="78" t="s">
        <v>168</v>
      </c>
      <c r="E804" s="17" t="s">
        <v>169</v>
      </c>
      <c r="F804" s="17" t="s">
        <v>170</v>
      </c>
      <c r="G804" s="17"/>
      <c r="H804" s="3" t="s">
        <v>234</v>
      </c>
      <c r="I804" s="68">
        <v>44844</v>
      </c>
      <c r="J804" s="17" t="s">
        <v>142</v>
      </c>
      <c r="K804" s="17" t="s">
        <v>203</v>
      </c>
      <c r="L804"/>
      <c r="M804" s="102"/>
      <c r="N804" s="88">
        <v>243.1</v>
      </c>
      <c r="O804">
        <v>157.85</v>
      </c>
      <c r="P804">
        <v>140.72999999999999</v>
      </c>
      <c r="Q804">
        <v>20.079999999999998</v>
      </c>
      <c r="R804">
        <v>7.46</v>
      </c>
      <c r="S804">
        <v>121.21</v>
      </c>
      <c r="T804">
        <v>91.91</v>
      </c>
      <c r="U804">
        <v>71.8</v>
      </c>
      <c r="V804">
        <v>59.45</v>
      </c>
      <c r="W804">
        <v>72.709999999999994</v>
      </c>
      <c r="X804">
        <v>87.3</v>
      </c>
      <c r="Y804">
        <v>37.619999999999997</v>
      </c>
      <c r="Z804">
        <v>93.04</v>
      </c>
      <c r="AA804">
        <v>79.400000000000006</v>
      </c>
      <c r="AB804">
        <v>79.739999999999995</v>
      </c>
      <c r="AC804">
        <v>48.7</v>
      </c>
      <c r="AD804">
        <v>54.42</v>
      </c>
      <c r="AE804">
        <v>33.1</v>
      </c>
      <c r="AF804">
        <v>33.61</v>
      </c>
      <c r="AG804">
        <v>35.65</v>
      </c>
      <c r="AH804">
        <v>26.99</v>
      </c>
      <c r="AI804">
        <v>1.448</v>
      </c>
      <c r="AJ804"/>
      <c r="AK804"/>
      <c r="AL804" s="102"/>
      <c r="AM804"/>
      <c r="AN804"/>
      <c r="AO804">
        <v>8.6999999999999993</v>
      </c>
      <c r="AP804">
        <v>76.400000000000006</v>
      </c>
      <c r="AQ804">
        <v>102.4</v>
      </c>
      <c r="AR804">
        <v>54.5</v>
      </c>
      <c r="AS804">
        <v>22.8</v>
      </c>
      <c r="AT804" t="s">
        <v>147</v>
      </c>
      <c r="AU804" t="s">
        <v>147</v>
      </c>
    </row>
    <row r="805" spans="1:47" x14ac:dyDescent="0.2">
      <c r="A805" s="29">
        <v>809.99999999999875</v>
      </c>
      <c r="B805" s="77">
        <v>484</v>
      </c>
      <c r="C805">
        <v>22.803999999999998</v>
      </c>
      <c r="D805" s="78" t="s">
        <v>168</v>
      </c>
      <c r="E805" s="17" t="s">
        <v>169</v>
      </c>
      <c r="F805" s="3" t="s">
        <v>170</v>
      </c>
      <c r="G805" s="17"/>
      <c r="H805" s="18" t="s">
        <v>177</v>
      </c>
      <c r="I805" s="68">
        <v>44840</v>
      </c>
      <c r="J805" s="17" t="s">
        <v>142</v>
      </c>
      <c r="K805" s="17" t="s">
        <v>203</v>
      </c>
      <c r="L805"/>
      <c r="M805" s="102"/>
      <c r="N805" s="88">
        <v>235.1</v>
      </c>
      <c r="O805">
        <v>167.95</v>
      </c>
      <c r="P805">
        <v>179.42</v>
      </c>
      <c r="Q805">
        <v>44.52</v>
      </c>
      <c r="R805">
        <v>21.64</v>
      </c>
      <c r="S805">
        <v>114.34</v>
      </c>
      <c r="T805">
        <v>87.6</v>
      </c>
      <c r="U805">
        <v>70.89</v>
      </c>
      <c r="V805">
        <v>53.55</v>
      </c>
      <c r="W805">
        <v>78.09</v>
      </c>
      <c r="X805">
        <v>95.97</v>
      </c>
      <c r="Y805">
        <v>44.79</v>
      </c>
      <c r="Z805">
        <v>107.23</v>
      </c>
      <c r="AA805">
        <v>83.95</v>
      </c>
      <c r="AB805">
        <v>86.47</v>
      </c>
      <c r="AC805">
        <v>12.22</v>
      </c>
      <c r="AD805">
        <v>47.6</v>
      </c>
      <c r="AE805">
        <v>28.44</v>
      </c>
      <c r="AF805">
        <v>43.88</v>
      </c>
      <c r="AG805">
        <v>47.1</v>
      </c>
      <c r="AH805">
        <v>45.3</v>
      </c>
      <c r="AI805">
        <v>1.379</v>
      </c>
      <c r="AJ805"/>
      <c r="AK805"/>
      <c r="AL805" s="102"/>
      <c r="AM805"/>
      <c r="AN805"/>
      <c r="AO805">
        <v>9</v>
      </c>
      <c r="AP805">
        <v>99.8</v>
      </c>
      <c r="AQ805">
        <v>77.7</v>
      </c>
      <c r="AR805">
        <v>46.7</v>
      </c>
      <c r="AS805">
        <v>20.6</v>
      </c>
      <c r="AT805" t="s">
        <v>147</v>
      </c>
      <c r="AU805" t="s">
        <v>147</v>
      </c>
    </row>
    <row r="806" spans="1:47" x14ac:dyDescent="0.2">
      <c r="A806" s="29">
        <v>811</v>
      </c>
      <c r="B806" s="77">
        <v>496</v>
      </c>
      <c r="C806">
        <v>22.805</v>
      </c>
      <c r="D806" s="78" t="s">
        <v>168</v>
      </c>
      <c r="E806" s="17" t="s">
        <v>169</v>
      </c>
      <c r="F806" s="17" t="s">
        <v>170</v>
      </c>
      <c r="G806" s="17"/>
      <c r="H806" s="3" t="s">
        <v>234</v>
      </c>
      <c r="I806" s="68">
        <v>44852</v>
      </c>
      <c r="J806" s="17" t="s">
        <v>142</v>
      </c>
      <c r="K806" s="17" t="s">
        <v>203</v>
      </c>
      <c r="L806"/>
      <c r="M806"/>
      <c r="N806" s="88">
        <v>232.4</v>
      </c>
      <c r="O806">
        <v>150.83000000000001</v>
      </c>
      <c r="P806">
        <v>148.59</v>
      </c>
      <c r="Q806">
        <v>23.82</v>
      </c>
      <c r="R806">
        <v>8.1999999999999993</v>
      </c>
      <c r="S806">
        <v>122.65</v>
      </c>
      <c r="T806">
        <v>91.92</v>
      </c>
      <c r="U806">
        <v>74.33</v>
      </c>
      <c r="V806">
        <v>62.71</v>
      </c>
      <c r="W806">
        <v>75.63</v>
      </c>
      <c r="X806">
        <v>89.03</v>
      </c>
      <c r="Y806">
        <v>38.4</v>
      </c>
      <c r="Z806">
        <v>94.07</v>
      </c>
      <c r="AA806">
        <v>77.650000000000006</v>
      </c>
      <c r="AB806">
        <v>81.94</v>
      </c>
      <c r="AC806">
        <v>45.76</v>
      </c>
      <c r="AD806">
        <v>49.85</v>
      </c>
      <c r="AE806">
        <v>41.11</v>
      </c>
      <c r="AF806">
        <v>32.049999999999997</v>
      </c>
      <c r="AG806">
        <v>39.46</v>
      </c>
      <c r="AH806">
        <v>37.24</v>
      </c>
      <c r="AI806">
        <v>1.599</v>
      </c>
      <c r="AJ806"/>
      <c r="AK806"/>
      <c r="AL806" s="102"/>
      <c r="AM806"/>
      <c r="AN806"/>
      <c r="AO806">
        <v>10.1</v>
      </c>
      <c r="AP806">
        <v>84.3</v>
      </c>
      <c r="AQ806">
        <v>82.1</v>
      </c>
      <c r="AR806">
        <v>54.6</v>
      </c>
      <c r="AS806">
        <v>22.8</v>
      </c>
      <c r="AT806" t="s">
        <v>147</v>
      </c>
      <c r="AU806" t="s">
        <v>147</v>
      </c>
    </row>
    <row r="807" spans="1:47" x14ac:dyDescent="0.2">
      <c r="A807" s="29">
        <v>812.00000000000114</v>
      </c>
      <c r="B807" s="77">
        <v>494</v>
      </c>
      <c r="C807">
        <v>22.806000000000001</v>
      </c>
      <c r="D807" s="78" t="s">
        <v>168</v>
      </c>
      <c r="E807" s="17" t="s">
        <v>169</v>
      </c>
      <c r="F807" s="3" t="s">
        <v>170</v>
      </c>
      <c r="G807" s="17"/>
      <c r="H807" s="18" t="s">
        <v>177</v>
      </c>
      <c r="I807" s="68">
        <v>44852</v>
      </c>
      <c r="J807" s="17" t="s">
        <v>142</v>
      </c>
      <c r="K807" s="17" t="s">
        <v>203</v>
      </c>
      <c r="L807"/>
      <c r="M807"/>
      <c r="N807" s="88">
        <v>235.1</v>
      </c>
      <c r="O807">
        <v>181.34</v>
      </c>
      <c r="P807">
        <v>182.96</v>
      </c>
      <c r="Q807">
        <v>43.45</v>
      </c>
      <c r="R807">
        <v>27.5</v>
      </c>
      <c r="S807">
        <v>117.64</v>
      </c>
      <c r="T807">
        <v>95.22</v>
      </c>
      <c r="U807">
        <v>71.42</v>
      </c>
      <c r="V807">
        <v>54.59</v>
      </c>
      <c r="W807">
        <v>78.23</v>
      </c>
      <c r="X807">
        <v>94.61</v>
      </c>
      <c r="Y807">
        <v>44.48</v>
      </c>
      <c r="Z807">
        <v>104.57</v>
      </c>
      <c r="AA807">
        <v>81.56</v>
      </c>
      <c r="AB807">
        <v>83.85</v>
      </c>
      <c r="AC807">
        <v>11.74</v>
      </c>
      <c r="AD807">
        <v>46.4</v>
      </c>
      <c r="AE807">
        <v>40.72</v>
      </c>
      <c r="AF807">
        <v>44.62</v>
      </c>
      <c r="AG807">
        <v>44.35</v>
      </c>
      <c r="AH807">
        <v>43.39</v>
      </c>
      <c r="AI807">
        <v>1.4019999999999999</v>
      </c>
      <c r="AJ807"/>
      <c r="AK807"/>
      <c r="AL807" s="102"/>
      <c r="AM807"/>
      <c r="AN807"/>
      <c r="AO807">
        <v>9</v>
      </c>
      <c r="AP807">
        <v>100.9</v>
      </c>
      <c r="AQ807">
        <v>77.400000000000006</v>
      </c>
      <c r="AR807">
        <v>45.8</v>
      </c>
      <c r="AS807">
        <v>20.399999999999999</v>
      </c>
      <c r="AT807" t="s">
        <v>147</v>
      </c>
      <c r="AU807" t="s">
        <v>147</v>
      </c>
    </row>
    <row r="808" spans="1:47" x14ac:dyDescent="0.2">
      <c r="A808" s="29">
        <v>812.99999999999886</v>
      </c>
      <c r="B808">
        <v>80</v>
      </c>
      <c r="C808">
        <v>22.806999999999999</v>
      </c>
      <c r="D808" s="31" t="s">
        <v>140</v>
      </c>
      <c r="E808" s="3" t="s">
        <v>141</v>
      </c>
      <c r="F808" s="17" t="s">
        <v>62</v>
      </c>
      <c r="H808" s="17" t="s">
        <v>62</v>
      </c>
      <c r="I808" s="32">
        <v>44685</v>
      </c>
      <c r="J808" s="3" t="s">
        <v>142</v>
      </c>
      <c r="K808" s="3" t="s">
        <v>166</v>
      </c>
      <c r="L808" s="3">
        <v>222.7</v>
      </c>
      <c r="M808" s="17"/>
      <c r="N808" s="88">
        <v>228.2</v>
      </c>
      <c r="O808">
        <v>184.22</v>
      </c>
      <c r="P808">
        <v>209</v>
      </c>
      <c r="Q808">
        <v>47.46</v>
      </c>
      <c r="R808">
        <v>25.25</v>
      </c>
      <c r="S808">
        <v>124.1</v>
      </c>
      <c r="T808">
        <v>94.96</v>
      </c>
      <c r="U808">
        <v>63.54</v>
      </c>
      <c r="V808">
        <v>54.87</v>
      </c>
      <c r="W808">
        <v>73.23</v>
      </c>
      <c r="X808">
        <v>91.83</v>
      </c>
      <c r="Y808">
        <v>41.2</v>
      </c>
      <c r="Z808">
        <v>104.49</v>
      </c>
      <c r="AA808">
        <v>79.900000000000006</v>
      </c>
      <c r="AB808">
        <v>80</v>
      </c>
      <c r="AC808">
        <v>21.77</v>
      </c>
      <c r="AD808">
        <v>43.9</v>
      </c>
      <c r="AE808">
        <v>35.4</v>
      </c>
      <c r="AF808">
        <v>47.26</v>
      </c>
      <c r="AG808">
        <v>35.6</v>
      </c>
      <c r="AH808">
        <v>48.58</v>
      </c>
      <c r="AI808">
        <v>1.4159999999999999</v>
      </c>
      <c r="AJ808"/>
      <c r="AK808"/>
      <c r="AL808"/>
      <c r="AM808"/>
      <c r="AN808"/>
      <c r="AO808">
        <v>5.5</v>
      </c>
      <c r="AP808">
        <v>13.8</v>
      </c>
      <c r="AQ808">
        <v>152.4</v>
      </c>
      <c r="AR808">
        <v>44.9</v>
      </c>
      <c r="AS808">
        <v>19.2</v>
      </c>
      <c r="AT808" t="s">
        <v>147</v>
      </c>
      <c r="AU808" t="s">
        <v>147</v>
      </c>
    </row>
    <row r="809" spans="1:47" x14ac:dyDescent="0.2">
      <c r="A809" s="29">
        <v>814</v>
      </c>
      <c r="B809">
        <v>150</v>
      </c>
      <c r="C809">
        <v>22.808</v>
      </c>
      <c r="D809" s="31" t="s">
        <v>140</v>
      </c>
      <c r="E809" s="3" t="s">
        <v>141</v>
      </c>
      <c r="F809" s="3" t="s">
        <v>61</v>
      </c>
      <c r="H809" s="3" t="s">
        <v>61</v>
      </c>
      <c r="I809" s="32">
        <v>44825</v>
      </c>
      <c r="J809" s="3" t="s">
        <v>142</v>
      </c>
      <c r="K809" s="3" t="s">
        <v>203</v>
      </c>
      <c r="M809" s="17">
        <v>199.6</v>
      </c>
      <c r="N809" s="88">
        <v>200.4</v>
      </c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>
        <v>1.264</v>
      </c>
      <c r="AJ809"/>
      <c r="AK809"/>
      <c r="AL809">
        <v>13</v>
      </c>
      <c r="AM809"/>
      <c r="AN809"/>
      <c r="AO809">
        <v>7.3</v>
      </c>
      <c r="AP809">
        <v>63.6</v>
      </c>
      <c r="AQ809">
        <v>70.7</v>
      </c>
      <c r="AR809">
        <v>38.9</v>
      </c>
      <c r="AS809">
        <v>16.899999999999999</v>
      </c>
      <c r="AT809" t="s">
        <v>147</v>
      </c>
      <c r="AU809" t="s">
        <v>147</v>
      </c>
    </row>
    <row r="810" spans="1:47" x14ac:dyDescent="0.2">
      <c r="A810" s="29">
        <v>815.00000000000125</v>
      </c>
      <c r="B810" s="17">
        <v>188</v>
      </c>
      <c r="C810">
        <v>22.809000000000001</v>
      </c>
      <c r="D810" s="31" t="s">
        <v>140</v>
      </c>
      <c r="E810" s="3" t="s">
        <v>141</v>
      </c>
      <c r="F810" s="3" t="s">
        <v>60</v>
      </c>
      <c r="H810" s="3" t="s">
        <v>60</v>
      </c>
      <c r="I810" s="68">
        <v>44878</v>
      </c>
      <c r="J810" s="3" t="s">
        <v>142</v>
      </c>
      <c r="K810" s="3" t="s">
        <v>166</v>
      </c>
      <c r="L810"/>
      <c r="M810" s="17">
        <v>196.8</v>
      </c>
      <c r="N810" s="88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</row>
    <row r="811" spans="1:47" x14ac:dyDescent="0.2">
      <c r="A811" s="29">
        <v>815.99999999999898</v>
      </c>
      <c r="B811" s="17">
        <v>189</v>
      </c>
      <c r="C811" s="5" t="s">
        <v>418</v>
      </c>
      <c r="D811" s="31" t="s">
        <v>140</v>
      </c>
      <c r="E811" s="3" t="s">
        <v>141</v>
      </c>
      <c r="F811" s="3" t="s">
        <v>60</v>
      </c>
      <c r="H811" s="3" t="s">
        <v>60</v>
      </c>
      <c r="I811" s="68">
        <v>44878</v>
      </c>
      <c r="J811" s="3" t="s">
        <v>142</v>
      </c>
      <c r="K811" s="3" t="s">
        <v>166</v>
      </c>
      <c r="L811"/>
      <c r="M811" s="111"/>
      <c r="N811" s="88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</row>
    <row r="812" spans="1:47" x14ac:dyDescent="0.2">
      <c r="A812" s="29">
        <v>817.00000000000023</v>
      </c>
      <c r="B812" s="17">
        <v>190</v>
      </c>
      <c r="C812">
        <v>22.811</v>
      </c>
      <c r="D812" s="31" t="s">
        <v>140</v>
      </c>
      <c r="E812" s="3" t="s">
        <v>141</v>
      </c>
      <c r="F812" s="3" t="s">
        <v>60</v>
      </c>
      <c r="H812" s="3" t="s">
        <v>60</v>
      </c>
      <c r="I812" s="68">
        <v>44878</v>
      </c>
      <c r="J812" s="3" t="s">
        <v>142</v>
      </c>
      <c r="K812" s="3" t="s">
        <v>166</v>
      </c>
      <c r="L812"/>
      <c r="M812" s="111"/>
      <c r="N812" s="88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</row>
    <row r="813" spans="1:47" x14ac:dyDescent="0.2">
      <c r="A813" s="29">
        <v>818.00000000000136</v>
      </c>
      <c r="B813" s="17">
        <v>191</v>
      </c>
      <c r="C813">
        <v>22.812000000000001</v>
      </c>
      <c r="D813" s="31" t="s">
        <v>140</v>
      </c>
      <c r="E813" s="3" t="s">
        <v>141</v>
      </c>
      <c r="F813" s="3" t="s">
        <v>60</v>
      </c>
      <c r="H813" s="3" t="s">
        <v>60</v>
      </c>
      <c r="I813" s="68">
        <v>44878</v>
      </c>
      <c r="J813" s="3" t="s">
        <v>142</v>
      </c>
      <c r="K813" s="3" t="s">
        <v>166</v>
      </c>
      <c r="L813"/>
      <c r="M813" s="17">
        <v>172.9</v>
      </c>
      <c r="N813" s="88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</row>
    <row r="814" spans="1:47" x14ac:dyDescent="0.2">
      <c r="A814" s="29">
        <v>818.99999999999909</v>
      </c>
      <c r="B814" s="17">
        <v>192</v>
      </c>
      <c r="C814">
        <v>22.812999999999999</v>
      </c>
      <c r="D814" s="31" t="s">
        <v>140</v>
      </c>
      <c r="E814" s="3" t="s">
        <v>141</v>
      </c>
      <c r="F814" s="3" t="s">
        <v>60</v>
      </c>
      <c r="H814" s="3" t="s">
        <v>60</v>
      </c>
      <c r="I814" s="68">
        <v>44878</v>
      </c>
      <c r="J814" s="3" t="s">
        <v>142</v>
      </c>
      <c r="K814" s="3" t="s">
        <v>166</v>
      </c>
      <c r="L814"/>
      <c r="M814" s="111"/>
      <c r="N814" s="88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</row>
    <row r="815" spans="1:47" x14ac:dyDescent="0.2">
      <c r="A815" s="29">
        <v>820.00000000000023</v>
      </c>
      <c r="B815" s="17">
        <v>193</v>
      </c>
      <c r="C815">
        <v>22.814</v>
      </c>
      <c r="D815" s="31" t="s">
        <v>140</v>
      </c>
      <c r="E815" s="3" t="s">
        <v>141</v>
      </c>
      <c r="F815" s="3" t="s">
        <v>60</v>
      </c>
      <c r="H815" s="3" t="s">
        <v>60</v>
      </c>
      <c r="I815" s="68">
        <v>44878</v>
      </c>
      <c r="J815" s="3" t="s">
        <v>142</v>
      </c>
      <c r="K815" s="3" t="s">
        <v>166</v>
      </c>
      <c r="L815"/>
      <c r="M815" s="17">
        <v>172.5</v>
      </c>
      <c r="N815" s="88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</row>
    <row r="816" spans="1:47" x14ac:dyDescent="0.2">
      <c r="A816" s="29">
        <v>821.00000000000148</v>
      </c>
      <c r="B816" s="17">
        <v>194</v>
      </c>
      <c r="C816">
        <v>22.815000000000001</v>
      </c>
      <c r="D816" s="31" t="s">
        <v>140</v>
      </c>
      <c r="E816" s="3" t="s">
        <v>141</v>
      </c>
      <c r="F816" s="3" t="s">
        <v>60</v>
      </c>
      <c r="H816" s="3" t="s">
        <v>60</v>
      </c>
      <c r="I816" s="68">
        <v>44878</v>
      </c>
      <c r="J816" s="3" t="s">
        <v>142</v>
      </c>
      <c r="K816" s="3" t="s">
        <v>206</v>
      </c>
      <c r="L816"/>
      <c r="M816" s="17">
        <v>269.39999999999998</v>
      </c>
      <c r="N816" s="88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</row>
    <row r="817" spans="1:47" x14ac:dyDescent="0.2">
      <c r="A817" s="29">
        <v>821.9999999999992</v>
      </c>
      <c r="B817" s="17">
        <v>195</v>
      </c>
      <c r="C817">
        <v>22.815999999999999</v>
      </c>
      <c r="D817" s="31" t="s">
        <v>140</v>
      </c>
      <c r="E817" s="3" t="s">
        <v>141</v>
      </c>
      <c r="F817" s="3" t="s">
        <v>60</v>
      </c>
      <c r="H817" s="3" t="s">
        <v>60</v>
      </c>
      <c r="I817" s="68">
        <v>44879</v>
      </c>
      <c r="J817" s="3" t="s">
        <v>142</v>
      </c>
      <c r="K817" s="3" t="s">
        <v>166</v>
      </c>
      <c r="L817"/>
      <c r="M817" s="111"/>
      <c r="N817" s="88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</row>
    <row r="818" spans="1:47" x14ac:dyDescent="0.2">
      <c r="A818" s="29">
        <v>823.00000000000045</v>
      </c>
      <c r="B818" s="17">
        <v>197</v>
      </c>
      <c r="C818">
        <v>22.817</v>
      </c>
      <c r="D818" s="31" t="s">
        <v>140</v>
      </c>
      <c r="E818" s="3" t="s">
        <v>141</v>
      </c>
      <c r="F818" s="3" t="s">
        <v>61</v>
      </c>
      <c r="H818" s="3" t="s">
        <v>61</v>
      </c>
      <c r="I818" s="68">
        <v>44879</v>
      </c>
      <c r="J818" s="3" t="s">
        <v>142</v>
      </c>
      <c r="K818" s="3" t="s">
        <v>166</v>
      </c>
      <c r="L818"/>
      <c r="M818" s="17">
        <v>186.6</v>
      </c>
      <c r="N818" s="8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</row>
    <row r="819" spans="1:47" x14ac:dyDescent="0.2">
      <c r="A819" s="29">
        <v>824.00000000000159</v>
      </c>
      <c r="B819" s="17">
        <v>198</v>
      </c>
      <c r="C819">
        <v>22.818000000000001</v>
      </c>
      <c r="D819" s="31" t="s">
        <v>140</v>
      </c>
      <c r="E819" s="3" t="s">
        <v>141</v>
      </c>
      <c r="F819" s="3" t="s">
        <v>61</v>
      </c>
      <c r="H819" s="3" t="s">
        <v>61</v>
      </c>
      <c r="I819" s="68">
        <v>44879</v>
      </c>
      <c r="J819" s="3" t="s">
        <v>142</v>
      </c>
      <c r="K819" s="3" t="s">
        <v>166</v>
      </c>
      <c r="L819"/>
      <c r="M819" s="17">
        <v>186.9</v>
      </c>
      <c r="N819" s="88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</row>
    <row r="820" spans="1:47" x14ac:dyDescent="0.2">
      <c r="A820" s="29">
        <v>824.99999999999932</v>
      </c>
      <c r="B820" s="17" t="s">
        <v>419</v>
      </c>
      <c r="C820">
        <v>22.818999999999999</v>
      </c>
      <c r="D820" s="74" t="s">
        <v>179</v>
      </c>
      <c r="E820" t="s">
        <v>180</v>
      </c>
      <c r="F820" t="s">
        <v>181</v>
      </c>
      <c r="G820"/>
      <c r="H820" t="s">
        <v>268</v>
      </c>
      <c r="I820" s="56">
        <v>44872</v>
      </c>
      <c r="J820" s="17" t="s">
        <v>238</v>
      </c>
      <c r="K820" s="17" t="s">
        <v>203</v>
      </c>
      <c r="L820">
        <v>205</v>
      </c>
      <c r="M820"/>
      <c r="N820" s="88">
        <v>206.5</v>
      </c>
      <c r="O820" s="58">
        <v>191.98</v>
      </c>
      <c r="P820" s="58">
        <v>200.52</v>
      </c>
      <c r="Q820" s="58">
        <v>45.38</v>
      </c>
      <c r="R820" s="58">
        <v>24.19</v>
      </c>
      <c r="S820" s="58">
        <v>124.97</v>
      </c>
      <c r="T820" s="58">
        <v>100.93</v>
      </c>
      <c r="U820" s="58">
        <v>58.4</v>
      </c>
      <c r="V820" s="58">
        <v>44.7</v>
      </c>
      <c r="W820" s="58">
        <v>66.45</v>
      </c>
      <c r="X820" s="58">
        <v>82.92</v>
      </c>
      <c r="Y820" s="58">
        <v>34.880000000000003</v>
      </c>
      <c r="Z820" s="58">
        <v>93.57</v>
      </c>
      <c r="AA820" s="58">
        <v>75.709999999999994</v>
      </c>
      <c r="AB820" s="58">
        <v>71.63</v>
      </c>
      <c r="AC820" s="58">
        <v>12.73</v>
      </c>
      <c r="AD820" s="58">
        <v>44.65</v>
      </c>
      <c r="AE820" s="58">
        <v>36.51</v>
      </c>
      <c r="AF820" s="58">
        <v>41.59</v>
      </c>
      <c r="AG820" s="58">
        <v>37.36</v>
      </c>
      <c r="AH820" s="58">
        <v>44.61</v>
      </c>
      <c r="AI820" s="58">
        <v>1.0109999999999999</v>
      </c>
      <c r="AJ820"/>
      <c r="AK820"/>
      <c r="AL820" s="58">
        <v>6</v>
      </c>
      <c r="AM820"/>
      <c r="AN820"/>
      <c r="AO820">
        <v>10.5</v>
      </c>
      <c r="AP820">
        <v>78.599999999999994</v>
      </c>
      <c r="AQ820">
        <v>71.5</v>
      </c>
      <c r="AR820">
        <v>37.5</v>
      </c>
      <c r="AS820">
        <v>15.6</v>
      </c>
      <c r="AT820" t="s">
        <v>147</v>
      </c>
      <c r="AU820" t="s">
        <v>147</v>
      </c>
    </row>
    <row r="821" spans="1:47" x14ac:dyDescent="0.2">
      <c r="A821" s="29">
        <v>826.00000000000045</v>
      </c>
      <c r="B821" s="17" t="s">
        <v>420</v>
      </c>
      <c r="C821" s="5" t="s">
        <v>421</v>
      </c>
      <c r="D821" s="74" t="s">
        <v>179</v>
      </c>
      <c r="E821" t="s">
        <v>180</v>
      </c>
      <c r="F821" t="s">
        <v>181</v>
      </c>
      <c r="G821"/>
      <c r="H821" t="s">
        <v>268</v>
      </c>
      <c r="I821" s="56">
        <v>44841</v>
      </c>
      <c r="J821" s="17" t="s">
        <v>238</v>
      </c>
      <c r="K821" s="17" t="s">
        <v>203</v>
      </c>
      <c r="L821">
        <v>215</v>
      </c>
      <c r="M821"/>
      <c r="N821" s="88">
        <v>216.1</v>
      </c>
      <c r="O821" s="58">
        <v>191.42</v>
      </c>
      <c r="P821" s="58">
        <v>206.68</v>
      </c>
      <c r="Q821" s="58">
        <v>48.26</v>
      </c>
      <c r="R821" s="58">
        <v>22.85</v>
      </c>
      <c r="S821" s="58">
        <v>126.53</v>
      </c>
      <c r="T821" s="58">
        <v>102.7</v>
      </c>
      <c r="U821" s="58">
        <v>61.96</v>
      </c>
      <c r="V821" s="58">
        <v>45.35</v>
      </c>
      <c r="W821" s="58">
        <v>68.58</v>
      </c>
      <c r="X821" s="58">
        <v>85.68</v>
      </c>
      <c r="Y821" s="58">
        <v>37.909999999999997</v>
      </c>
      <c r="Z821" s="58">
        <v>93.23</v>
      </c>
      <c r="AA821" s="58">
        <v>71.900000000000006</v>
      </c>
      <c r="AB821" s="58">
        <v>63.27</v>
      </c>
      <c r="AC821" s="58">
        <v>17.66</v>
      </c>
      <c r="AD821" s="58">
        <v>47.34</v>
      </c>
      <c r="AE821" s="58">
        <v>33.869999999999997</v>
      </c>
      <c r="AF821" s="58">
        <v>37.01</v>
      </c>
      <c r="AG821" s="58">
        <v>33.32</v>
      </c>
      <c r="AH821" s="58">
        <v>41.51</v>
      </c>
      <c r="AI821" s="58">
        <v>1.0609999999999999</v>
      </c>
      <c r="AJ821"/>
      <c r="AK821"/>
      <c r="AL821" s="58">
        <v>24</v>
      </c>
      <c r="AM821"/>
      <c r="AN821"/>
      <c r="AO821">
        <v>10.4</v>
      </c>
      <c r="AP821">
        <v>87.2</v>
      </c>
      <c r="AQ821">
        <v>55.4</v>
      </c>
      <c r="AR821">
        <v>36.299999999999997</v>
      </c>
      <c r="AS821">
        <v>15.2</v>
      </c>
      <c r="AT821" t="s">
        <v>147</v>
      </c>
      <c r="AU821" t="s">
        <v>147</v>
      </c>
    </row>
    <row r="822" spans="1:47" x14ac:dyDescent="0.2">
      <c r="A822" s="29">
        <v>827.00000000000171</v>
      </c>
      <c r="B822" s="17" t="s">
        <v>422</v>
      </c>
      <c r="C822">
        <v>22.821000000000002</v>
      </c>
      <c r="D822" s="74" t="s">
        <v>179</v>
      </c>
      <c r="E822" t="s">
        <v>180</v>
      </c>
      <c r="F822" t="s">
        <v>181</v>
      </c>
      <c r="G822"/>
      <c r="H822" t="s">
        <v>268</v>
      </c>
      <c r="I822" s="56">
        <v>44857</v>
      </c>
      <c r="J822" s="17" t="s">
        <v>238</v>
      </c>
      <c r="K822" s="17" t="s">
        <v>203</v>
      </c>
      <c r="L822">
        <v>220</v>
      </c>
      <c r="M822"/>
      <c r="N822" s="88">
        <v>222.8</v>
      </c>
      <c r="O822" s="58">
        <v>200.98</v>
      </c>
      <c r="P822">
        <v>216.36</v>
      </c>
      <c r="Q822" s="58">
        <v>52.51</v>
      </c>
      <c r="R822" s="58">
        <v>25.33</v>
      </c>
      <c r="S822" s="58">
        <v>130.24</v>
      </c>
      <c r="T822" s="58">
        <v>107.35</v>
      </c>
      <c r="U822" s="58">
        <v>61.04</v>
      </c>
      <c r="V822" s="58">
        <v>44.16</v>
      </c>
      <c r="W822" s="58">
        <v>67.459999999999994</v>
      </c>
      <c r="X822" s="58">
        <v>84.71</v>
      </c>
      <c r="Y822" s="58">
        <v>38.92</v>
      </c>
      <c r="Z822" s="58">
        <v>90.6</v>
      </c>
      <c r="AA822" s="58">
        <v>70.87</v>
      </c>
      <c r="AB822" s="58">
        <v>62.09</v>
      </c>
      <c r="AC822" s="58">
        <v>15.33</v>
      </c>
      <c r="AD822" s="58">
        <v>48.53</v>
      </c>
      <c r="AE822" s="58">
        <v>33.21</v>
      </c>
      <c r="AF822" s="58">
        <v>44.12</v>
      </c>
      <c r="AG822" s="58">
        <v>36.85</v>
      </c>
      <c r="AH822" s="58">
        <v>42.41</v>
      </c>
      <c r="AI822" s="58">
        <v>1.1559999999999999</v>
      </c>
      <c r="AJ822"/>
      <c r="AK822"/>
      <c r="AL822" s="58">
        <v>19</v>
      </c>
      <c r="AM822"/>
      <c r="AN822"/>
      <c r="AO822">
        <v>11.4</v>
      </c>
      <c r="AP822">
        <v>101.6</v>
      </c>
      <c r="AQ822">
        <v>47.4</v>
      </c>
      <c r="AR822">
        <v>40.799999999999997</v>
      </c>
      <c r="AS822">
        <v>17.3</v>
      </c>
      <c r="AT822" t="s">
        <v>147</v>
      </c>
      <c r="AU822" t="s">
        <v>147</v>
      </c>
    </row>
    <row r="823" spans="1:47" x14ac:dyDescent="0.2">
      <c r="A823" s="29">
        <v>827.99999999999943</v>
      </c>
      <c r="B823" s="17" t="s">
        <v>423</v>
      </c>
      <c r="C823">
        <v>22.821999999999999</v>
      </c>
      <c r="D823" s="74" t="s">
        <v>179</v>
      </c>
      <c r="E823" t="s">
        <v>180</v>
      </c>
      <c r="F823" t="s">
        <v>181</v>
      </c>
      <c r="G823"/>
      <c r="H823" t="s">
        <v>268</v>
      </c>
      <c r="I823" s="56">
        <v>44872</v>
      </c>
      <c r="J823" s="17" t="s">
        <v>238</v>
      </c>
      <c r="K823" s="17" t="s">
        <v>203</v>
      </c>
      <c r="L823">
        <v>205</v>
      </c>
      <c r="M823"/>
      <c r="N823" s="88">
        <v>203.2</v>
      </c>
      <c r="O823" s="58">
        <v>195.51</v>
      </c>
      <c r="P823" s="58">
        <v>200.7</v>
      </c>
      <c r="Q823" s="58">
        <v>45.95</v>
      </c>
      <c r="R823" s="58">
        <v>24.84</v>
      </c>
      <c r="S823" s="58">
        <v>128.65</v>
      </c>
      <c r="T823" s="58">
        <v>100.77</v>
      </c>
      <c r="U823" s="58">
        <v>53.67</v>
      </c>
      <c r="V823" s="58">
        <v>43.79</v>
      </c>
      <c r="W823" s="58">
        <v>63.24</v>
      </c>
      <c r="X823" s="58">
        <v>79.930000000000007</v>
      </c>
      <c r="Y823" s="58">
        <v>35.81</v>
      </c>
      <c r="Z823" s="58">
        <v>92.93</v>
      </c>
      <c r="AA823" s="58">
        <v>75.91</v>
      </c>
      <c r="AB823" s="58">
        <v>67.319999999999993</v>
      </c>
      <c r="AC823" s="58">
        <v>13.12</v>
      </c>
      <c r="AD823" s="58">
        <v>43.41</v>
      </c>
      <c r="AE823" s="58">
        <v>36.97</v>
      </c>
      <c r="AF823" s="58">
        <v>44.44</v>
      </c>
      <c r="AG823" s="58">
        <v>35.380000000000003</v>
      </c>
      <c r="AH823" s="58">
        <v>45.09</v>
      </c>
      <c r="AI823" s="58">
        <v>1.028</v>
      </c>
      <c r="AJ823"/>
      <c r="AK823"/>
      <c r="AL823" s="58">
        <v>4</v>
      </c>
      <c r="AM823"/>
      <c r="AN823"/>
      <c r="AO823">
        <v>9</v>
      </c>
      <c r="AP823">
        <v>68.099999999999994</v>
      </c>
      <c r="AQ823">
        <v>82.8</v>
      </c>
      <c r="AR823">
        <v>35.9</v>
      </c>
      <c r="AS823">
        <v>15.2</v>
      </c>
      <c r="AT823" t="s">
        <v>147</v>
      </c>
      <c r="AU823" t="s">
        <v>147</v>
      </c>
    </row>
    <row r="824" spans="1:47" x14ac:dyDescent="0.2">
      <c r="A824" s="29">
        <v>829.00000000000068</v>
      </c>
      <c r="B824" s="17" t="s">
        <v>424</v>
      </c>
      <c r="C824">
        <v>22.823</v>
      </c>
      <c r="D824" s="74" t="s">
        <v>179</v>
      </c>
      <c r="E824" t="s">
        <v>180</v>
      </c>
      <c r="F824" t="s">
        <v>181</v>
      </c>
      <c r="G824"/>
      <c r="H824" t="s">
        <v>268</v>
      </c>
      <c r="I824" s="56">
        <v>44868</v>
      </c>
      <c r="J824" s="17" t="s">
        <v>238</v>
      </c>
      <c r="K824" s="17" t="s">
        <v>203</v>
      </c>
      <c r="L824">
        <v>215</v>
      </c>
      <c r="M824"/>
      <c r="N824" s="88">
        <v>215.1</v>
      </c>
      <c r="O824" s="58">
        <v>184.59</v>
      </c>
      <c r="P824" s="58">
        <v>189.56</v>
      </c>
      <c r="Q824" s="58">
        <v>44.15</v>
      </c>
      <c r="R824" s="58">
        <v>19.75</v>
      </c>
      <c r="S824" s="58">
        <v>121.17</v>
      </c>
      <c r="T824" s="58">
        <v>95.56</v>
      </c>
      <c r="U824" s="58">
        <v>61.95</v>
      </c>
      <c r="V824" s="58">
        <v>45.63</v>
      </c>
      <c r="W824" s="58">
        <v>69.709999999999994</v>
      </c>
      <c r="X824" s="58">
        <v>89.28</v>
      </c>
      <c r="Y824" s="58">
        <v>38.69</v>
      </c>
      <c r="Z824" s="58">
        <v>97.27</v>
      </c>
      <c r="AA824" s="58">
        <v>78.77</v>
      </c>
      <c r="AB824" s="58">
        <v>75.63</v>
      </c>
      <c r="AC824" s="58">
        <v>15.05</v>
      </c>
      <c r="AD824" s="58">
        <v>44.87</v>
      </c>
      <c r="AE824" s="58">
        <v>33.08</v>
      </c>
      <c r="AF824" s="58">
        <v>44.07</v>
      </c>
      <c r="AG824" s="58">
        <v>33.65</v>
      </c>
      <c r="AH824" s="58">
        <v>45.82</v>
      </c>
      <c r="AI824" s="58">
        <v>1.05</v>
      </c>
      <c r="AJ824"/>
      <c r="AK824"/>
      <c r="AL824" s="58">
        <v>15.5</v>
      </c>
      <c r="AM824"/>
      <c r="AN824"/>
      <c r="AO824">
        <v>9.8000000000000007</v>
      </c>
      <c r="AP824">
        <v>81.400000000000006</v>
      </c>
      <c r="AQ824">
        <v>67.2</v>
      </c>
      <c r="AR824">
        <v>38.700000000000003</v>
      </c>
      <c r="AS824">
        <v>16.5</v>
      </c>
      <c r="AT824" t="s">
        <v>147</v>
      </c>
      <c r="AU824" t="s">
        <v>147</v>
      </c>
    </row>
    <row r="825" spans="1:47" x14ac:dyDescent="0.2">
      <c r="A825" s="29">
        <v>829.99999999999829</v>
      </c>
      <c r="B825" s="17" t="s">
        <v>425</v>
      </c>
      <c r="C825">
        <v>22.824000000000002</v>
      </c>
      <c r="D825" s="74" t="s">
        <v>179</v>
      </c>
      <c r="E825" t="s">
        <v>180</v>
      </c>
      <c r="F825" t="s">
        <v>181</v>
      </c>
      <c r="G825"/>
      <c r="H825" t="s">
        <v>182</v>
      </c>
      <c r="I825" s="56">
        <v>44872</v>
      </c>
      <c r="J825" s="17" t="s">
        <v>238</v>
      </c>
      <c r="K825" s="17" t="s">
        <v>203</v>
      </c>
      <c r="L825">
        <v>220</v>
      </c>
      <c r="M825"/>
      <c r="N825" s="88">
        <v>220.8</v>
      </c>
      <c r="O825" s="58">
        <v>191.1</v>
      </c>
      <c r="P825" s="58">
        <v>200.79</v>
      </c>
      <c r="Q825" s="58">
        <v>54.6</v>
      </c>
      <c r="R825" s="58">
        <v>24.26</v>
      </c>
      <c r="S825" s="58">
        <v>120.52</v>
      </c>
      <c r="T825" s="58">
        <v>98.33</v>
      </c>
      <c r="U825" s="58">
        <v>61.42</v>
      </c>
      <c r="V825" s="58">
        <v>47.32</v>
      </c>
      <c r="W825" s="58">
        <v>68.45</v>
      </c>
      <c r="X825" s="58">
        <v>86.93</v>
      </c>
      <c r="Y825" s="58">
        <v>39.61</v>
      </c>
      <c r="Z825" s="58">
        <v>94.4</v>
      </c>
      <c r="AA825" s="58">
        <v>73.69</v>
      </c>
      <c r="AB825" s="58">
        <v>65.41</v>
      </c>
      <c r="AC825" s="58">
        <v>14.44</v>
      </c>
      <c r="AD825" s="58">
        <v>48.1</v>
      </c>
      <c r="AE825" s="58">
        <v>32.11</v>
      </c>
      <c r="AF825" s="58">
        <v>38.25</v>
      </c>
      <c r="AG825" s="58">
        <v>32.33</v>
      </c>
      <c r="AH825" s="58">
        <v>42.02</v>
      </c>
      <c r="AI825" s="58">
        <v>1.3160000000000001</v>
      </c>
      <c r="AJ825"/>
      <c r="AK825"/>
      <c r="AL825" s="58">
        <v>14</v>
      </c>
      <c r="AM825"/>
      <c r="AN825"/>
      <c r="AO825">
        <v>9</v>
      </c>
      <c r="AP825">
        <v>93.1</v>
      </c>
      <c r="AQ825">
        <v>56.2</v>
      </c>
      <c r="AR825">
        <v>45</v>
      </c>
      <c r="AS825">
        <v>19</v>
      </c>
      <c r="AT825" t="s">
        <v>147</v>
      </c>
      <c r="AU825" t="s">
        <v>147</v>
      </c>
    </row>
    <row r="826" spans="1:47" x14ac:dyDescent="0.2">
      <c r="A826" s="29">
        <v>830.99999999999955</v>
      </c>
      <c r="B826" s="17" t="s">
        <v>426</v>
      </c>
      <c r="C826">
        <v>22.824999999999999</v>
      </c>
      <c r="D826" s="74" t="s">
        <v>179</v>
      </c>
      <c r="E826" t="s">
        <v>180</v>
      </c>
      <c r="F826" t="s">
        <v>181</v>
      </c>
      <c r="G826"/>
      <c r="H826" t="s">
        <v>268</v>
      </c>
      <c r="I826" s="56">
        <v>44841</v>
      </c>
      <c r="J826" s="17" t="s">
        <v>238</v>
      </c>
      <c r="K826" s="17" t="s">
        <v>203</v>
      </c>
      <c r="L826">
        <v>210</v>
      </c>
      <c r="M826"/>
      <c r="N826" s="88">
        <v>215.3</v>
      </c>
      <c r="O826" s="58">
        <v>198.92</v>
      </c>
      <c r="P826" s="58">
        <v>212.39</v>
      </c>
      <c r="Q826" s="58">
        <v>46.9</v>
      </c>
      <c r="R826" s="58">
        <v>26.58</v>
      </c>
      <c r="S826" s="58">
        <v>128.41999999999999</v>
      </c>
      <c r="T826" s="58">
        <v>103.88</v>
      </c>
      <c r="U826" s="58">
        <v>59.02</v>
      </c>
      <c r="V826" s="58">
        <v>45.65</v>
      </c>
      <c r="W826" s="58">
        <v>65.5</v>
      </c>
      <c r="X826" s="58">
        <v>82.16</v>
      </c>
      <c r="Y826" s="58">
        <v>39.53</v>
      </c>
      <c r="Z826" s="58">
        <v>90.1</v>
      </c>
      <c r="AA826" s="58">
        <v>71.010000000000005</v>
      </c>
      <c r="AB826" s="58">
        <v>65.19</v>
      </c>
      <c r="AC826" s="58">
        <v>22.79</v>
      </c>
      <c r="AD826" s="58">
        <v>47.87</v>
      </c>
      <c r="AE826" s="58">
        <v>30.24</v>
      </c>
      <c r="AF826" s="58">
        <v>41.57</v>
      </c>
      <c r="AG826" s="58">
        <v>35.090000000000003</v>
      </c>
      <c r="AH826" s="58">
        <v>44.11</v>
      </c>
      <c r="AI826" s="58">
        <v>1.085</v>
      </c>
      <c r="AJ826"/>
      <c r="AK826"/>
      <c r="AL826" s="58">
        <v>26</v>
      </c>
      <c r="AM826"/>
      <c r="AN826"/>
      <c r="AO826">
        <v>10.3</v>
      </c>
      <c r="AP826">
        <v>91</v>
      </c>
      <c r="AQ826">
        <v>49</v>
      </c>
      <c r="AR826">
        <v>35</v>
      </c>
      <c r="AS826">
        <v>15</v>
      </c>
      <c r="AT826" t="s">
        <v>147</v>
      </c>
      <c r="AU826" t="s">
        <v>147</v>
      </c>
    </row>
    <row r="827" spans="1:47" x14ac:dyDescent="0.2">
      <c r="A827" s="29">
        <v>832.00000000000068</v>
      </c>
      <c r="B827" s="77">
        <v>445</v>
      </c>
      <c r="C827">
        <v>22.826000000000001</v>
      </c>
      <c r="D827" s="78" t="s">
        <v>168</v>
      </c>
      <c r="E827" s="17" t="s">
        <v>169</v>
      </c>
      <c r="F827" s="17" t="s">
        <v>170</v>
      </c>
      <c r="H827" s="3" t="s">
        <v>29</v>
      </c>
      <c r="I827" s="68">
        <v>44801</v>
      </c>
      <c r="J827" s="17" t="s">
        <v>142</v>
      </c>
      <c r="K827" s="17" t="s">
        <v>204</v>
      </c>
      <c r="L827"/>
      <c r="M827"/>
      <c r="N827" s="88">
        <v>319.7</v>
      </c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  <c r="AA827" s="102"/>
      <c r="AB827" s="102"/>
      <c r="AC827" s="102"/>
      <c r="AD827" s="102"/>
      <c r="AE827" s="102"/>
      <c r="AF827" s="102"/>
      <c r="AG827" s="102"/>
      <c r="AH827" s="102"/>
      <c r="AI827">
        <v>1.649</v>
      </c>
      <c r="AJ827">
        <v>55.4</v>
      </c>
      <c r="AK827" t="s">
        <v>172</v>
      </c>
      <c r="AL827"/>
      <c r="AM827"/>
      <c r="AN827">
        <v>139</v>
      </c>
      <c r="AO827"/>
      <c r="AP827"/>
      <c r="AQ827"/>
      <c r="AR827"/>
      <c r="AS827"/>
      <c r="AT827" t="s">
        <v>146</v>
      </c>
      <c r="AU827" t="s">
        <v>358</v>
      </c>
    </row>
    <row r="828" spans="1:47" x14ac:dyDescent="0.2">
      <c r="A828" s="29">
        <v>832.99999999999841</v>
      </c>
      <c r="B828" s="77">
        <v>462</v>
      </c>
      <c r="C828">
        <v>22.827000000000002</v>
      </c>
      <c r="D828" s="78" t="s">
        <v>168</v>
      </c>
      <c r="E828" s="17" t="s">
        <v>169</v>
      </c>
      <c r="F828" s="3" t="s">
        <v>170</v>
      </c>
      <c r="H828" t="s">
        <v>30</v>
      </c>
      <c r="I828" s="68">
        <v>44819</v>
      </c>
      <c r="J828" s="17" t="s">
        <v>142</v>
      </c>
      <c r="K828" s="17" t="s">
        <v>204</v>
      </c>
      <c r="L828"/>
      <c r="M828"/>
      <c r="N828" s="88">
        <v>287.8</v>
      </c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  <c r="AA828" s="102"/>
      <c r="AB828" s="102"/>
      <c r="AC828" s="102"/>
      <c r="AD828" s="102"/>
      <c r="AE828" s="102"/>
      <c r="AF828" s="102"/>
      <c r="AG828" s="102"/>
      <c r="AH828" s="102"/>
      <c r="AI828">
        <v>1.056</v>
      </c>
      <c r="AJ828">
        <v>53.8</v>
      </c>
      <c r="AK828" t="s">
        <v>172</v>
      </c>
      <c r="AL828"/>
      <c r="AM828"/>
      <c r="AN828">
        <v>142</v>
      </c>
      <c r="AO828"/>
      <c r="AP828"/>
      <c r="AQ828"/>
      <c r="AR828"/>
      <c r="AS828"/>
      <c r="AT828" t="s">
        <v>146</v>
      </c>
      <c r="AU828" t="s">
        <v>358</v>
      </c>
    </row>
    <row r="829" spans="1:47" x14ac:dyDescent="0.2">
      <c r="A829" s="29">
        <v>833.99999999999966</v>
      </c>
      <c r="B829" s="77">
        <v>466</v>
      </c>
      <c r="C829">
        <v>22.827999999999999</v>
      </c>
      <c r="D829" s="78" t="s">
        <v>168</v>
      </c>
      <c r="E829" s="17" t="s">
        <v>169</v>
      </c>
      <c r="F829" s="3" t="s">
        <v>170</v>
      </c>
      <c r="H829" t="s">
        <v>30</v>
      </c>
      <c r="I829" s="68">
        <v>44819</v>
      </c>
      <c r="J829" s="17" t="s">
        <v>142</v>
      </c>
      <c r="K829" s="17" t="s">
        <v>204</v>
      </c>
      <c r="L829"/>
      <c r="M829"/>
      <c r="N829" s="88">
        <v>293.3</v>
      </c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  <c r="AA829" s="102"/>
      <c r="AB829" s="102"/>
      <c r="AC829" s="102"/>
      <c r="AD829" s="102"/>
      <c r="AE829" s="102"/>
      <c r="AF829" s="102"/>
      <c r="AG829" s="102"/>
      <c r="AH829" s="102"/>
      <c r="AI829">
        <v>1.0409999999999999</v>
      </c>
      <c r="AJ829">
        <v>52.4</v>
      </c>
      <c r="AK829" t="s">
        <v>172</v>
      </c>
      <c r="AL829"/>
      <c r="AM829"/>
      <c r="AN829">
        <v>143</v>
      </c>
      <c r="AO829"/>
      <c r="AP829"/>
      <c r="AQ829"/>
      <c r="AR829"/>
      <c r="AS829"/>
      <c r="AT829" t="s">
        <v>146</v>
      </c>
      <c r="AU829" t="s">
        <v>358</v>
      </c>
    </row>
    <row r="830" spans="1:47" x14ac:dyDescent="0.2">
      <c r="A830" s="29">
        <v>835.00000000000091</v>
      </c>
      <c r="B830" s="77">
        <v>467</v>
      </c>
      <c r="C830">
        <v>22.829000000000001</v>
      </c>
      <c r="D830" s="78" t="s">
        <v>168</v>
      </c>
      <c r="E830" s="17" t="s">
        <v>169</v>
      </c>
      <c r="F830" s="17" t="s">
        <v>170</v>
      </c>
      <c r="H830" s="3" t="s">
        <v>29</v>
      </c>
      <c r="I830" s="68">
        <v>44819</v>
      </c>
      <c r="J830" s="17" t="s">
        <v>142</v>
      </c>
      <c r="K830" s="17" t="s">
        <v>204</v>
      </c>
      <c r="L830"/>
      <c r="M830"/>
      <c r="N830" s="88">
        <v>310</v>
      </c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  <c r="AA830" s="102"/>
      <c r="AB830" s="102"/>
      <c r="AC830" s="102"/>
      <c r="AD830" s="102"/>
      <c r="AE830" s="102"/>
      <c r="AF830" s="102"/>
      <c r="AG830" s="102"/>
      <c r="AH830" s="102"/>
      <c r="AI830">
        <v>1.6220000000000001</v>
      </c>
      <c r="AJ830">
        <v>56.2</v>
      </c>
      <c r="AK830" t="s">
        <v>172</v>
      </c>
      <c r="AL830"/>
      <c r="AM830"/>
      <c r="AN830">
        <v>156</v>
      </c>
      <c r="AO830"/>
      <c r="AP830"/>
      <c r="AQ830"/>
      <c r="AR830"/>
      <c r="AS830"/>
      <c r="AT830" t="s">
        <v>146</v>
      </c>
      <c r="AU830" t="s">
        <v>358</v>
      </c>
    </row>
    <row r="831" spans="1:47" x14ac:dyDescent="0.2">
      <c r="A831" s="29">
        <v>835.99999999999852</v>
      </c>
      <c r="B831" s="77">
        <v>472</v>
      </c>
      <c r="C831" s="5" t="s">
        <v>427</v>
      </c>
      <c r="D831" s="78" t="s">
        <v>168</v>
      </c>
      <c r="E831" s="17" t="s">
        <v>169</v>
      </c>
      <c r="F831" s="3" t="s">
        <v>170</v>
      </c>
      <c r="H831" t="s">
        <v>30</v>
      </c>
      <c r="I831" s="68">
        <v>44831</v>
      </c>
      <c r="J831" s="17" t="s">
        <v>142</v>
      </c>
      <c r="K831" s="17" t="s">
        <v>204</v>
      </c>
      <c r="L831"/>
      <c r="M831"/>
      <c r="N831">
        <v>304.2</v>
      </c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  <c r="AA831" s="102"/>
      <c r="AB831" s="102"/>
      <c r="AC831" s="102"/>
      <c r="AD831" s="102"/>
      <c r="AE831" s="102"/>
      <c r="AF831" s="102"/>
      <c r="AG831" s="102"/>
      <c r="AH831" s="102"/>
      <c r="AI831">
        <v>1.1679999999999999</v>
      </c>
      <c r="AJ831">
        <v>58</v>
      </c>
      <c r="AK831" t="s">
        <v>172</v>
      </c>
      <c r="AL831"/>
      <c r="AM831"/>
      <c r="AN831">
        <v>135</v>
      </c>
      <c r="AO831"/>
      <c r="AP831"/>
      <c r="AQ831"/>
      <c r="AR831"/>
      <c r="AS831"/>
      <c r="AT831" t="s">
        <v>146</v>
      </c>
      <c r="AU831" t="s">
        <v>358</v>
      </c>
    </row>
    <row r="832" spans="1:47" x14ac:dyDescent="0.2">
      <c r="A832" s="29">
        <v>836.99999999999977</v>
      </c>
      <c r="B832" s="77">
        <v>473</v>
      </c>
      <c r="C832">
        <v>22.831</v>
      </c>
      <c r="D832" s="78" t="s">
        <v>168</v>
      </c>
      <c r="E832" s="17" t="s">
        <v>169</v>
      </c>
      <c r="F832" s="3" t="s">
        <v>170</v>
      </c>
      <c r="H832" t="s">
        <v>30</v>
      </c>
      <c r="I832" s="68">
        <v>44831</v>
      </c>
      <c r="J832" s="17" t="s">
        <v>142</v>
      </c>
      <c r="K832" s="17" t="s">
        <v>204</v>
      </c>
      <c r="L832"/>
      <c r="M832"/>
      <c r="N832" s="88">
        <v>322</v>
      </c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  <c r="AA832" s="102"/>
      <c r="AB832" s="102"/>
      <c r="AC832" s="102"/>
      <c r="AD832" s="102"/>
      <c r="AE832" s="102"/>
      <c r="AF832" s="102"/>
      <c r="AG832" s="102"/>
      <c r="AH832" s="102"/>
      <c r="AI832">
        <v>1.147</v>
      </c>
      <c r="AJ832">
        <v>51.2</v>
      </c>
      <c r="AK832" t="s">
        <v>172</v>
      </c>
      <c r="AL832"/>
      <c r="AM832"/>
      <c r="AN832">
        <v>172</v>
      </c>
      <c r="AO832"/>
      <c r="AP832"/>
      <c r="AQ832"/>
      <c r="AR832"/>
      <c r="AS832"/>
      <c r="AT832" t="s">
        <v>146</v>
      </c>
      <c r="AU832" t="s">
        <v>358</v>
      </c>
    </row>
    <row r="833" spans="1:47" x14ac:dyDescent="0.2">
      <c r="A833" s="29">
        <v>838.00000000000091</v>
      </c>
      <c r="B833" s="77">
        <v>475</v>
      </c>
      <c r="C833">
        <v>22.832000000000001</v>
      </c>
      <c r="D833" s="78" t="s">
        <v>168</v>
      </c>
      <c r="E833" s="17" t="s">
        <v>169</v>
      </c>
      <c r="F833" s="3" t="s">
        <v>170</v>
      </c>
      <c r="H833" t="s">
        <v>30</v>
      </c>
      <c r="I833" s="68">
        <v>44831</v>
      </c>
      <c r="J833" s="17" t="s">
        <v>142</v>
      </c>
      <c r="K833" s="17" t="s">
        <v>204</v>
      </c>
      <c r="L833"/>
      <c r="M833"/>
      <c r="N833" s="88">
        <v>300.89999999999998</v>
      </c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  <c r="AA833" s="102"/>
      <c r="AB833" s="102"/>
      <c r="AC833" s="102"/>
      <c r="AD833" s="102"/>
      <c r="AE833" s="102"/>
      <c r="AF833" s="102"/>
      <c r="AG833" s="102"/>
      <c r="AH833" s="102"/>
      <c r="AI833">
        <v>1.2270000000000001</v>
      </c>
      <c r="AJ833">
        <v>52.7</v>
      </c>
      <c r="AK833" t="s">
        <v>172</v>
      </c>
      <c r="AL833"/>
      <c r="AM833"/>
      <c r="AN833">
        <v>142</v>
      </c>
      <c r="AO833"/>
      <c r="AP833"/>
      <c r="AQ833"/>
      <c r="AR833"/>
      <c r="AS833"/>
      <c r="AT833" t="s">
        <v>146</v>
      </c>
      <c r="AU833" t="s">
        <v>358</v>
      </c>
    </row>
    <row r="834" spans="1:47" x14ac:dyDescent="0.2">
      <c r="A834" s="29">
        <v>838.99999999999864</v>
      </c>
      <c r="B834" s="77">
        <v>501</v>
      </c>
      <c r="C834">
        <v>22.832999999999998</v>
      </c>
      <c r="D834" s="78" t="s">
        <v>168</v>
      </c>
      <c r="E834" s="17" t="s">
        <v>169</v>
      </c>
      <c r="F834" s="17" t="s">
        <v>170</v>
      </c>
      <c r="H834" s="3" t="s">
        <v>29</v>
      </c>
      <c r="I834" s="68">
        <v>44859</v>
      </c>
      <c r="J834" s="17" t="s">
        <v>142</v>
      </c>
      <c r="K834" s="17" t="s">
        <v>204</v>
      </c>
      <c r="L834"/>
      <c r="M834"/>
      <c r="N834" s="88">
        <v>299.3</v>
      </c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  <c r="AA834" s="102"/>
      <c r="AB834" s="102"/>
      <c r="AC834" s="102"/>
      <c r="AD834" s="102"/>
      <c r="AE834" s="102"/>
      <c r="AF834" s="102"/>
      <c r="AG834" s="102"/>
      <c r="AH834" s="102"/>
      <c r="AI834">
        <v>1.37</v>
      </c>
      <c r="AJ834">
        <v>49</v>
      </c>
      <c r="AK834" t="s">
        <v>172</v>
      </c>
      <c r="AL834"/>
      <c r="AM834"/>
      <c r="AN834">
        <v>149</v>
      </c>
      <c r="AO834"/>
      <c r="AP834"/>
      <c r="AQ834"/>
      <c r="AR834"/>
      <c r="AS834"/>
      <c r="AT834" t="s">
        <v>146</v>
      </c>
      <c r="AU834" t="s">
        <v>358</v>
      </c>
    </row>
    <row r="835" spans="1:47" x14ac:dyDescent="0.2">
      <c r="A835" s="29">
        <v>839.99999999999989</v>
      </c>
      <c r="B835" s="77">
        <v>465</v>
      </c>
      <c r="C835">
        <v>22.834</v>
      </c>
      <c r="D835" s="78" t="s">
        <v>168</v>
      </c>
      <c r="E835" s="17" t="s">
        <v>169</v>
      </c>
      <c r="F835" s="3" t="s">
        <v>170</v>
      </c>
      <c r="H835" t="s">
        <v>30</v>
      </c>
      <c r="I835" s="68">
        <v>44819</v>
      </c>
      <c r="J835" s="17" t="s">
        <v>142</v>
      </c>
      <c r="K835" s="17" t="s">
        <v>204</v>
      </c>
      <c r="L835"/>
      <c r="M835"/>
      <c r="N835" s="88">
        <v>309.7</v>
      </c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  <c r="AA835" s="102"/>
      <c r="AB835" s="102"/>
      <c r="AC835" s="102"/>
      <c r="AD835" s="102"/>
      <c r="AE835" s="102"/>
      <c r="AF835" s="102"/>
      <c r="AG835" s="102"/>
      <c r="AH835" s="102"/>
      <c r="AI835">
        <v>1.2929999999999999</v>
      </c>
      <c r="AJ835">
        <v>56</v>
      </c>
      <c r="AK835" t="s">
        <v>172</v>
      </c>
      <c r="AL835"/>
      <c r="AM835"/>
      <c r="AN835">
        <v>150</v>
      </c>
      <c r="AO835"/>
      <c r="AP835"/>
      <c r="AQ835"/>
      <c r="AR835"/>
      <c r="AS835"/>
      <c r="AT835" t="s">
        <v>146</v>
      </c>
      <c r="AU835" t="s">
        <v>358</v>
      </c>
    </row>
    <row r="836" spans="1:47" x14ac:dyDescent="0.2">
      <c r="A836" s="29">
        <v>841.00000000000114</v>
      </c>
      <c r="B836" s="77">
        <v>469</v>
      </c>
      <c r="C836">
        <v>22.835000000000001</v>
      </c>
      <c r="D836" s="78" t="s">
        <v>168</v>
      </c>
      <c r="E836" s="17" t="s">
        <v>169</v>
      </c>
      <c r="F836" s="3" t="s">
        <v>170</v>
      </c>
      <c r="G836" s="17"/>
      <c r="H836" s="18" t="s">
        <v>177</v>
      </c>
      <c r="I836" s="68">
        <v>44827</v>
      </c>
      <c r="J836" s="17" t="s">
        <v>142</v>
      </c>
      <c r="K836" s="17" t="s">
        <v>204</v>
      </c>
      <c r="L836"/>
      <c r="M836"/>
      <c r="N836" s="88">
        <v>298.7</v>
      </c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  <c r="AA836" s="102"/>
      <c r="AB836" s="102"/>
      <c r="AC836" s="102"/>
      <c r="AD836" s="102"/>
      <c r="AE836" s="102"/>
      <c r="AF836" s="102"/>
      <c r="AG836" s="102"/>
      <c r="AH836" s="102"/>
      <c r="AI836">
        <v>1.2410000000000001</v>
      </c>
      <c r="AJ836">
        <v>55</v>
      </c>
      <c r="AK836" t="s">
        <v>172</v>
      </c>
      <c r="AL836"/>
      <c r="AM836"/>
      <c r="AN836">
        <v>148</v>
      </c>
      <c r="AO836"/>
      <c r="AP836"/>
      <c r="AQ836"/>
      <c r="AR836"/>
      <c r="AS836"/>
      <c r="AT836" t="s">
        <v>146</v>
      </c>
      <c r="AU836" t="s">
        <v>358</v>
      </c>
    </row>
    <row r="837" spans="1:47" x14ac:dyDescent="0.2">
      <c r="A837" s="29">
        <v>841.99999999999875</v>
      </c>
      <c r="B837" s="77">
        <v>499</v>
      </c>
      <c r="C837">
        <v>22.835999999999999</v>
      </c>
      <c r="D837" s="78" t="s">
        <v>168</v>
      </c>
      <c r="E837" s="17" t="s">
        <v>169</v>
      </c>
      <c r="F837" s="17" t="s">
        <v>170</v>
      </c>
      <c r="H837" s="3" t="s">
        <v>29</v>
      </c>
      <c r="I837" s="68">
        <v>44858</v>
      </c>
      <c r="J837" s="17" t="s">
        <v>142</v>
      </c>
      <c r="K837" s="17" t="s">
        <v>204</v>
      </c>
      <c r="L837"/>
      <c r="M837"/>
      <c r="N837" s="88">
        <v>293.10000000000002</v>
      </c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  <c r="AA837" s="102"/>
      <c r="AB837" s="102"/>
      <c r="AC837" s="102"/>
      <c r="AD837" s="102"/>
      <c r="AE837" s="102"/>
      <c r="AF837" s="102"/>
      <c r="AG837" s="102"/>
      <c r="AH837" s="102"/>
      <c r="AI837">
        <v>1.323</v>
      </c>
      <c r="AJ837">
        <v>51.7</v>
      </c>
      <c r="AK837" t="s">
        <v>172</v>
      </c>
      <c r="AL837"/>
      <c r="AM837"/>
      <c r="AN837">
        <v>137</v>
      </c>
      <c r="AO837"/>
      <c r="AP837"/>
      <c r="AQ837"/>
      <c r="AR837"/>
      <c r="AS837"/>
      <c r="AT837" t="s">
        <v>146</v>
      </c>
      <c r="AU837" t="s">
        <v>358</v>
      </c>
    </row>
    <row r="838" spans="1:47" x14ac:dyDescent="0.2">
      <c r="A838" s="29">
        <v>843</v>
      </c>
      <c r="B838" s="17">
        <v>185</v>
      </c>
      <c r="C838">
        <v>22.837</v>
      </c>
      <c r="D838" s="31" t="s">
        <v>140</v>
      </c>
      <c r="E838" s="3" t="s">
        <v>141</v>
      </c>
      <c r="F838" s="3" t="s">
        <v>61</v>
      </c>
      <c r="H838" s="3" t="s">
        <v>61</v>
      </c>
      <c r="I838" s="68">
        <v>44872</v>
      </c>
      <c r="J838" s="3" t="s">
        <v>142</v>
      </c>
      <c r="K838" s="3" t="s">
        <v>204</v>
      </c>
      <c r="L838"/>
      <c r="M838" s="111"/>
      <c r="N838" s="88">
        <v>246.4</v>
      </c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  <c r="AA838" s="102"/>
      <c r="AB838" s="102"/>
      <c r="AC838" s="102"/>
      <c r="AD838" s="102"/>
      <c r="AE838" s="102"/>
      <c r="AF838" s="102"/>
      <c r="AG838" s="102"/>
      <c r="AH838" s="102"/>
      <c r="AI838">
        <v>1.0169999999999999</v>
      </c>
      <c r="AJ838">
        <v>48.6</v>
      </c>
      <c r="AK838" t="s">
        <v>172</v>
      </c>
      <c r="AL838"/>
      <c r="AM838"/>
      <c r="AN838">
        <v>116</v>
      </c>
      <c r="AO838"/>
      <c r="AP838"/>
      <c r="AQ838"/>
      <c r="AR838"/>
      <c r="AS838"/>
      <c r="AT838" t="s">
        <v>146</v>
      </c>
      <c r="AU838" t="s">
        <v>358</v>
      </c>
    </row>
    <row r="839" spans="1:47" x14ac:dyDescent="0.2">
      <c r="A839" s="29">
        <v>844.00000000000114</v>
      </c>
      <c r="B839" s="17">
        <v>186</v>
      </c>
      <c r="C839">
        <v>22.838000000000001</v>
      </c>
      <c r="D839" s="31" t="s">
        <v>140</v>
      </c>
      <c r="E839" s="3" t="s">
        <v>141</v>
      </c>
      <c r="F839" s="3" t="s">
        <v>61</v>
      </c>
      <c r="H839" s="3" t="s">
        <v>61</v>
      </c>
      <c r="I839" s="68">
        <v>44876</v>
      </c>
      <c r="J839" s="3" t="s">
        <v>142</v>
      </c>
      <c r="K839" s="3" t="s">
        <v>204</v>
      </c>
      <c r="L839"/>
      <c r="M839" s="17">
        <v>236.2</v>
      </c>
      <c r="N839" s="88">
        <v>235.7</v>
      </c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  <c r="AA839" s="102"/>
      <c r="AB839" s="102"/>
      <c r="AC839" s="102"/>
      <c r="AD839" s="102"/>
      <c r="AE839" s="102"/>
      <c r="AF839" s="102"/>
      <c r="AG839" s="102"/>
      <c r="AH839" s="102"/>
      <c r="AI839">
        <v>1.1839999999999999</v>
      </c>
      <c r="AJ839">
        <v>47</v>
      </c>
      <c r="AK839" t="s">
        <v>172</v>
      </c>
      <c r="AL839"/>
      <c r="AM839"/>
      <c r="AN839">
        <v>80</v>
      </c>
      <c r="AO839"/>
      <c r="AP839"/>
      <c r="AQ839"/>
      <c r="AR839"/>
      <c r="AS839"/>
      <c r="AT839" t="s">
        <v>146</v>
      </c>
      <c r="AU839" t="s">
        <v>358</v>
      </c>
    </row>
    <row r="840" spans="1:47" x14ac:dyDescent="0.2">
      <c r="A840" s="29">
        <v>844.99999999999886</v>
      </c>
      <c r="B840" s="17">
        <v>187</v>
      </c>
      <c r="C840">
        <v>22.838999999999999</v>
      </c>
      <c r="D840" s="31" t="s">
        <v>140</v>
      </c>
      <c r="E840" s="3" t="s">
        <v>141</v>
      </c>
      <c r="F840" s="3" t="s">
        <v>61</v>
      </c>
      <c r="H840" s="3" t="s">
        <v>61</v>
      </c>
      <c r="I840" s="68">
        <v>44876</v>
      </c>
      <c r="J840" s="3" t="s">
        <v>142</v>
      </c>
      <c r="K840" s="3" t="s">
        <v>204</v>
      </c>
      <c r="L840"/>
      <c r="M840" s="17">
        <v>251.4</v>
      </c>
      <c r="N840" s="88">
        <v>247</v>
      </c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  <c r="AA840" s="102"/>
      <c r="AB840" s="102"/>
      <c r="AC840" s="102"/>
      <c r="AD840" s="102"/>
      <c r="AE840" s="102"/>
      <c r="AF840" s="102"/>
      <c r="AG840" s="102"/>
      <c r="AH840" s="102"/>
      <c r="AI840">
        <v>1.1919999999999999</v>
      </c>
      <c r="AJ840">
        <v>47.7</v>
      </c>
      <c r="AK840" t="s">
        <v>173</v>
      </c>
      <c r="AL840"/>
      <c r="AM840"/>
      <c r="AN840">
        <v>66</v>
      </c>
      <c r="AO840"/>
      <c r="AP840"/>
      <c r="AQ840"/>
      <c r="AR840"/>
      <c r="AS840"/>
      <c r="AT840" t="s">
        <v>146</v>
      </c>
      <c r="AU840" t="s">
        <v>358</v>
      </c>
    </row>
    <row r="841" spans="1:47" x14ac:dyDescent="0.2">
      <c r="A841" s="29">
        <v>846.00000000000011</v>
      </c>
      <c r="B841" s="17">
        <v>196</v>
      </c>
      <c r="C841" s="5" t="s">
        <v>54</v>
      </c>
      <c r="D841" s="31" t="s">
        <v>140</v>
      </c>
      <c r="E841" s="3" t="s">
        <v>141</v>
      </c>
      <c r="F841" s="3" t="s">
        <v>60</v>
      </c>
      <c r="H841" s="3" t="s">
        <v>60</v>
      </c>
      <c r="I841" s="68">
        <v>44879</v>
      </c>
      <c r="J841" s="3" t="s">
        <v>142</v>
      </c>
      <c r="K841" s="3" t="s">
        <v>204</v>
      </c>
      <c r="L841"/>
      <c r="M841" s="17">
        <v>255.8</v>
      </c>
      <c r="N841" s="88">
        <v>256</v>
      </c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  <c r="AA841" s="102"/>
      <c r="AB841" s="102"/>
      <c r="AC841" s="102"/>
      <c r="AD841" s="102"/>
      <c r="AE841" s="102"/>
      <c r="AF841" s="102"/>
      <c r="AG841" s="102"/>
      <c r="AH841" s="102"/>
      <c r="AI841">
        <v>1.8879999999999999</v>
      </c>
      <c r="AJ841">
        <v>50.8</v>
      </c>
      <c r="AK841" t="s">
        <v>173</v>
      </c>
      <c r="AL841">
        <v>14</v>
      </c>
      <c r="AM841">
        <v>41</v>
      </c>
      <c r="AN841"/>
      <c r="AO841"/>
      <c r="AP841"/>
      <c r="AQ841"/>
      <c r="AR841"/>
      <c r="AS841"/>
      <c r="AT841" t="s">
        <v>146</v>
      </c>
      <c r="AU841" t="s">
        <v>358</v>
      </c>
    </row>
    <row r="842" spans="1:47" x14ac:dyDescent="0.2">
      <c r="A842" s="29">
        <v>847.00000000000136</v>
      </c>
      <c r="B842" s="17" t="s">
        <v>428</v>
      </c>
      <c r="C842">
        <v>22.841000000000001</v>
      </c>
      <c r="D842" s="74" t="s">
        <v>179</v>
      </c>
      <c r="E842" t="s">
        <v>180</v>
      </c>
      <c r="F842" t="s">
        <v>181</v>
      </c>
      <c r="G842"/>
      <c r="H842" t="s">
        <v>199</v>
      </c>
      <c r="I842" s="56">
        <v>44861</v>
      </c>
      <c r="J842" s="17" t="s">
        <v>238</v>
      </c>
      <c r="K842" s="17" t="s">
        <v>235</v>
      </c>
      <c r="L842">
        <v>265</v>
      </c>
      <c r="M842"/>
      <c r="N842" s="88">
        <v>271.89999999999998</v>
      </c>
      <c r="O842" s="110"/>
      <c r="P842" s="110"/>
      <c r="Q842" s="110"/>
      <c r="R842" s="110"/>
      <c r="S842" s="110"/>
      <c r="T842" s="110"/>
      <c r="U842" s="110"/>
      <c r="V842" s="110"/>
      <c r="W842" s="110"/>
      <c r="X842" s="110"/>
      <c r="Y842" s="110"/>
      <c r="Z842" s="110"/>
      <c r="AA842" s="110"/>
      <c r="AB842" s="110"/>
      <c r="AC842" s="110"/>
      <c r="AD842" s="110"/>
      <c r="AE842" s="110"/>
      <c r="AF842" s="110"/>
      <c r="AG842" s="110"/>
      <c r="AH842" s="110"/>
      <c r="AI842">
        <v>1.0940000000000001</v>
      </c>
      <c r="AJ842">
        <v>32.799999999999997</v>
      </c>
      <c r="AK842" t="s">
        <v>172</v>
      </c>
      <c r="AL842"/>
      <c r="AM842"/>
      <c r="AN842">
        <v>126</v>
      </c>
      <c r="AO842"/>
      <c r="AP842"/>
      <c r="AQ842"/>
      <c r="AR842"/>
      <c r="AS842"/>
      <c r="AT842" t="s">
        <v>146</v>
      </c>
      <c r="AU842" t="s">
        <v>358</v>
      </c>
    </row>
    <row r="843" spans="1:47" x14ac:dyDescent="0.2">
      <c r="A843" s="29">
        <v>847.99999999999898</v>
      </c>
      <c r="B843" s="17" t="s">
        <v>429</v>
      </c>
      <c r="C843">
        <v>22.841999999999999</v>
      </c>
      <c r="D843" s="74" t="s">
        <v>179</v>
      </c>
      <c r="E843" t="s">
        <v>180</v>
      </c>
      <c r="F843" t="s">
        <v>181</v>
      </c>
      <c r="G843"/>
      <c r="H843" t="s">
        <v>268</v>
      </c>
      <c r="I843" s="56">
        <v>44865</v>
      </c>
      <c r="J843" s="17" t="s">
        <v>238</v>
      </c>
      <c r="K843" s="17" t="s">
        <v>430</v>
      </c>
      <c r="L843">
        <v>310</v>
      </c>
      <c r="M843"/>
      <c r="N843" s="88">
        <v>318.3</v>
      </c>
      <c r="O843" s="110"/>
      <c r="P843" s="110"/>
      <c r="Q843" s="110"/>
      <c r="R843" s="110"/>
      <c r="S843" s="110"/>
      <c r="T843" s="110"/>
      <c r="U843" s="110"/>
      <c r="V843" s="110"/>
      <c r="W843" s="110"/>
      <c r="X843" s="110"/>
      <c r="Y843" s="110"/>
      <c r="Z843" s="110"/>
      <c r="AA843" s="110"/>
      <c r="AB843" s="110"/>
      <c r="AC843" s="110"/>
      <c r="AD843" s="110"/>
      <c r="AE843" s="110"/>
      <c r="AF843" s="110"/>
      <c r="AG843" s="110"/>
      <c r="AH843" s="110"/>
      <c r="AI843">
        <v>0.82399999999999995</v>
      </c>
      <c r="AJ843">
        <v>66.400000000000006</v>
      </c>
      <c r="AK843" t="s">
        <v>172</v>
      </c>
      <c r="AL843"/>
      <c r="AM843"/>
      <c r="AN843">
        <v>157</v>
      </c>
      <c r="AO843"/>
      <c r="AP843"/>
      <c r="AQ843"/>
      <c r="AR843"/>
      <c r="AS843"/>
      <c r="AT843" t="s">
        <v>146</v>
      </c>
      <c r="AU843" t="s">
        <v>358</v>
      </c>
    </row>
    <row r="844" spans="1:47" x14ac:dyDescent="0.2">
      <c r="A844" s="29">
        <v>849.00000000000023</v>
      </c>
      <c r="B844" s="17" t="s">
        <v>431</v>
      </c>
      <c r="C844">
        <v>22.843</v>
      </c>
      <c r="D844" s="74" t="s">
        <v>179</v>
      </c>
      <c r="E844" t="s">
        <v>180</v>
      </c>
      <c r="F844" t="s">
        <v>181</v>
      </c>
      <c r="G844"/>
      <c r="H844" t="s">
        <v>182</v>
      </c>
      <c r="I844" s="56">
        <v>44868</v>
      </c>
      <c r="J844" s="17" t="s">
        <v>238</v>
      </c>
      <c r="K844" s="17" t="s">
        <v>235</v>
      </c>
      <c r="L844">
        <v>265</v>
      </c>
      <c r="M844"/>
      <c r="N844" s="88">
        <v>267.8</v>
      </c>
      <c r="O844" s="110"/>
      <c r="P844" s="110"/>
      <c r="Q844" s="110"/>
      <c r="R844" s="110"/>
      <c r="S844" s="110"/>
      <c r="T844" s="110"/>
      <c r="U844" s="110"/>
      <c r="V844" s="110"/>
      <c r="W844" s="110"/>
      <c r="X844" s="110"/>
      <c r="Y844" s="110"/>
      <c r="Z844" s="110"/>
      <c r="AA844" s="110"/>
      <c r="AB844" s="110"/>
      <c r="AC844" s="110"/>
      <c r="AD844" s="110"/>
      <c r="AE844" s="110"/>
      <c r="AF844" s="110"/>
      <c r="AG844" s="110"/>
      <c r="AH844" s="110"/>
      <c r="AI844">
        <v>1.2709999999999999</v>
      </c>
      <c r="AJ844">
        <v>28.8</v>
      </c>
      <c r="AK844" t="s">
        <v>173</v>
      </c>
      <c r="AL844">
        <v>33</v>
      </c>
      <c r="AM844">
        <v>71</v>
      </c>
      <c r="AN844"/>
      <c r="AO844"/>
      <c r="AP844"/>
      <c r="AQ844"/>
      <c r="AR844"/>
      <c r="AS844"/>
      <c r="AT844" t="s">
        <v>146</v>
      </c>
      <c r="AU844" t="s">
        <v>358</v>
      </c>
    </row>
    <row r="845" spans="1:47" x14ac:dyDescent="0.2">
      <c r="A845" s="29">
        <v>850.00000000000136</v>
      </c>
      <c r="B845" s="17" t="s">
        <v>432</v>
      </c>
      <c r="C845">
        <v>22.844000000000001</v>
      </c>
      <c r="D845" s="74" t="s">
        <v>179</v>
      </c>
      <c r="E845" t="s">
        <v>180</v>
      </c>
      <c r="F845" t="s">
        <v>181</v>
      </c>
      <c r="G845"/>
      <c r="H845" t="s">
        <v>268</v>
      </c>
      <c r="I845" s="56">
        <v>44868</v>
      </c>
      <c r="J845" s="17" t="s">
        <v>238</v>
      </c>
      <c r="K845" s="17" t="s">
        <v>235</v>
      </c>
      <c r="L845">
        <v>255</v>
      </c>
      <c r="M845"/>
      <c r="N845" s="88">
        <v>258.8</v>
      </c>
      <c r="O845" s="110"/>
      <c r="P845" s="110"/>
      <c r="Q845" s="110"/>
      <c r="R845" s="110"/>
      <c r="S845" s="110"/>
      <c r="T845" s="110"/>
      <c r="U845" s="110"/>
      <c r="V845" s="110"/>
      <c r="W845" s="110"/>
      <c r="X845" s="110"/>
      <c r="Y845" s="110"/>
      <c r="Z845" s="110"/>
      <c r="AA845" s="110"/>
      <c r="AB845" s="110"/>
      <c r="AC845" s="110"/>
      <c r="AD845" s="110"/>
      <c r="AE845" s="110"/>
      <c r="AF845" s="110"/>
      <c r="AG845" s="110"/>
      <c r="AH845" s="110"/>
      <c r="AI845">
        <v>0.95799999999999996</v>
      </c>
      <c r="AJ845">
        <v>37.700000000000003</v>
      </c>
      <c r="AK845" t="s">
        <v>173</v>
      </c>
      <c r="AL845">
        <v>38</v>
      </c>
      <c r="AM845">
        <v>70</v>
      </c>
      <c r="AN845"/>
      <c r="AO845"/>
      <c r="AP845"/>
      <c r="AQ845"/>
      <c r="AR845"/>
      <c r="AS845"/>
      <c r="AT845" t="s">
        <v>146</v>
      </c>
      <c r="AU845" t="s">
        <v>358</v>
      </c>
    </row>
    <row r="846" spans="1:47" x14ac:dyDescent="0.2">
      <c r="A846" s="29">
        <v>850.99999999999909</v>
      </c>
      <c r="B846" s="17" t="s">
        <v>433</v>
      </c>
      <c r="C846">
        <v>22.844999999999999</v>
      </c>
      <c r="D846" s="74" t="s">
        <v>179</v>
      </c>
      <c r="E846" t="s">
        <v>180</v>
      </c>
      <c r="F846" t="s">
        <v>181</v>
      </c>
      <c r="G846"/>
      <c r="H846" t="s">
        <v>268</v>
      </c>
      <c r="I846" s="56">
        <v>44870</v>
      </c>
      <c r="J846" s="17" t="s">
        <v>238</v>
      </c>
      <c r="K846" s="17" t="s">
        <v>235</v>
      </c>
      <c r="L846">
        <v>250</v>
      </c>
      <c r="M846"/>
      <c r="N846" s="88">
        <v>254.2</v>
      </c>
      <c r="O846" s="110"/>
      <c r="P846" s="110"/>
      <c r="Q846" s="110"/>
      <c r="R846" s="110"/>
      <c r="S846" s="110"/>
      <c r="T846" s="110"/>
      <c r="U846" s="110"/>
      <c r="V846" s="110"/>
      <c r="W846" s="110"/>
      <c r="X846" s="110"/>
      <c r="Y846" s="110"/>
      <c r="Z846" s="110"/>
      <c r="AA846" s="110"/>
      <c r="AB846" s="110"/>
      <c r="AC846" s="110"/>
      <c r="AD846" s="110"/>
      <c r="AE846" s="110"/>
      <c r="AF846" s="110"/>
      <c r="AG846" s="110"/>
      <c r="AH846" s="110"/>
      <c r="AI846">
        <v>0.89</v>
      </c>
      <c r="AJ846">
        <v>37.4</v>
      </c>
      <c r="AK846" t="s">
        <v>173</v>
      </c>
      <c r="AL846">
        <v>26</v>
      </c>
      <c r="AM846">
        <v>75</v>
      </c>
      <c r="AN846"/>
      <c r="AO846"/>
      <c r="AP846"/>
      <c r="AQ846"/>
      <c r="AR846"/>
      <c r="AS846"/>
      <c r="AT846" t="s">
        <v>146</v>
      </c>
      <c r="AU846" t="s">
        <v>358</v>
      </c>
    </row>
    <row r="847" spans="1:47" x14ac:dyDescent="0.2">
      <c r="A847" s="29">
        <v>852.00000000000034</v>
      </c>
      <c r="B847" s="17" t="s">
        <v>434</v>
      </c>
      <c r="C847">
        <v>22.846</v>
      </c>
      <c r="D847" s="74" t="s">
        <v>179</v>
      </c>
      <c r="E847" t="s">
        <v>180</v>
      </c>
      <c r="F847" t="s">
        <v>181</v>
      </c>
      <c r="G847"/>
      <c r="H847" t="s">
        <v>268</v>
      </c>
      <c r="I847" s="56">
        <v>44870</v>
      </c>
      <c r="J847" s="17" t="s">
        <v>238</v>
      </c>
      <c r="K847" s="17" t="s">
        <v>235</v>
      </c>
      <c r="L847">
        <v>250</v>
      </c>
      <c r="M847"/>
      <c r="N847" s="88">
        <v>251.5</v>
      </c>
      <c r="O847" s="110"/>
      <c r="P847" s="110"/>
      <c r="Q847" s="110"/>
      <c r="R847" s="110"/>
      <c r="S847" s="110"/>
      <c r="T847" s="110"/>
      <c r="U847" s="110"/>
      <c r="V847" s="110"/>
      <c r="W847" s="110"/>
      <c r="X847" s="110"/>
      <c r="Y847" s="110"/>
      <c r="Z847" s="110"/>
      <c r="AA847" s="110"/>
      <c r="AB847" s="110"/>
      <c r="AC847" s="110"/>
      <c r="AD847" s="110"/>
      <c r="AE847" s="110"/>
      <c r="AF847" s="110"/>
      <c r="AG847" s="110"/>
      <c r="AH847" s="110"/>
      <c r="AI847">
        <v>0.91500000000000004</v>
      </c>
      <c r="AJ847">
        <v>38.1</v>
      </c>
      <c r="AK847" t="s">
        <v>173</v>
      </c>
      <c r="AL847">
        <v>26</v>
      </c>
      <c r="AM847">
        <v>71</v>
      </c>
      <c r="AN847"/>
      <c r="AO847"/>
      <c r="AP847"/>
      <c r="AQ847"/>
      <c r="AR847"/>
      <c r="AS847"/>
      <c r="AT847" t="s">
        <v>146</v>
      </c>
      <c r="AU847" t="s">
        <v>358</v>
      </c>
    </row>
    <row r="848" spans="1:47" x14ac:dyDescent="0.2">
      <c r="A848" s="29">
        <v>853.00000000000159</v>
      </c>
      <c r="B848" s="17" t="s">
        <v>435</v>
      </c>
      <c r="C848">
        <v>22.847000000000001</v>
      </c>
      <c r="D848" s="74" t="s">
        <v>179</v>
      </c>
      <c r="E848" t="s">
        <v>180</v>
      </c>
      <c r="F848" t="s">
        <v>181</v>
      </c>
      <c r="G848"/>
      <c r="H848" t="s">
        <v>182</v>
      </c>
      <c r="I848" s="56">
        <v>44872</v>
      </c>
      <c r="J848" s="17" t="s">
        <v>238</v>
      </c>
      <c r="K848" s="17" t="s">
        <v>235</v>
      </c>
      <c r="L848">
        <v>260</v>
      </c>
      <c r="M848"/>
      <c r="N848" s="88">
        <v>259.7</v>
      </c>
      <c r="O848" s="110"/>
      <c r="P848" s="110"/>
      <c r="Q848" s="110"/>
      <c r="R848" s="110"/>
      <c r="S848" s="110"/>
      <c r="T848" s="110"/>
      <c r="U848" s="110"/>
      <c r="V848" s="110"/>
      <c r="W848" s="110"/>
      <c r="X848" s="110"/>
      <c r="Y848" s="110"/>
      <c r="Z848" s="110"/>
      <c r="AA848" s="110"/>
      <c r="AB848" s="110"/>
      <c r="AC848" s="110"/>
      <c r="AD848" s="110"/>
      <c r="AE848" s="110"/>
      <c r="AF848" s="110"/>
      <c r="AG848" s="110"/>
      <c r="AH848" s="110"/>
      <c r="AI848">
        <v>1.214</v>
      </c>
      <c r="AJ848">
        <v>29.2</v>
      </c>
      <c r="AK848" t="s">
        <v>172</v>
      </c>
      <c r="AL848"/>
      <c r="AM848"/>
      <c r="AN848">
        <v>95</v>
      </c>
      <c r="AO848"/>
      <c r="AP848"/>
      <c r="AQ848"/>
      <c r="AR848"/>
      <c r="AS848"/>
      <c r="AT848" t="s">
        <v>146</v>
      </c>
      <c r="AU848" t="s">
        <v>358</v>
      </c>
    </row>
    <row r="849" spans="1:47" x14ac:dyDescent="0.2">
      <c r="A849" s="29">
        <v>853.9999999999992</v>
      </c>
      <c r="B849" s="17" t="s">
        <v>436</v>
      </c>
      <c r="C849">
        <v>22.847999999999999</v>
      </c>
      <c r="D849" s="74" t="s">
        <v>179</v>
      </c>
      <c r="E849" t="s">
        <v>180</v>
      </c>
      <c r="F849" t="s">
        <v>181</v>
      </c>
      <c r="G849"/>
      <c r="H849" t="s">
        <v>268</v>
      </c>
      <c r="I849" s="56">
        <v>44865</v>
      </c>
      <c r="J849" s="17" t="s">
        <v>238</v>
      </c>
      <c r="K849" s="17" t="s">
        <v>235</v>
      </c>
      <c r="L849">
        <v>255</v>
      </c>
      <c r="M849"/>
      <c r="N849" s="88">
        <v>256.60000000000002</v>
      </c>
      <c r="O849" s="110"/>
      <c r="P849" s="110"/>
      <c r="Q849" s="110"/>
      <c r="R849" s="110"/>
      <c r="S849" s="110"/>
      <c r="T849" s="110"/>
      <c r="U849" s="110"/>
      <c r="V849" s="110"/>
      <c r="W849" s="110"/>
      <c r="X849" s="110"/>
      <c r="Y849" s="110"/>
      <c r="Z849" s="110"/>
      <c r="AA849" s="110"/>
      <c r="AB849" s="110"/>
      <c r="AC849" s="110"/>
      <c r="AD849" s="110"/>
      <c r="AE849" s="110"/>
      <c r="AF849" s="110"/>
      <c r="AG849" s="110"/>
      <c r="AH849" s="110"/>
      <c r="AI849">
        <v>0.97099999999999997</v>
      </c>
      <c r="AJ849">
        <v>36.799999999999997</v>
      </c>
      <c r="AK849" t="s">
        <v>172</v>
      </c>
      <c r="AL849"/>
      <c r="AM849"/>
      <c r="AN849">
        <v>106</v>
      </c>
      <c r="AO849"/>
      <c r="AP849"/>
      <c r="AQ849"/>
      <c r="AR849"/>
      <c r="AS849"/>
      <c r="AT849" t="s">
        <v>146</v>
      </c>
      <c r="AU849" t="s">
        <v>358</v>
      </c>
    </row>
    <row r="850" spans="1:47" x14ac:dyDescent="0.2">
      <c r="A850" s="29">
        <v>855.00000000000045</v>
      </c>
      <c r="B850" s="17" t="s">
        <v>437</v>
      </c>
      <c r="C850">
        <v>22.849</v>
      </c>
      <c r="D850" s="74" t="s">
        <v>179</v>
      </c>
      <c r="E850" t="s">
        <v>180</v>
      </c>
      <c r="F850" t="s">
        <v>181</v>
      </c>
      <c r="G850">
        <v>259</v>
      </c>
      <c r="H850">
        <v>259</v>
      </c>
      <c r="I850" s="56">
        <v>44865</v>
      </c>
      <c r="J850" s="17" t="s">
        <v>238</v>
      </c>
      <c r="K850" s="17" t="s">
        <v>235</v>
      </c>
      <c r="L850">
        <v>265</v>
      </c>
      <c r="M850"/>
      <c r="N850" s="88">
        <v>262.5</v>
      </c>
      <c r="O850" s="110"/>
      <c r="P850" s="110"/>
      <c r="Q850" s="110"/>
      <c r="R850" s="110"/>
      <c r="S850" s="110"/>
      <c r="T850" s="110"/>
      <c r="U850" s="110"/>
      <c r="V850" s="110"/>
      <c r="W850" s="110"/>
      <c r="X850" s="110"/>
      <c r="Y850" s="110"/>
      <c r="Z850" s="110"/>
      <c r="AA850" s="110"/>
      <c r="AB850" s="110"/>
      <c r="AC850" s="110"/>
      <c r="AD850" s="110"/>
      <c r="AE850" s="110"/>
      <c r="AF850" s="110"/>
      <c r="AG850" s="110"/>
      <c r="AH850" s="110"/>
      <c r="AI850">
        <v>0.99299999999999999</v>
      </c>
      <c r="AJ850">
        <v>37.1</v>
      </c>
      <c r="AK850" t="s">
        <v>172</v>
      </c>
      <c r="AL850"/>
      <c r="AM850"/>
      <c r="AN850">
        <v>113</v>
      </c>
      <c r="AO850"/>
      <c r="AP850"/>
      <c r="AQ850"/>
      <c r="AR850"/>
      <c r="AS850"/>
      <c r="AT850" t="s">
        <v>146</v>
      </c>
      <c r="AU850" t="s">
        <v>358</v>
      </c>
    </row>
    <row r="851" spans="1:47" x14ac:dyDescent="0.2">
      <c r="A851" s="29">
        <v>856.00000000000159</v>
      </c>
      <c r="B851" s="17" t="s">
        <v>438</v>
      </c>
      <c r="C851" s="5" t="s">
        <v>439</v>
      </c>
      <c r="D851" s="74" t="s">
        <v>179</v>
      </c>
      <c r="E851" t="s">
        <v>180</v>
      </c>
      <c r="F851" t="s">
        <v>181</v>
      </c>
      <c r="G851"/>
      <c r="H851" t="s">
        <v>268</v>
      </c>
      <c r="I851" s="56">
        <v>44868</v>
      </c>
      <c r="J851" s="17" t="s">
        <v>238</v>
      </c>
      <c r="K851" s="17" t="s">
        <v>235</v>
      </c>
      <c r="L851">
        <v>260</v>
      </c>
      <c r="M851"/>
      <c r="N851" s="88">
        <v>264.60000000000002</v>
      </c>
      <c r="O851" s="110"/>
      <c r="P851" s="110"/>
      <c r="Q851" s="110"/>
      <c r="R851" s="110"/>
      <c r="S851" s="110"/>
      <c r="T851" s="110"/>
      <c r="U851" s="110"/>
      <c r="V851" s="110"/>
      <c r="W851" s="110"/>
      <c r="X851" s="110"/>
      <c r="Y851" s="110"/>
      <c r="Z851" s="110"/>
      <c r="AA851" s="110"/>
      <c r="AB851" s="110"/>
      <c r="AC851" s="110"/>
      <c r="AD851" s="110"/>
      <c r="AE851" s="110"/>
      <c r="AF851" s="110"/>
      <c r="AG851" s="110"/>
      <c r="AH851" s="110"/>
      <c r="AI851">
        <v>1.032</v>
      </c>
      <c r="AJ851">
        <v>41.6</v>
      </c>
      <c r="AK851" t="s">
        <v>173</v>
      </c>
      <c r="AL851">
        <v>34</v>
      </c>
      <c r="AM851">
        <v>65</v>
      </c>
      <c r="AN851"/>
      <c r="AO851"/>
      <c r="AP851"/>
      <c r="AQ851"/>
      <c r="AR851"/>
      <c r="AS851"/>
      <c r="AT851" t="s">
        <v>146</v>
      </c>
      <c r="AU851" t="s">
        <v>358</v>
      </c>
    </row>
    <row r="852" spans="1:47" x14ac:dyDescent="0.2">
      <c r="A852" s="29">
        <v>856.99999999999932</v>
      </c>
      <c r="B852" s="17">
        <v>201</v>
      </c>
      <c r="C852" s="5" t="s">
        <v>440</v>
      </c>
      <c r="D852" s="31" t="s">
        <v>140</v>
      </c>
      <c r="E852" s="3" t="s">
        <v>141</v>
      </c>
      <c r="F852" s="3" t="s">
        <v>61</v>
      </c>
      <c r="H852" s="3" t="s">
        <v>61</v>
      </c>
      <c r="I852" s="68">
        <v>44886</v>
      </c>
      <c r="J852" s="3" t="s">
        <v>142</v>
      </c>
      <c r="K852" s="3" t="s">
        <v>203</v>
      </c>
      <c r="L852"/>
      <c r="M852" s="17">
        <v>185.2</v>
      </c>
      <c r="N852" s="88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</row>
    <row r="853" spans="1:47" x14ac:dyDescent="0.2">
      <c r="A853" s="29">
        <v>858.00000000000057</v>
      </c>
      <c r="B853" s="3">
        <v>474</v>
      </c>
      <c r="C853" s="3">
        <v>22.852</v>
      </c>
      <c r="D853" s="78" t="s">
        <v>168</v>
      </c>
      <c r="E853" s="3" t="s">
        <v>169</v>
      </c>
      <c r="F853" s="3" t="s">
        <v>170</v>
      </c>
      <c r="H853" s="18" t="s">
        <v>177</v>
      </c>
      <c r="I853" s="68">
        <v>44831</v>
      </c>
      <c r="J853" s="3" t="s">
        <v>142</v>
      </c>
      <c r="K853" s="3" t="s">
        <v>204</v>
      </c>
      <c r="N853" s="3">
        <v>300.88</v>
      </c>
      <c r="AI853" s="3">
        <v>1.091</v>
      </c>
      <c r="AJ853" s="3">
        <v>60.01</v>
      </c>
      <c r="AK853" s="3" t="s">
        <v>173</v>
      </c>
      <c r="AT853" s="3" t="s">
        <v>146</v>
      </c>
    </row>
    <row r="854" spans="1:47" x14ac:dyDescent="0.2">
      <c r="A854" s="29">
        <v>859.00000000000182</v>
      </c>
      <c r="B854" s="17">
        <v>64</v>
      </c>
      <c r="C854">
        <v>22.853000000000002</v>
      </c>
      <c r="D854" s="83" t="s">
        <v>200</v>
      </c>
      <c r="E854" t="s">
        <v>201</v>
      </c>
      <c r="F854" s="59">
        <v>242</v>
      </c>
      <c r="H854" s="59">
        <v>242</v>
      </c>
      <c r="I854" s="56">
        <v>44867</v>
      </c>
      <c r="J854" s="17" t="s">
        <v>142</v>
      </c>
      <c r="K854" s="17" t="s">
        <v>166</v>
      </c>
      <c r="L854"/>
      <c r="M854" s="17">
        <v>226</v>
      </c>
      <c r="N854" s="88">
        <v>226.55</v>
      </c>
      <c r="O854">
        <v>184.24</v>
      </c>
      <c r="P854">
        <v>210.21</v>
      </c>
      <c r="Q854">
        <v>44.84</v>
      </c>
      <c r="R854">
        <v>33.659999999999997</v>
      </c>
      <c r="S854">
        <v>125.63</v>
      </c>
      <c r="T854">
        <v>102.62</v>
      </c>
      <c r="U854">
        <v>63.88</v>
      </c>
      <c r="V854">
        <v>51.78</v>
      </c>
      <c r="W854">
        <v>68.34</v>
      </c>
      <c r="X854">
        <v>81.86</v>
      </c>
      <c r="Y854">
        <v>37.28</v>
      </c>
      <c r="Z854">
        <v>91.56</v>
      </c>
      <c r="AA854">
        <v>69.709999999999994</v>
      </c>
      <c r="AB854">
        <v>74.260000000000005</v>
      </c>
      <c r="AC854">
        <v>23.59</v>
      </c>
      <c r="AD854">
        <v>47.69</v>
      </c>
      <c r="AE854">
        <v>30.09</v>
      </c>
      <c r="AF854">
        <v>39.29</v>
      </c>
      <c r="AG854">
        <v>36.57</v>
      </c>
      <c r="AH854">
        <v>44.15</v>
      </c>
      <c r="AI854">
        <v>1.5409999999999999</v>
      </c>
      <c r="AJ854"/>
      <c r="AK854"/>
      <c r="AL854">
        <v>58</v>
      </c>
      <c r="AM854"/>
      <c r="AN854"/>
      <c r="AO854">
        <v>13.68</v>
      </c>
      <c r="AP854">
        <v>77.73</v>
      </c>
      <c r="AQ854">
        <v>21.77</v>
      </c>
      <c r="AR854">
        <v>50.55</v>
      </c>
      <c r="AS854">
        <v>25.04</v>
      </c>
      <c r="AT854" t="s">
        <v>146</v>
      </c>
      <c r="AU854" t="s">
        <v>147</v>
      </c>
    </row>
    <row r="855" spans="1:47" x14ac:dyDescent="0.2">
      <c r="A855" s="29">
        <v>859.99999999999943</v>
      </c>
      <c r="B855" s="17">
        <v>70</v>
      </c>
      <c r="C855">
        <v>22.853999999999999</v>
      </c>
      <c r="D855" s="83" t="s">
        <v>200</v>
      </c>
      <c r="E855" t="s">
        <v>201</v>
      </c>
      <c r="F855" s="59">
        <v>242</v>
      </c>
      <c r="H855" s="59">
        <v>242</v>
      </c>
      <c r="I855" s="56">
        <v>44886</v>
      </c>
      <c r="J855" s="17" t="s">
        <v>142</v>
      </c>
      <c r="K855" s="17" t="s">
        <v>166</v>
      </c>
      <c r="L855"/>
      <c r="M855" s="59">
        <v>223</v>
      </c>
      <c r="N855" s="112"/>
      <c r="O855">
        <v>172.85</v>
      </c>
      <c r="P855">
        <v>199.98</v>
      </c>
      <c r="Q855">
        <v>33.92</v>
      </c>
      <c r="R855">
        <v>27.29</v>
      </c>
      <c r="S855">
        <v>125.95</v>
      </c>
      <c r="T855">
        <v>100.57</v>
      </c>
      <c r="U855">
        <v>63.95</v>
      </c>
      <c r="V855">
        <v>49.61</v>
      </c>
      <c r="W855">
        <v>73.52</v>
      </c>
      <c r="X855">
        <v>90.41</v>
      </c>
      <c r="Y855">
        <v>37.51</v>
      </c>
      <c r="Z855">
        <v>99.67</v>
      </c>
      <c r="AA855">
        <v>73.83</v>
      </c>
      <c r="AB855">
        <v>85.34</v>
      </c>
      <c r="AC855">
        <v>32.9</v>
      </c>
      <c r="AD855">
        <v>42.2</v>
      </c>
      <c r="AE855">
        <v>24.77</v>
      </c>
      <c r="AF855">
        <v>36.130000000000003</v>
      </c>
      <c r="AG855">
        <v>41.8</v>
      </c>
      <c r="AH855">
        <v>43.45</v>
      </c>
      <c r="AI855">
        <v>1.504</v>
      </c>
      <c r="AJ855"/>
      <c r="AK855"/>
      <c r="AL855">
        <v>28</v>
      </c>
      <c r="AM855"/>
      <c r="AN855"/>
      <c r="AO855">
        <f>19.52-9.52</f>
        <v>10</v>
      </c>
      <c r="AP855">
        <f>89.99-10.59</f>
        <v>79.399999999999991</v>
      </c>
      <c r="AQ855">
        <f>56.92-6.35</f>
        <v>50.57</v>
      </c>
      <c r="AR855">
        <v>50.14</v>
      </c>
      <c r="AS855">
        <v>24.71</v>
      </c>
      <c r="AT855" t="s">
        <v>146</v>
      </c>
      <c r="AU855" t="s">
        <v>147</v>
      </c>
    </row>
    <row r="856" spans="1:47" x14ac:dyDescent="0.2">
      <c r="A856" s="29">
        <v>861.00000000000068</v>
      </c>
      <c r="B856" s="17">
        <v>69</v>
      </c>
      <c r="C856">
        <v>22.855</v>
      </c>
      <c r="D856" s="83" t="s">
        <v>200</v>
      </c>
      <c r="E856" t="s">
        <v>201</v>
      </c>
      <c r="F856" s="59">
        <v>242</v>
      </c>
      <c r="H856" s="59">
        <v>242</v>
      </c>
      <c r="I856" s="56">
        <v>44883</v>
      </c>
      <c r="J856" s="17" t="s">
        <v>142</v>
      </c>
      <c r="K856" s="17" t="s">
        <v>166</v>
      </c>
      <c r="L856"/>
      <c r="M856" s="59">
        <v>236</v>
      </c>
      <c r="N856" s="88">
        <v>235.72</v>
      </c>
      <c r="O856">
        <v>202.22</v>
      </c>
      <c r="P856">
        <v>224.66</v>
      </c>
      <c r="Q856">
        <v>40.520000000000003</v>
      </c>
      <c r="R856">
        <v>34.53</v>
      </c>
      <c r="S856">
        <v>138.13999999999999</v>
      </c>
      <c r="T856">
        <v>107.09</v>
      </c>
      <c r="U856">
        <v>62.89</v>
      </c>
      <c r="V856">
        <v>52.17</v>
      </c>
      <c r="W856">
        <v>74.650000000000006</v>
      </c>
      <c r="X856">
        <v>88.37</v>
      </c>
      <c r="Y856">
        <v>37.18</v>
      </c>
      <c r="Z856">
        <v>100.14</v>
      </c>
      <c r="AA856">
        <v>72.260000000000005</v>
      </c>
      <c r="AB856">
        <v>85.36</v>
      </c>
      <c r="AC856">
        <v>35</v>
      </c>
      <c r="AD856">
        <v>44.16</v>
      </c>
      <c r="AE856">
        <v>41.02</v>
      </c>
      <c r="AF856">
        <v>39.61</v>
      </c>
      <c r="AG856">
        <v>43.61</v>
      </c>
      <c r="AH856">
        <v>40.01</v>
      </c>
      <c r="AI856">
        <v>1.635</v>
      </c>
      <c r="AJ856"/>
      <c r="AK856"/>
      <c r="AL856">
        <v>49</v>
      </c>
      <c r="AM856"/>
      <c r="AN856"/>
      <c r="AO856">
        <f>23.04-9.41</f>
        <v>13.629999999999999</v>
      </c>
      <c r="AP856">
        <f>106.28-10.81</f>
        <v>95.47</v>
      </c>
      <c r="AQ856">
        <f>21-6.16</f>
        <v>14.84</v>
      </c>
      <c r="AR856">
        <f>53.1+1.28</f>
        <v>54.38</v>
      </c>
      <c r="AS856">
        <v>26.69</v>
      </c>
      <c r="AT856" t="s">
        <v>146</v>
      </c>
      <c r="AU856" t="s">
        <v>147</v>
      </c>
    </row>
    <row r="857" spans="1:47" x14ac:dyDescent="0.2">
      <c r="A857" s="29">
        <v>861.99999999999829</v>
      </c>
      <c r="B857" s="17">
        <v>62</v>
      </c>
      <c r="C857">
        <v>22.856000000000002</v>
      </c>
      <c r="D857" s="83" t="s">
        <v>200</v>
      </c>
      <c r="E857" t="s">
        <v>201</v>
      </c>
      <c r="F857" s="59">
        <v>242</v>
      </c>
      <c r="H857" s="59">
        <v>242</v>
      </c>
      <c r="I857" s="56">
        <v>44865</v>
      </c>
      <c r="J857" s="17" t="s">
        <v>142</v>
      </c>
      <c r="K857" s="17" t="s">
        <v>166</v>
      </c>
      <c r="L857"/>
      <c r="M857">
        <v>219</v>
      </c>
      <c r="N857" s="88">
        <v>219.32</v>
      </c>
      <c r="O857">
        <v>193.87</v>
      </c>
      <c r="P857">
        <v>209.93</v>
      </c>
      <c r="Q857">
        <v>41.01</v>
      </c>
      <c r="R857">
        <v>26.54</v>
      </c>
      <c r="S857">
        <v>129.59</v>
      </c>
      <c r="T857">
        <v>102.01</v>
      </c>
      <c r="U857">
        <v>65.22</v>
      </c>
      <c r="V857">
        <v>54.32</v>
      </c>
      <c r="W857">
        <v>77.540000000000006</v>
      </c>
      <c r="X857">
        <v>92.6</v>
      </c>
      <c r="Y857">
        <v>38.25</v>
      </c>
      <c r="Z857">
        <v>101.58</v>
      </c>
      <c r="AA857">
        <v>74.55</v>
      </c>
      <c r="AB857">
        <v>82.73</v>
      </c>
      <c r="AC857">
        <v>25.59</v>
      </c>
      <c r="AD857">
        <v>41.69</v>
      </c>
      <c r="AE857">
        <v>31.88</v>
      </c>
      <c r="AF857">
        <v>36.06</v>
      </c>
      <c r="AG857">
        <v>33.83</v>
      </c>
      <c r="AH857">
        <v>41.27</v>
      </c>
      <c r="AI857">
        <v>1.3080000000000001</v>
      </c>
      <c r="AJ857"/>
      <c r="AK857"/>
      <c r="AL857">
        <v>38</v>
      </c>
      <c r="AM857"/>
      <c r="AN857"/>
      <c r="AO857">
        <f>22.37-12.06</f>
        <v>10.31</v>
      </c>
      <c r="AP857">
        <f>95.29-12.25</f>
        <v>83.04</v>
      </c>
      <c r="AQ857">
        <f>45.79-12.14</f>
        <v>33.65</v>
      </c>
      <c r="AR857">
        <v>48.82</v>
      </c>
      <c r="AS857">
        <v>23.27</v>
      </c>
      <c r="AT857" t="s">
        <v>147</v>
      </c>
      <c r="AU857" t="s">
        <v>147</v>
      </c>
    </row>
    <row r="858" spans="1:47" x14ac:dyDescent="0.2">
      <c r="A858" s="29">
        <v>862.99999999999955</v>
      </c>
      <c r="B858" s="17">
        <v>58</v>
      </c>
      <c r="C858">
        <v>22.856999999999999</v>
      </c>
      <c r="D858" s="83" t="s">
        <v>200</v>
      </c>
      <c r="E858" t="s">
        <v>201</v>
      </c>
      <c r="F858" s="59">
        <v>242</v>
      </c>
      <c r="H858" s="59">
        <v>242</v>
      </c>
      <c r="I858" s="113">
        <v>44857</v>
      </c>
      <c r="J858" s="17" t="s">
        <v>142</v>
      </c>
      <c r="K858" s="17" t="s">
        <v>166</v>
      </c>
      <c r="L858"/>
      <c r="M858">
        <v>234</v>
      </c>
      <c r="N858" s="88">
        <v>234.44</v>
      </c>
      <c r="O858">
        <v>193.48</v>
      </c>
      <c r="P858">
        <v>220.02</v>
      </c>
      <c r="Q858">
        <v>38.99</v>
      </c>
      <c r="R858">
        <v>33.950000000000003</v>
      </c>
      <c r="S858">
        <v>130.12</v>
      </c>
      <c r="T858">
        <v>104.2</v>
      </c>
      <c r="U858">
        <v>66.33</v>
      </c>
      <c r="V858">
        <v>52.24</v>
      </c>
      <c r="W858">
        <v>75.63</v>
      </c>
      <c r="X858">
        <v>90.9</v>
      </c>
      <c r="Y858">
        <v>38.39</v>
      </c>
      <c r="Z858">
        <v>99.65</v>
      </c>
      <c r="AA858">
        <v>74.44</v>
      </c>
      <c r="AB858">
        <v>85.09</v>
      </c>
      <c r="AC858">
        <v>24.79</v>
      </c>
      <c r="AD858">
        <v>44.17</v>
      </c>
      <c r="AE858">
        <v>28.8</v>
      </c>
      <c r="AF858">
        <v>38.65</v>
      </c>
      <c r="AG858">
        <v>41.22</v>
      </c>
      <c r="AH858">
        <v>45.45</v>
      </c>
      <c r="AI858">
        <v>1.153</v>
      </c>
      <c r="AJ858"/>
      <c r="AK858"/>
      <c r="AL858">
        <v>30</v>
      </c>
      <c r="AM858"/>
      <c r="AN858"/>
      <c r="AO858">
        <f>20.56-12.26</f>
        <v>8.2999999999999989</v>
      </c>
      <c r="AP858">
        <v>96.92</v>
      </c>
      <c r="AQ858">
        <f>55.26-12.46</f>
        <v>42.8</v>
      </c>
      <c r="AR858">
        <v>51.52</v>
      </c>
      <c r="AS858">
        <v>24.86</v>
      </c>
      <c r="AT858" t="s">
        <v>147</v>
      </c>
      <c r="AU858" t="s">
        <v>147</v>
      </c>
    </row>
    <row r="859" spans="1:47" x14ac:dyDescent="0.2">
      <c r="A859" s="29">
        <v>864.0000000000008</v>
      </c>
      <c r="B859" s="17">
        <v>67</v>
      </c>
      <c r="C859">
        <v>22.858000000000001</v>
      </c>
      <c r="D859" s="83" t="s">
        <v>200</v>
      </c>
      <c r="E859" t="s">
        <v>201</v>
      </c>
      <c r="F859" s="59">
        <v>242</v>
      </c>
      <c r="H859" s="59">
        <v>242</v>
      </c>
      <c r="I859" s="56">
        <v>44882</v>
      </c>
      <c r="J859" s="17" t="s">
        <v>142</v>
      </c>
      <c r="K859" s="17" t="s">
        <v>166</v>
      </c>
      <c r="L859"/>
      <c r="M859">
        <v>227</v>
      </c>
      <c r="N859" s="88">
        <v>227.14</v>
      </c>
      <c r="O859">
        <v>195.62</v>
      </c>
      <c r="P859">
        <v>218.46</v>
      </c>
      <c r="Q859">
        <v>37.729999999999997</v>
      </c>
      <c r="R859">
        <v>30.42</v>
      </c>
      <c r="S859">
        <v>134.04</v>
      </c>
      <c r="T859">
        <v>107.02</v>
      </c>
      <c r="U859">
        <v>68.34</v>
      </c>
      <c r="V859">
        <v>53.47</v>
      </c>
      <c r="W859">
        <v>76.510000000000005</v>
      </c>
      <c r="X859">
        <v>89.79</v>
      </c>
      <c r="Y859">
        <v>36.770000000000003</v>
      </c>
      <c r="Z859">
        <v>101.64</v>
      </c>
      <c r="AA859">
        <v>74.69</v>
      </c>
      <c r="AB859">
        <v>85.31</v>
      </c>
      <c r="AC859">
        <v>33.93</v>
      </c>
      <c r="AD859">
        <v>42.05</v>
      </c>
      <c r="AE859">
        <v>32.26</v>
      </c>
      <c r="AF859">
        <v>37.04</v>
      </c>
      <c r="AG859">
        <v>43.76</v>
      </c>
      <c r="AH859">
        <v>40.65</v>
      </c>
      <c r="AI859">
        <v>1.506</v>
      </c>
      <c r="AJ859"/>
      <c r="AK859"/>
      <c r="AL859">
        <v>16.5</v>
      </c>
      <c r="AM859"/>
      <c r="AN859"/>
      <c r="AO859">
        <v>6.21</v>
      </c>
      <c r="AP859">
        <f>92.48-10.5</f>
        <v>81.98</v>
      </c>
      <c r="AQ859">
        <v>57.11</v>
      </c>
      <c r="AR859">
        <f>51.33+1.52</f>
        <v>52.85</v>
      </c>
      <c r="AS859">
        <v>25.12</v>
      </c>
      <c r="AT859" s="11" t="s">
        <v>146</v>
      </c>
      <c r="AU859" t="s">
        <v>147</v>
      </c>
    </row>
    <row r="860" spans="1:47" x14ac:dyDescent="0.2">
      <c r="A860" s="29">
        <v>864.99999999999841</v>
      </c>
      <c r="B860" s="17">
        <v>66</v>
      </c>
      <c r="C860">
        <v>22.859000000000002</v>
      </c>
      <c r="D860" s="83" t="s">
        <v>200</v>
      </c>
      <c r="E860" t="s">
        <v>201</v>
      </c>
      <c r="F860" s="59">
        <v>242</v>
      </c>
      <c r="H860" s="59">
        <v>242</v>
      </c>
      <c r="I860" s="56">
        <v>44876</v>
      </c>
      <c r="J860" s="17" t="s">
        <v>142</v>
      </c>
      <c r="K860" s="17" t="s">
        <v>166</v>
      </c>
      <c r="L860"/>
      <c r="M860">
        <v>230</v>
      </c>
      <c r="N860" s="88">
        <v>230.93</v>
      </c>
      <c r="O860">
        <v>177.45</v>
      </c>
      <c r="P860">
        <v>202.64</v>
      </c>
      <c r="Q860">
        <v>36.33</v>
      </c>
      <c r="R860">
        <v>29.79</v>
      </c>
      <c r="S860">
        <v>129.15</v>
      </c>
      <c r="T860">
        <v>105.12</v>
      </c>
      <c r="U860">
        <v>64.819999999999993</v>
      </c>
      <c r="V860">
        <v>52.93</v>
      </c>
      <c r="W860">
        <v>75.23</v>
      </c>
      <c r="X860">
        <v>85.85</v>
      </c>
      <c r="Y860">
        <v>37.54</v>
      </c>
      <c r="Z860">
        <v>98.77</v>
      </c>
      <c r="AA860">
        <v>74.260000000000005</v>
      </c>
      <c r="AB860">
        <v>82.39</v>
      </c>
      <c r="AC860">
        <v>31.49</v>
      </c>
      <c r="AD860">
        <v>45.26</v>
      </c>
      <c r="AE860">
        <v>29.01</v>
      </c>
      <c r="AF860">
        <v>36.29</v>
      </c>
      <c r="AG860">
        <v>42.79</v>
      </c>
      <c r="AH860">
        <v>39.32</v>
      </c>
      <c r="AI860">
        <v>1.2170000000000001</v>
      </c>
      <c r="AJ860"/>
      <c r="AK860"/>
      <c r="AL860">
        <v>30</v>
      </c>
      <c r="AM860"/>
      <c r="AN860"/>
      <c r="AO860">
        <v>12.73</v>
      </c>
      <c r="AP860">
        <f>105.38-12.5</f>
        <v>92.88</v>
      </c>
      <c r="AQ860">
        <f>59.58-12.5</f>
        <v>47.08</v>
      </c>
      <c r="AR860">
        <v>48.57</v>
      </c>
      <c r="AS860">
        <v>23.11</v>
      </c>
      <c r="AT860" t="s">
        <v>147</v>
      </c>
      <c r="AU860" t="s">
        <v>147</v>
      </c>
    </row>
    <row r="861" spans="1:47" x14ac:dyDescent="0.2">
      <c r="A861" s="29">
        <v>865.99999999999966</v>
      </c>
      <c r="B861" s="17">
        <v>59</v>
      </c>
      <c r="C861" s="5" t="s">
        <v>441</v>
      </c>
      <c r="D861" s="83" t="s">
        <v>200</v>
      </c>
      <c r="E861" t="s">
        <v>201</v>
      </c>
      <c r="F861" s="59">
        <v>242</v>
      </c>
      <c r="H861" s="59">
        <v>242</v>
      </c>
      <c r="I861" s="56">
        <v>44857</v>
      </c>
      <c r="J861" s="17" t="s">
        <v>142</v>
      </c>
      <c r="K861" s="17" t="s">
        <v>166</v>
      </c>
      <c r="L861"/>
      <c r="M861">
        <v>228</v>
      </c>
      <c r="N861" s="88">
        <v>228.76</v>
      </c>
      <c r="O861">
        <v>179.51</v>
      </c>
      <c r="P861">
        <v>203.48</v>
      </c>
      <c r="Q861">
        <v>32</v>
      </c>
      <c r="R861">
        <v>28.41</v>
      </c>
      <c r="S861">
        <v>130.5</v>
      </c>
      <c r="T861">
        <v>103.43</v>
      </c>
      <c r="U861">
        <v>68.48</v>
      </c>
      <c r="V861">
        <v>50.89</v>
      </c>
      <c r="W861">
        <v>74.94</v>
      </c>
      <c r="X861">
        <v>88.27</v>
      </c>
      <c r="Y861">
        <v>37.56</v>
      </c>
      <c r="Z861">
        <v>96.73</v>
      </c>
      <c r="AA861">
        <v>71.67</v>
      </c>
      <c r="AB861">
        <v>83.6</v>
      </c>
      <c r="AC861">
        <v>25.52</v>
      </c>
      <c r="AD861">
        <v>44.1</v>
      </c>
      <c r="AE861">
        <v>27.64</v>
      </c>
      <c r="AF861">
        <v>36.04</v>
      </c>
      <c r="AG861">
        <v>36.43</v>
      </c>
      <c r="AH861">
        <v>40.64</v>
      </c>
      <c r="AI861">
        <v>1.3380000000000001</v>
      </c>
      <c r="AJ861"/>
      <c r="AK861"/>
      <c r="AL861">
        <v>32</v>
      </c>
      <c r="AM861"/>
      <c r="AN861"/>
      <c r="AO861">
        <v>9.25</v>
      </c>
      <c r="AP861">
        <v>78.819999999999993</v>
      </c>
      <c r="AQ861">
        <v>52.76</v>
      </c>
      <c r="AR861">
        <v>48.33</v>
      </c>
      <c r="AS861">
        <v>23.54</v>
      </c>
      <c r="AT861" s="11" t="s">
        <v>146</v>
      </c>
      <c r="AU861" t="s">
        <v>147</v>
      </c>
    </row>
    <row r="862" spans="1:47" x14ac:dyDescent="0.2">
      <c r="A862" s="29">
        <v>867.00000000000091</v>
      </c>
      <c r="B862" s="17">
        <v>57</v>
      </c>
      <c r="C862">
        <v>22.861000000000001</v>
      </c>
      <c r="D862" s="83" t="s">
        <v>200</v>
      </c>
      <c r="E862" t="s">
        <v>201</v>
      </c>
      <c r="F862" s="59">
        <v>242</v>
      </c>
      <c r="H862" s="59">
        <v>242</v>
      </c>
      <c r="I862" s="56">
        <v>44853</v>
      </c>
      <c r="J862" s="17" t="s">
        <v>142</v>
      </c>
      <c r="K862" s="17" t="s">
        <v>166</v>
      </c>
      <c r="L862"/>
      <c r="M862">
        <v>224</v>
      </c>
      <c r="N862" s="88">
        <v>223.31</v>
      </c>
      <c r="O862">
        <v>193.98</v>
      </c>
      <c r="P862">
        <v>206.41</v>
      </c>
      <c r="Q862">
        <v>46.59</v>
      </c>
      <c r="R862">
        <v>33.799999999999997</v>
      </c>
      <c r="S862">
        <v>123.3</v>
      </c>
      <c r="T862">
        <v>99.06</v>
      </c>
      <c r="U862">
        <v>66.180000000000007</v>
      </c>
      <c r="V862">
        <v>51.73</v>
      </c>
      <c r="W862">
        <v>74.569999999999993</v>
      </c>
      <c r="X862">
        <v>87.57</v>
      </c>
      <c r="Y862">
        <v>37.64</v>
      </c>
      <c r="Z862">
        <v>97.28</v>
      </c>
      <c r="AA862">
        <v>73.959999999999994</v>
      </c>
      <c r="AB862">
        <v>80.959999999999994</v>
      </c>
      <c r="AC862">
        <v>24.04</v>
      </c>
      <c r="AD862">
        <v>46.15</v>
      </c>
      <c r="AE862">
        <v>31.16</v>
      </c>
      <c r="AF862">
        <v>42.39</v>
      </c>
      <c r="AG862">
        <v>36.159999999999997</v>
      </c>
      <c r="AH862">
        <v>46.45</v>
      </c>
      <c r="AI862">
        <v>1.2809999999999999</v>
      </c>
      <c r="AJ862"/>
      <c r="AK862"/>
      <c r="AL862">
        <v>59</v>
      </c>
      <c r="AM862"/>
      <c r="AN862"/>
      <c r="AO862">
        <v>10.69</v>
      </c>
      <c r="AP862">
        <v>72.53</v>
      </c>
      <c r="AQ862">
        <v>24.08</v>
      </c>
      <c r="AR862">
        <v>46.85</v>
      </c>
      <c r="AS862">
        <v>23.15</v>
      </c>
      <c r="AT862" s="11" t="s">
        <v>146</v>
      </c>
      <c r="AU862" t="s">
        <v>147</v>
      </c>
    </row>
    <row r="863" spans="1:47" x14ac:dyDescent="0.2">
      <c r="A863" s="29">
        <v>867.99999999999852</v>
      </c>
      <c r="B863" s="17">
        <v>65</v>
      </c>
      <c r="C863">
        <v>22.861999999999998</v>
      </c>
      <c r="D863" s="83" t="s">
        <v>200</v>
      </c>
      <c r="E863" t="s">
        <v>201</v>
      </c>
      <c r="F863" s="59">
        <v>242</v>
      </c>
      <c r="H863" s="59">
        <v>242</v>
      </c>
      <c r="I863" s="56">
        <v>44874</v>
      </c>
      <c r="J863" s="17" t="s">
        <v>142</v>
      </c>
      <c r="K863" s="17" t="s">
        <v>166</v>
      </c>
      <c r="L863"/>
      <c r="M863">
        <v>224</v>
      </c>
      <c r="N863" s="88">
        <v>224.73</v>
      </c>
      <c r="O863">
        <v>198.65</v>
      </c>
      <c r="P863">
        <v>217.07</v>
      </c>
      <c r="Q863">
        <v>47.27</v>
      </c>
      <c r="R863">
        <v>30.46</v>
      </c>
      <c r="S863">
        <v>131.38</v>
      </c>
      <c r="T863">
        <v>103.81</v>
      </c>
      <c r="U863">
        <v>61.36</v>
      </c>
      <c r="V863">
        <v>52.35</v>
      </c>
      <c r="W863">
        <v>69.849999999999994</v>
      </c>
      <c r="X863">
        <v>82.08</v>
      </c>
      <c r="Y863">
        <v>37.380000000000003</v>
      </c>
      <c r="Z863">
        <v>94.48</v>
      </c>
      <c r="AA863">
        <v>69.94</v>
      </c>
      <c r="AB863">
        <v>77.83</v>
      </c>
      <c r="AC863">
        <v>27.29</v>
      </c>
      <c r="AD863">
        <v>44.72</v>
      </c>
      <c r="AE863">
        <v>26.67</v>
      </c>
      <c r="AF863">
        <v>36.43</v>
      </c>
      <c r="AG863">
        <v>36.380000000000003</v>
      </c>
      <c r="AH863">
        <v>40.93</v>
      </c>
      <c r="AI863">
        <v>1.56</v>
      </c>
      <c r="AJ863"/>
      <c r="AK863"/>
      <c r="AL863">
        <v>55</v>
      </c>
      <c r="AM863"/>
      <c r="AN863"/>
      <c r="AO863">
        <v>13.17</v>
      </c>
      <c r="AP863">
        <v>55.62</v>
      </c>
      <c r="AQ863">
        <v>42.22</v>
      </c>
      <c r="AR863">
        <v>52.77</v>
      </c>
      <c r="AS863">
        <v>25.08</v>
      </c>
      <c r="AT863" s="11" t="s">
        <v>146</v>
      </c>
      <c r="AU863" t="s">
        <v>147</v>
      </c>
    </row>
    <row r="864" spans="1:47" x14ac:dyDescent="0.2">
      <c r="A864" s="29">
        <v>868.99999999999977</v>
      </c>
      <c r="B864" s="17">
        <v>73</v>
      </c>
      <c r="C864">
        <v>22.863</v>
      </c>
      <c r="D864" s="83" t="s">
        <v>200</v>
      </c>
      <c r="E864" t="s">
        <v>201</v>
      </c>
      <c r="F864" s="59">
        <v>242</v>
      </c>
      <c r="H864" s="59">
        <v>242</v>
      </c>
      <c r="I864" s="56">
        <v>44892</v>
      </c>
      <c r="J864" s="17" t="s">
        <v>142</v>
      </c>
      <c r="K864" s="17" t="s">
        <v>166</v>
      </c>
      <c r="L864"/>
      <c r="M864">
        <v>225</v>
      </c>
      <c r="N864" s="88">
        <v>224.11</v>
      </c>
      <c r="O864">
        <v>187.62</v>
      </c>
      <c r="P864">
        <v>215.65</v>
      </c>
      <c r="Q864">
        <v>38.090000000000003</v>
      </c>
      <c r="R864">
        <v>34.35</v>
      </c>
      <c r="S864">
        <v>133.62</v>
      </c>
      <c r="T864">
        <v>108.06</v>
      </c>
      <c r="U864">
        <v>64.7</v>
      </c>
      <c r="V864">
        <v>52.88</v>
      </c>
      <c r="W864">
        <v>71.23</v>
      </c>
      <c r="X864">
        <v>85.28</v>
      </c>
      <c r="Y864">
        <v>38.81</v>
      </c>
      <c r="Z864">
        <v>99.86</v>
      </c>
      <c r="AA864">
        <v>72.98</v>
      </c>
      <c r="AB864">
        <v>83.2</v>
      </c>
      <c r="AC864">
        <v>34.01</v>
      </c>
      <c r="AD864">
        <v>43.05</v>
      </c>
      <c r="AE864">
        <v>31.34</v>
      </c>
      <c r="AF864">
        <v>37.35</v>
      </c>
      <c r="AG864">
        <v>41.78</v>
      </c>
      <c r="AH864">
        <v>43.92</v>
      </c>
      <c r="AI864">
        <v>1.4279999999999999</v>
      </c>
      <c r="AJ864"/>
      <c r="AK864"/>
      <c r="AL864">
        <v>18</v>
      </c>
      <c r="AM864"/>
      <c r="AN864"/>
      <c r="AO864">
        <v>10.94</v>
      </c>
      <c r="AP864">
        <v>93.39</v>
      </c>
      <c r="AQ864">
        <v>46.56</v>
      </c>
      <c r="AR864">
        <v>51.63</v>
      </c>
      <c r="AS864">
        <v>25.52</v>
      </c>
      <c r="AT864" s="11" t="s">
        <v>147</v>
      </c>
      <c r="AU864" t="s">
        <v>147</v>
      </c>
    </row>
    <row r="865" spans="1:47" x14ac:dyDescent="0.2">
      <c r="A865" s="29">
        <v>870.00000000000102</v>
      </c>
      <c r="B865" s="17">
        <v>68</v>
      </c>
      <c r="C865">
        <v>22.864000000000001</v>
      </c>
      <c r="D865" s="83" t="s">
        <v>200</v>
      </c>
      <c r="E865" t="s">
        <v>201</v>
      </c>
      <c r="F865" s="59">
        <v>242</v>
      </c>
      <c r="H865" s="59">
        <v>242</v>
      </c>
      <c r="I865" s="56">
        <v>44883</v>
      </c>
      <c r="J865" s="17" t="s">
        <v>142</v>
      </c>
      <c r="K865" s="17" t="s">
        <v>166</v>
      </c>
      <c r="L865"/>
      <c r="M865">
        <v>237</v>
      </c>
      <c r="N865" s="88">
        <v>234.39</v>
      </c>
      <c r="O865">
        <v>189.59</v>
      </c>
      <c r="P865">
        <v>206.41</v>
      </c>
      <c r="Q865">
        <v>40.96</v>
      </c>
      <c r="R865">
        <v>26.48</v>
      </c>
      <c r="S865">
        <v>134.25</v>
      </c>
      <c r="T865">
        <v>107.87</v>
      </c>
      <c r="U865">
        <v>64.98</v>
      </c>
      <c r="V865">
        <v>51.43</v>
      </c>
      <c r="W865">
        <v>69.97</v>
      </c>
      <c r="X865">
        <v>83.88</v>
      </c>
      <c r="Y865">
        <v>36.39</v>
      </c>
      <c r="Z865">
        <v>96.19</v>
      </c>
      <c r="AA865">
        <v>71.260000000000005</v>
      </c>
      <c r="AB865">
        <v>79.77</v>
      </c>
      <c r="AC865">
        <v>32.369999999999997</v>
      </c>
      <c r="AD865">
        <v>46.39</v>
      </c>
      <c r="AE865">
        <v>29.32</v>
      </c>
      <c r="AF865">
        <v>35.770000000000003</v>
      </c>
      <c r="AG865">
        <v>30.53</v>
      </c>
      <c r="AH865">
        <v>42.1</v>
      </c>
      <c r="AI865">
        <v>1.492</v>
      </c>
      <c r="AJ865"/>
      <c r="AK865"/>
      <c r="AL865">
        <v>48</v>
      </c>
      <c r="AM865"/>
      <c r="AN865"/>
      <c r="AO865">
        <f>19.59-11.78</f>
        <v>7.8100000000000005</v>
      </c>
      <c r="AP865">
        <v>90.2</v>
      </c>
      <c r="AQ865">
        <v>34.409999999999997</v>
      </c>
      <c r="AR865">
        <v>50.29</v>
      </c>
      <c r="AS865">
        <v>24.83</v>
      </c>
      <c r="AT865" s="11" t="s">
        <v>147</v>
      </c>
      <c r="AU865" t="s">
        <v>147</v>
      </c>
    </row>
    <row r="866" spans="1:47" x14ac:dyDescent="0.2">
      <c r="A866" s="29">
        <v>870.99999999999864</v>
      </c>
      <c r="B866" s="17">
        <v>71</v>
      </c>
      <c r="C866">
        <v>22.864999999999998</v>
      </c>
      <c r="D866" s="83" t="s">
        <v>200</v>
      </c>
      <c r="E866" t="s">
        <v>201</v>
      </c>
      <c r="F866" s="59">
        <v>242</v>
      </c>
      <c r="H866" s="59">
        <v>242</v>
      </c>
      <c r="I866" s="56">
        <v>44892</v>
      </c>
      <c r="J866" s="17" t="s">
        <v>142</v>
      </c>
      <c r="K866" s="17" t="s">
        <v>166</v>
      </c>
      <c r="L866"/>
      <c r="M866">
        <v>240</v>
      </c>
      <c r="N866" s="88">
        <v>237</v>
      </c>
      <c r="O866">
        <v>193.7</v>
      </c>
      <c r="P866">
        <v>224</v>
      </c>
      <c r="Q866">
        <v>38.49</v>
      </c>
      <c r="R866">
        <v>30.96</v>
      </c>
      <c r="S866">
        <v>133.41999999999999</v>
      </c>
      <c r="T866">
        <v>105.58</v>
      </c>
      <c r="U866">
        <v>66.53</v>
      </c>
      <c r="V866">
        <v>52.33</v>
      </c>
      <c r="W866">
        <v>76.87</v>
      </c>
      <c r="X866">
        <v>91.49</v>
      </c>
      <c r="Y866">
        <v>38.49</v>
      </c>
      <c r="Z866">
        <v>101.4</v>
      </c>
      <c r="AA866">
        <v>75.86</v>
      </c>
      <c r="AB866">
        <v>84.97</v>
      </c>
      <c r="AC866">
        <v>31.3</v>
      </c>
      <c r="AD866">
        <v>44.3</v>
      </c>
      <c r="AE866">
        <v>34.799999999999997</v>
      </c>
      <c r="AF866">
        <v>39.14</v>
      </c>
      <c r="AG866">
        <v>46</v>
      </c>
      <c r="AH866">
        <v>43.54</v>
      </c>
      <c r="AI866">
        <v>1.37</v>
      </c>
      <c r="AJ866"/>
      <c r="AK866"/>
      <c r="AL866">
        <v>28</v>
      </c>
      <c r="AM866"/>
      <c r="AN866"/>
      <c r="AO866">
        <v>9.81</v>
      </c>
      <c r="AP866">
        <f>112.84-12.27</f>
        <v>100.57000000000001</v>
      </c>
      <c r="AQ866">
        <v>42.16</v>
      </c>
      <c r="AR866">
        <v>53.54</v>
      </c>
      <c r="AS866">
        <v>26.34</v>
      </c>
      <c r="AT866" s="11" t="s">
        <v>147</v>
      </c>
      <c r="AU866" t="s">
        <v>147</v>
      </c>
    </row>
    <row r="867" spans="1:47" x14ac:dyDescent="0.2">
      <c r="A867" s="29">
        <v>871.99999999999989</v>
      </c>
      <c r="B867" s="17">
        <v>56</v>
      </c>
      <c r="C867">
        <v>22.866</v>
      </c>
      <c r="D867" s="83" t="s">
        <v>200</v>
      </c>
      <c r="E867" t="s">
        <v>201</v>
      </c>
      <c r="F867" s="59">
        <v>242</v>
      </c>
      <c r="H867" s="59">
        <v>242</v>
      </c>
      <c r="I867" s="56">
        <v>44846</v>
      </c>
      <c r="J867" s="17" t="s">
        <v>142</v>
      </c>
      <c r="K867" s="17" t="s">
        <v>166</v>
      </c>
      <c r="L867"/>
      <c r="M867">
        <v>243</v>
      </c>
      <c r="N867" s="88">
        <v>240.07</v>
      </c>
      <c r="O867">
        <v>198.35</v>
      </c>
      <c r="P867">
        <v>221.91</v>
      </c>
      <c r="Q867">
        <v>40.5</v>
      </c>
      <c r="R867">
        <v>31.1</v>
      </c>
      <c r="S867">
        <v>139.94</v>
      </c>
      <c r="T867">
        <v>111.43</v>
      </c>
      <c r="U867">
        <v>62.49</v>
      </c>
      <c r="V867">
        <v>49.05</v>
      </c>
      <c r="W867">
        <v>67.28</v>
      </c>
      <c r="X867">
        <v>81.709999999999994</v>
      </c>
      <c r="Y867">
        <v>38.479999999999997</v>
      </c>
      <c r="Z867">
        <v>89.64</v>
      </c>
      <c r="AA867">
        <v>68.02</v>
      </c>
      <c r="AB867">
        <v>72.47</v>
      </c>
      <c r="AC867">
        <v>27.27</v>
      </c>
      <c r="AD867">
        <v>48.75</v>
      </c>
      <c r="AE867">
        <v>25.78</v>
      </c>
      <c r="AF867">
        <v>34.81</v>
      </c>
      <c r="AG867">
        <v>31.27</v>
      </c>
      <c r="AH867">
        <v>43.19</v>
      </c>
      <c r="AI867">
        <v>1.1659999999999999</v>
      </c>
      <c r="AJ867"/>
      <c r="AK867"/>
      <c r="AL867">
        <v>37</v>
      </c>
      <c r="AM867"/>
      <c r="AN867"/>
      <c r="AO867">
        <f>20.11-12.52</f>
        <v>7.59</v>
      </c>
      <c r="AP867">
        <f>80.39-12.72</f>
        <v>67.67</v>
      </c>
      <c r="AQ867">
        <f>87.55-12.89</f>
        <v>74.66</v>
      </c>
      <c r="AR867">
        <v>49.1</v>
      </c>
      <c r="AS867">
        <v>24.11</v>
      </c>
      <c r="AT867" s="11" t="s">
        <v>147</v>
      </c>
      <c r="AU867" t="s">
        <v>147</v>
      </c>
    </row>
    <row r="868" spans="1:47" x14ac:dyDescent="0.2">
      <c r="A868" s="29">
        <v>872.99999999990166</v>
      </c>
      <c r="B868" s="17">
        <v>72</v>
      </c>
      <c r="C868">
        <v>22.867000000000001</v>
      </c>
      <c r="D868" s="83" t="s">
        <v>200</v>
      </c>
      <c r="E868" t="s">
        <v>201</v>
      </c>
      <c r="F868" s="59">
        <v>242</v>
      </c>
      <c r="H868" s="59">
        <v>242</v>
      </c>
      <c r="I868" s="56">
        <v>44892</v>
      </c>
      <c r="J868" s="17" t="s">
        <v>142</v>
      </c>
      <c r="K868" s="17" t="s">
        <v>166</v>
      </c>
      <c r="L868"/>
      <c r="M868">
        <v>246</v>
      </c>
      <c r="N868" s="88">
        <v>243.39</v>
      </c>
      <c r="O868">
        <v>196.42</v>
      </c>
      <c r="P868">
        <v>229.79</v>
      </c>
      <c r="Q868">
        <v>42.18</v>
      </c>
      <c r="R868">
        <v>35.75</v>
      </c>
      <c r="S868">
        <v>139.58000000000001</v>
      </c>
      <c r="T868">
        <v>111.25</v>
      </c>
      <c r="U868">
        <v>61.51</v>
      </c>
      <c r="V868">
        <v>51.13</v>
      </c>
      <c r="W868">
        <v>71</v>
      </c>
      <c r="X868">
        <v>86.58</v>
      </c>
      <c r="Y868">
        <v>38.840000000000003</v>
      </c>
      <c r="Z868">
        <v>97.41</v>
      </c>
      <c r="AA868">
        <v>73.05</v>
      </c>
      <c r="AB868">
        <v>80.459999999999994</v>
      </c>
      <c r="AC868">
        <v>31.22</v>
      </c>
      <c r="AD868">
        <v>46.14</v>
      </c>
      <c r="AE868">
        <v>34.96</v>
      </c>
      <c r="AF868">
        <v>39.57</v>
      </c>
      <c r="AG868">
        <v>43.27</v>
      </c>
      <c r="AH868">
        <v>43.95</v>
      </c>
      <c r="AI868">
        <v>1.643</v>
      </c>
      <c r="AJ868"/>
      <c r="AK868"/>
      <c r="AL868">
        <v>36</v>
      </c>
      <c r="AM868"/>
      <c r="AN868"/>
      <c r="AO868">
        <f>22.25-9.86</f>
        <v>12.39</v>
      </c>
      <c r="AP868">
        <f>99.23-10.37</f>
        <v>88.86</v>
      </c>
      <c r="AQ868">
        <f>50.44-6.19</f>
        <v>44.25</v>
      </c>
      <c r="AR868">
        <v>58.29</v>
      </c>
      <c r="AS868">
        <v>28.68</v>
      </c>
      <c r="AT868" s="11" t="s">
        <v>146</v>
      </c>
      <c r="AU868" t="s">
        <v>147</v>
      </c>
    </row>
    <row r="869" spans="1:47" x14ac:dyDescent="0.2">
      <c r="A869" s="29">
        <v>873.99999999999875</v>
      </c>
      <c r="B869" s="17">
        <v>60</v>
      </c>
      <c r="C869">
        <v>22.867999999999999</v>
      </c>
      <c r="D869" s="83" t="s">
        <v>200</v>
      </c>
      <c r="E869" t="s">
        <v>201</v>
      </c>
      <c r="F869" s="59">
        <v>242</v>
      </c>
      <c r="H869" s="59">
        <v>242</v>
      </c>
      <c r="I869" s="56">
        <v>44864</v>
      </c>
      <c r="J869" s="17" t="s">
        <v>142</v>
      </c>
      <c r="K869" s="17" t="s">
        <v>166</v>
      </c>
      <c r="L869"/>
      <c r="M869" s="59">
        <v>235</v>
      </c>
      <c r="N869" s="88">
        <v>234.39</v>
      </c>
      <c r="O869">
        <v>201.73</v>
      </c>
      <c r="P869">
        <v>219.02</v>
      </c>
      <c r="Q869">
        <v>37.5</v>
      </c>
      <c r="R869">
        <v>33.78</v>
      </c>
      <c r="S869">
        <v>138.78</v>
      </c>
      <c r="T869">
        <v>110.99</v>
      </c>
      <c r="U869">
        <v>64.89</v>
      </c>
      <c r="V869">
        <v>51.49</v>
      </c>
      <c r="W869">
        <v>73.72</v>
      </c>
      <c r="X869">
        <v>88.02</v>
      </c>
      <c r="Y869">
        <v>39.53</v>
      </c>
      <c r="Z869">
        <v>96.85</v>
      </c>
      <c r="AA869">
        <v>72.900000000000006</v>
      </c>
      <c r="AB869">
        <v>81.5</v>
      </c>
      <c r="AC869">
        <v>30.52</v>
      </c>
      <c r="AD869">
        <v>45.89</v>
      </c>
      <c r="AE869">
        <v>29.73</v>
      </c>
      <c r="AF869">
        <v>38.5</v>
      </c>
      <c r="AG869">
        <v>32.94</v>
      </c>
      <c r="AH869">
        <v>44.73</v>
      </c>
      <c r="AI869">
        <v>1.016</v>
      </c>
      <c r="AJ869"/>
      <c r="AK869"/>
      <c r="AL869">
        <v>17</v>
      </c>
      <c r="AM869"/>
      <c r="AN869"/>
      <c r="AO869">
        <f>21.2-12.45</f>
        <v>8.75</v>
      </c>
      <c r="AP869">
        <f>70.07-12.86</f>
        <v>57.209999999999994</v>
      </c>
      <c r="AQ869">
        <f>114.19-13.36</f>
        <v>100.83</v>
      </c>
      <c r="AR869">
        <v>47.09</v>
      </c>
      <c r="AS869">
        <v>23.02</v>
      </c>
      <c r="AT869" s="11" t="s">
        <v>147</v>
      </c>
      <c r="AU869" t="s">
        <v>147</v>
      </c>
    </row>
    <row r="870" spans="1:47" x14ac:dyDescent="0.2">
      <c r="A870" s="29">
        <v>875</v>
      </c>
      <c r="B870" s="17">
        <v>61</v>
      </c>
      <c r="C870">
        <v>22.869</v>
      </c>
      <c r="D870" s="83" t="s">
        <v>200</v>
      </c>
      <c r="E870" t="s">
        <v>201</v>
      </c>
      <c r="F870" s="59">
        <v>242</v>
      </c>
      <c r="H870" s="59">
        <v>242</v>
      </c>
      <c r="I870" s="56">
        <v>44865</v>
      </c>
      <c r="J870" s="17" t="s">
        <v>142</v>
      </c>
      <c r="K870" s="17" t="s">
        <v>166</v>
      </c>
      <c r="L870"/>
      <c r="M870" s="59">
        <v>230</v>
      </c>
      <c r="N870" s="88">
        <v>230.07</v>
      </c>
      <c r="O870">
        <v>188.02</v>
      </c>
      <c r="P870">
        <v>210.28</v>
      </c>
      <c r="Q870">
        <v>36.909999999999997</v>
      </c>
      <c r="R870">
        <v>32.03</v>
      </c>
      <c r="S870">
        <v>131.72999999999999</v>
      </c>
      <c r="T870">
        <v>107.35</v>
      </c>
      <c r="U870">
        <v>63.06</v>
      </c>
      <c r="V870">
        <v>48.77</v>
      </c>
      <c r="W870">
        <v>71.42</v>
      </c>
      <c r="X870">
        <v>82.84</v>
      </c>
      <c r="Y870">
        <v>37.76</v>
      </c>
      <c r="Z870">
        <v>93.31</v>
      </c>
      <c r="AA870">
        <v>68.44</v>
      </c>
      <c r="AB870">
        <v>80.77</v>
      </c>
      <c r="AC870">
        <v>29.88</v>
      </c>
      <c r="AD870">
        <v>45.05</v>
      </c>
      <c r="AE870">
        <v>30.92</v>
      </c>
      <c r="AF870">
        <v>37.200000000000003</v>
      </c>
      <c r="AG870">
        <v>33.549999999999997</v>
      </c>
      <c r="AH870">
        <v>40.4</v>
      </c>
      <c r="AI870">
        <v>1.522</v>
      </c>
      <c r="AJ870"/>
      <c r="AK870"/>
      <c r="AL870">
        <v>21</v>
      </c>
      <c r="AM870"/>
      <c r="AN870"/>
      <c r="AO870">
        <v>10.32</v>
      </c>
      <c r="AP870">
        <f>116.18-11.42</f>
        <v>104.76</v>
      </c>
      <c r="AQ870">
        <v>36.130000000000003</v>
      </c>
      <c r="AR870">
        <v>50.9</v>
      </c>
      <c r="AS870">
        <v>25.65</v>
      </c>
      <c r="AT870" s="11" t="s">
        <v>146</v>
      </c>
      <c r="AU870" t="s">
        <v>147</v>
      </c>
    </row>
    <row r="871" spans="1:47" x14ac:dyDescent="0.2">
      <c r="A871" s="29">
        <v>876.00000000000125</v>
      </c>
      <c r="B871" s="17">
        <v>63</v>
      </c>
      <c r="C871" s="5" t="s">
        <v>442</v>
      </c>
      <c r="D871" s="83" t="s">
        <v>200</v>
      </c>
      <c r="E871" t="s">
        <v>201</v>
      </c>
      <c r="F871" s="59">
        <v>242</v>
      </c>
      <c r="H871" s="59">
        <v>242</v>
      </c>
      <c r="I871" s="56">
        <v>44865</v>
      </c>
      <c r="J871" s="17" t="s">
        <v>142</v>
      </c>
      <c r="K871" s="17" t="s">
        <v>166</v>
      </c>
      <c r="L871"/>
      <c r="M871">
        <v>242</v>
      </c>
      <c r="N871" s="88">
        <v>241.67</v>
      </c>
      <c r="O871">
        <v>196.55</v>
      </c>
      <c r="P871">
        <v>221</v>
      </c>
      <c r="Q871">
        <v>40.1</v>
      </c>
      <c r="R871">
        <v>36.21</v>
      </c>
      <c r="S871">
        <v>134.02000000000001</v>
      </c>
      <c r="T871">
        <v>107.79</v>
      </c>
      <c r="U871">
        <v>62.17</v>
      </c>
      <c r="V871">
        <v>51.04</v>
      </c>
      <c r="W871">
        <v>71.19</v>
      </c>
      <c r="X871">
        <v>84.71</v>
      </c>
      <c r="Y871">
        <v>38</v>
      </c>
      <c r="Z871">
        <v>94.98</v>
      </c>
      <c r="AA871">
        <v>71.2</v>
      </c>
      <c r="AB871">
        <v>76.97</v>
      </c>
      <c r="AC871">
        <v>28.95</v>
      </c>
      <c r="AD871">
        <v>47.22</v>
      </c>
      <c r="AE871">
        <v>31.36</v>
      </c>
      <c r="AF871">
        <v>39.119999999999997</v>
      </c>
      <c r="AG871">
        <v>40.67</v>
      </c>
      <c r="AH871">
        <v>44.1</v>
      </c>
      <c r="AI871">
        <v>1.534</v>
      </c>
      <c r="AJ871"/>
      <c r="AK871"/>
      <c r="AL871">
        <v>47</v>
      </c>
      <c r="AM871"/>
      <c r="AN871"/>
      <c r="AO871">
        <f>21.11-12.46</f>
        <v>8.6499999999999986</v>
      </c>
      <c r="AP871">
        <f>103.51-12.7</f>
        <v>90.81</v>
      </c>
      <c r="AQ871">
        <f>36.12-13.13</f>
        <v>22.989999999999995</v>
      </c>
      <c r="AR871">
        <v>54.51</v>
      </c>
      <c r="AS871">
        <v>27.79</v>
      </c>
      <c r="AT871" s="11" t="s">
        <v>147</v>
      </c>
      <c r="AU871" t="s">
        <v>147</v>
      </c>
    </row>
    <row r="872" spans="1:47" x14ac:dyDescent="0.2">
      <c r="A872" s="29">
        <v>876.99999999999886</v>
      </c>
      <c r="B872" s="17">
        <v>74</v>
      </c>
      <c r="C872">
        <v>22.870999999999999</v>
      </c>
      <c r="D872" s="83" t="s">
        <v>200</v>
      </c>
      <c r="E872" t="s">
        <v>201</v>
      </c>
      <c r="F872" s="59">
        <v>242</v>
      </c>
      <c r="H872" s="59">
        <v>242</v>
      </c>
      <c r="I872" s="113">
        <v>44892</v>
      </c>
      <c r="J872" s="17" t="s">
        <v>142</v>
      </c>
      <c r="K872" s="17" t="s">
        <v>166</v>
      </c>
      <c r="L872"/>
      <c r="M872">
        <v>223</v>
      </c>
      <c r="N872" s="88">
        <v>224.77</v>
      </c>
      <c r="O872">
        <v>182.71</v>
      </c>
      <c r="P872">
        <v>196.44</v>
      </c>
      <c r="Q872">
        <v>42.57</v>
      </c>
      <c r="R872">
        <v>16.43</v>
      </c>
      <c r="S872">
        <v>124.17</v>
      </c>
      <c r="T872">
        <v>98.69</v>
      </c>
      <c r="U872">
        <v>70.45</v>
      </c>
      <c r="V872">
        <v>56.97</v>
      </c>
      <c r="W872">
        <v>76.260000000000005</v>
      </c>
      <c r="X872">
        <v>90.49</v>
      </c>
      <c r="Y872">
        <v>39.340000000000003</v>
      </c>
      <c r="Z872">
        <v>99.09</v>
      </c>
      <c r="AA872">
        <v>73.180000000000007</v>
      </c>
      <c r="AB872">
        <v>73.569999999999993</v>
      </c>
      <c r="AC872">
        <v>25.74</v>
      </c>
      <c r="AD872">
        <v>45.42</v>
      </c>
      <c r="AE872">
        <v>26.58</v>
      </c>
      <c r="AF872">
        <v>39.979999999999997</v>
      </c>
      <c r="AG872">
        <v>35.119999999999997</v>
      </c>
      <c r="AH872">
        <v>41.76</v>
      </c>
      <c r="AI872">
        <v>1.3859999999999999</v>
      </c>
      <c r="AJ872"/>
      <c r="AK872"/>
      <c r="AL872">
        <v>14</v>
      </c>
      <c r="AM872"/>
      <c r="AN872"/>
      <c r="AO872">
        <f>21.35-12.46</f>
        <v>8.89</v>
      </c>
      <c r="AP872">
        <f>108-12.2</f>
        <v>95.8</v>
      </c>
      <c r="AQ872">
        <f>62.32-12.59</f>
        <v>49.730000000000004</v>
      </c>
      <c r="AR872">
        <v>51.37</v>
      </c>
      <c r="AS872">
        <v>25.53</v>
      </c>
      <c r="AT872" s="11" t="s">
        <v>147</v>
      </c>
      <c r="AU872" t="s">
        <v>147</v>
      </c>
    </row>
    <row r="873" spans="1:47" x14ac:dyDescent="0.2">
      <c r="A873" s="29">
        <v>878.00000000000011</v>
      </c>
      <c r="B873" s="3">
        <v>386</v>
      </c>
      <c r="C873" s="3">
        <v>22.872</v>
      </c>
      <c r="D873" s="78" t="s">
        <v>168</v>
      </c>
      <c r="E873" s="17" t="s">
        <v>169</v>
      </c>
      <c r="F873" s="3" t="s">
        <v>170</v>
      </c>
      <c r="G873" s="17"/>
      <c r="H873" s="17"/>
      <c r="I873" s="68">
        <v>44577</v>
      </c>
      <c r="J873" s="17" t="s">
        <v>142</v>
      </c>
      <c r="K873" s="17" t="s">
        <v>166</v>
      </c>
    </row>
    <row r="874" spans="1:47" x14ac:dyDescent="0.2">
      <c r="A874" s="29">
        <v>879.00000000000136</v>
      </c>
      <c r="B874" s="77">
        <v>274</v>
      </c>
      <c r="C874">
        <v>22.873000000000001</v>
      </c>
      <c r="D874" s="78" t="s">
        <v>168</v>
      </c>
      <c r="E874" s="17" t="s">
        <v>169</v>
      </c>
      <c r="F874" s="3" t="s">
        <v>170</v>
      </c>
      <c r="G874" s="17"/>
      <c r="H874" s="17"/>
      <c r="I874" s="68">
        <v>44574</v>
      </c>
      <c r="J874" s="17" t="s">
        <v>142</v>
      </c>
      <c r="K874" s="17" t="s">
        <v>166</v>
      </c>
      <c r="L874"/>
      <c r="M874" s="102"/>
      <c r="N874" s="88"/>
      <c r="O874"/>
      <c r="P874"/>
    </row>
    <row r="875" spans="1:47" x14ac:dyDescent="0.2">
      <c r="A875" s="29">
        <v>879.99999999999898</v>
      </c>
      <c r="B875" s="3">
        <v>291</v>
      </c>
      <c r="C875" s="3">
        <v>22.873999999999999</v>
      </c>
      <c r="D875" s="78" t="s">
        <v>168</v>
      </c>
      <c r="E875" s="17" t="s">
        <v>169</v>
      </c>
      <c r="F875" s="17" t="s">
        <v>170</v>
      </c>
      <c r="H875" s="3" t="s">
        <v>29</v>
      </c>
      <c r="I875" s="68">
        <v>44610</v>
      </c>
      <c r="J875" s="17" t="s">
        <v>142</v>
      </c>
      <c r="K875" s="17" t="s">
        <v>166</v>
      </c>
    </row>
    <row r="876" spans="1:47" x14ac:dyDescent="0.2">
      <c r="A876" s="29">
        <v>879.99999999999898</v>
      </c>
      <c r="B876" s="77">
        <v>332</v>
      </c>
      <c r="C876">
        <v>22.875</v>
      </c>
      <c r="D876" s="78" t="s">
        <v>168</v>
      </c>
      <c r="E876" s="17" t="s">
        <v>169</v>
      </c>
      <c r="F876" s="3" t="s">
        <v>170</v>
      </c>
      <c r="G876" s="17"/>
      <c r="H876" s="17"/>
      <c r="I876" s="68">
        <v>44565</v>
      </c>
      <c r="J876" s="17" t="s">
        <v>142</v>
      </c>
      <c r="K876" s="17" t="s">
        <v>166</v>
      </c>
    </row>
    <row r="877" spans="1:47" x14ac:dyDescent="0.2">
      <c r="A877" s="29">
        <v>881.00000000000023</v>
      </c>
      <c r="B877" s="17" t="s">
        <v>443</v>
      </c>
      <c r="C877" s="3">
        <v>22.876000000000001</v>
      </c>
      <c r="D877" s="83" t="s">
        <v>200</v>
      </c>
      <c r="E877" s="3" t="s">
        <v>201</v>
      </c>
      <c r="F877" s="43">
        <v>241</v>
      </c>
      <c r="H877" s="43">
        <v>241</v>
      </c>
      <c r="I877" s="56">
        <v>44711</v>
      </c>
      <c r="J877" s="17" t="s">
        <v>238</v>
      </c>
      <c r="K877" s="17" t="s">
        <v>145</v>
      </c>
      <c r="L877">
        <v>221</v>
      </c>
      <c r="M877"/>
      <c r="N877" s="88">
        <v>218.9</v>
      </c>
      <c r="O877">
        <v>165.09</v>
      </c>
      <c r="P877">
        <v>180.44</v>
      </c>
      <c r="Q877">
        <v>42.96</v>
      </c>
      <c r="R877">
        <v>16.600000000000001</v>
      </c>
      <c r="S877">
        <v>114.82</v>
      </c>
      <c r="T877">
        <v>93.28</v>
      </c>
      <c r="U877">
        <v>68.58</v>
      </c>
      <c r="V877">
        <v>57.1</v>
      </c>
      <c r="W877">
        <v>73.540000000000006</v>
      </c>
      <c r="X877">
        <v>86.34</v>
      </c>
      <c r="Y877">
        <v>36.049999999999997</v>
      </c>
      <c r="Z877">
        <v>101.09</v>
      </c>
      <c r="AA877">
        <v>75.290000000000006</v>
      </c>
      <c r="AB877">
        <v>82</v>
      </c>
      <c r="AC877">
        <v>27.86</v>
      </c>
      <c r="AD877">
        <v>46.44</v>
      </c>
      <c r="AE877">
        <v>25.32</v>
      </c>
      <c r="AF877">
        <v>40.03</v>
      </c>
      <c r="AG877">
        <v>29.17</v>
      </c>
      <c r="AH877">
        <v>42.24</v>
      </c>
      <c r="AI877">
        <v>1.6659999999999999</v>
      </c>
      <c r="AJ877"/>
      <c r="AK877"/>
      <c r="AL877">
        <v>43</v>
      </c>
      <c r="AM877"/>
      <c r="AN877"/>
      <c r="AO877">
        <v>8.1999999999999993</v>
      </c>
      <c r="AP877">
        <v>74.8</v>
      </c>
      <c r="AQ877">
        <v>30.4</v>
      </c>
      <c r="AR877">
        <v>57.2</v>
      </c>
      <c r="AS877">
        <v>24.4</v>
      </c>
      <c r="AT877"/>
      <c r="AU877"/>
    </row>
    <row r="878" spans="1:47" x14ac:dyDescent="0.2">
      <c r="A878" s="29">
        <v>882.00000000000148</v>
      </c>
      <c r="B878" s="59">
        <v>41</v>
      </c>
      <c r="C878">
        <v>22.876999999999999</v>
      </c>
      <c r="D878" s="83" t="s">
        <v>200</v>
      </c>
      <c r="E878" s="3" t="s">
        <v>201</v>
      </c>
      <c r="F878" s="43">
        <v>241</v>
      </c>
      <c r="H878" s="43">
        <v>241</v>
      </c>
      <c r="I878" s="32">
        <v>44711</v>
      </c>
      <c r="J878" s="3" t="s">
        <v>142</v>
      </c>
      <c r="K878" s="81" t="s">
        <v>166</v>
      </c>
      <c r="L878" s="59">
        <v>218</v>
      </c>
      <c r="M878"/>
    </row>
    <row r="879" spans="1:47" x14ac:dyDescent="0.2">
      <c r="A879" s="29">
        <v>882.99999999999909</v>
      </c>
      <c r="B879" s="59">
        <v>54</v>
      </c>
      <c r="C879" s="3">
        <v>22.878</v>
      </c>
      <c r="D879" s="83" t="s">
        <v>200</v>
      </c>
      <c r="E879" s="3" t="s">
        <v>201</v>
      </c>
      <c r="F879" s="43">
        <v>241</v>
      </c>
      <c r="H879" s="43">
        <v>241</v>
      </c>
      <c r="I879" s="32">
        <v>44728</v>
      </c>
      <c r="J879" s="3" t="s">
        <v>142</v>
      </c>
      <c r="K879" s="68" t="s">
        <v>166</v>
      </c>
      <c r="L879" s="59">
        <v>257</v>
      </c>
      <c r="M879"/>
    </row>
    <row r="880" spans="1:47" x14ac:dyDescent="0.2">
      <c r="A880" s="29">
        <v>884.00000000000034</v>
      </c>
      <c r="B880" s="59">
        <v>51</v>
      </c>
      <c r="C880">
        <v>22.879000000000001</v>
      </c>
      <c r="D880" s="83" t="s">
        <v>200</v>
      </c>
      <c r="E880" s="3" t="s">
        <v>201</v>
      </c>
      <c r="F880" s="43">
        <v>241</v>
      </c>
      <c r="H880" s="43">
        <v>241</v>
      </c>
      <c r="I880" s="32">
        <v>44724</v>
      </c>
      <c r="J880" s="3" t="s">
        <v>142</v>
      </c>
      <c r="K880" s="68" t="s">
        <v>166</v>
      </c>
      <c r="L880" s="59">
        <v>270</v>
      </c>
      <c r="M880"/>
    </row>
    <row r="881" spans="1:51" x14ac:dyDescent="0.2">
      <c r="A881" s="29">
        <v>885.00000000000159</v>
      </c>
      <c r="B881" s="59">
        <v>47</v>
      </c>
      <c r="C881" s="12" t="s">
        <v>444</v>
      </c>
      <c r="D881" s="83" t="s">
        <v>200</v>
      </c>
      <c r="E881" s="3" t="s">
        <v>201</v>
      </c>
      <c r="F881" s="43">
        <v>241</v>
      </c>
      <c r="H881" s="43">
        <v>241</v>
      </c>
      <c r="I881" s="32">
        <v>44721</v>
      </c>
      <c r="J881" s="3" t="s">
        <v>142</v>
      </c>
      <c r="K881" s="68" t="s">
        <v>166</v>
      </c>
      <c r="L881" s="59">
        <v>225</v>
      </c>
      <c r="M881"/>
    </row>
    <row r="882" spans="1:51" x14ac:dyDescent="0.2">
      <c r="A882" s="29">
        <v>885.9999999999992</v>
      </c>
      <c r="B882" s="59">
        <v>49</v>
      </c>
      <c r="C882">
        <v>22.881</v>
      </c>
      <c r="D882" s="83" t="s">
        <v>200</v>
      </c>
      <c r="E882" s="3" t="s">
        <v>201</v>
      </c>
      <c r="F882" s="43">
        <v>241</v>
      </c>
      <c r="H882" s="43">
        <v>241</v>
      </c>
      <c r="I882" s="32">
        <v>44721</v>
      </c>
      <c r="J882" s="3" t="s">
        <v>142</v>
      </c>
      <c r="K882" s="68" t="s">
        <v>166</v>
      </c>
      <c r="L882" s="59">
        <v>223</v>
      </c>
      <c r="M882"/>
    </row>
    <row r="883" spans="1:51" x14ac:dyDescent="0.2">
      <c r="A883" s="29">
        <v>887.00000000000045</v>
      </c>
      <c r="B883" s="59">
        <v>50</v>
      </c>
      <c r="C883" s="3">
        <v>22.882000000000001</v>
      </c>
      <c r="D883" s="83" t="s">
        <v>200</v>
      </c>
      <c r="E883" s="3" t="s">
        <v>201</v>
      </c>
      <c r="F883" s="43">
        <v>241</v>
      </c>
      <c r="H883" s="43">
        <v>241</v>
      </c>
      <c r="I883" s="32">
        <v>44724</v>
      </c>
      <c r="J883" s="3" t="s">
        <v>142</v>
      </c>
      <c r="K883" s="68" t="s">
        <v>166</v>
      </c>
      <c r="L883" s="59">
        <v>231</v>
      </c>
      <c r="M883"/>
    </row>
    <row r="884" spans="1:51" x14ac:dyDescent="0.2">
      <c r="A884" s="29">
        <v>888.00000000000171</v>
      </c>
      <c r="B884" s="59">
        <v>55</v>
      </c>
      <c r="C884">
        <v>22.882999999999999</v>
      </c>
      <c r="D884" s="83" t="s">
        <v>200</v>
      </c>
      <c r="E884" s="3" t="s">
        <v>201</v>
      </c>
      <c r="F884" s="43">
        <v>241</v>
      </c>
      <c r="H884" s="43">
        <v>241</v>
      </c>
      <c r="I884" s="32">
        <v>44728</v>
      </c>
      <c r="J884" s="3" t="s">
        <v>142</v>
      </c>
      <c r="K884" s="68" t="s">
        <v>166</v>
      </c>
      <c r="L884" s="59">
        <v>232</v>
      </c>
      <c r="M884"/>
    </row>
    <row r="885" spans="1:51" x14ac:dyDescent="0.2">
      <c r="A885" s="29">
        <v>888.99999999999932</v>
      </c>
      <c r="B885" s="17">
        <v>416</v>
      </c>
      <c r="C885">
        <v>22.884</v>
      </c>
      <c r="D885" s="78" t="s">
        <v>168</v>
      </c>
      <c r="E885" s="17" t="s">
        <v>169</v>
      </c>
      <c r="F885" s="3" t="s">
        <v>170</v>
      </c>
      <c r="G885" s="17"/>
      <c r="H885" s="17"/>
      <c r="I885" s="68">
        <v>44764</v>
      </c>
      <c r="J885" s="17" t="s">
        <v>142</v>
      </c>
      <c r="K885" s="17" t="s">
        <v>203</v>
      </c>
      <c r="L885"/>
      <c r="M885"/>
      <c r="N885" s="88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</row>
    <row r="886" spans="1:51" x14ac:dyDescent="0.2">
      <c r="A886" s="29">
        <v>890.00000000000057</v>
      </c>
      <c r="B886" s="77">
        <v>436</v>
      </c>
      <c r="C886">
        <v>22.885000000000002</v>
      </c>
      <c r="D886" s="78" t="s">
        <v>168</v>
      </c>
      <c r="E886" s="17" t="s">
        <v>169</v>
      </c>
      <c r="F886" s="17" t="s">
        <v>170</v>
      </c>
      <c r="H886" s="3" t="s">
        <v>29</v>
      </c>
      <c r="I886" s="68">
        <v>44791</v>
      </c>
      <c r="J886" s="17" t="s">
        <v>142</v>
      </c>
      <c r="K886" s="17" t="s">
        <v>235</v>
      </c>
      <c r="L886"/>
      <c r="M886"/>
      <c r="N886" s="88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 t="s">
        <v>220</v>
      </c>
      <c r="AU886"/>
    </row>
    <row r="887" spans="1:51" ht="17" x14ac:dyDescent="0.2">
      <c r="A887" s="29">
        <v>890.00000000000057</v>
      </c>
      <c r="B887">
        <v>202</v>
      </c>
      <c r="C887">
        <v>22.885999999999999</v>
      </c>
      <c r="D887" s="31" t="s">
        <v>140</v>
      </c>
      <c r="E887" s="3" t="s">
        <v>141</v>
      </c>
      <c r="F887" s="3" t="s">
        <v>61</v>
      </c>
      <c r="H887" s="3" t="s">
        <v>61</v>
      </c>
      <c r="I887" s="56">
        <v>44889</v>
      </c>
      <c r="J887" s="3" t="s">
        <v>142</v>
      </c>
      <c r="K887" s="114" t="s">
        <v>204</v>
      </c>
      <c r="L887"/>
      <c r="M887">
        <v>246.7</v>
      </c>
      <c r="N887" s="88">
        <v>244.9</v>
      </c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  <c r="AA887" s="102"/>
      <c r="AB887" s="102"/>
      <c r="AC887" s="102"/>
      <c r="AD887" s="102"/>
      <c r="AE887" s="102"/>
      <c r="AF887" s="102"/>
      <c r="AG887" s="102"/>
      <c r="AH887" s="102"/>
      <c r="AI887">
        <v>1.194</v>
      </c>
      <c r="AJ887">
        <v>48</v>
      </c>
      <c r="AK887" t="s">
        <v>173</v>
      </c>
      <c r="AL887"/>
      <c r="AM887">
        <v>65</v>
      </c>
      <c r="AN887" s="102"/>
      <c r="AO887" s="102"/>
      <c r="AP887" s="102"/>
      <c r="AQ887" s="102"/>
      <c r="AR887" s="102"/>
      <c r="AS887" s="102"/>
      <c r="AT887" t="s">
        <v>146</v>
      </c>
      <c r="AU887" t="s">
        <v>358</v>
      </c>
    </row>
    <row r="888" spans="1:51" ht="17" x14ac:dyDescent="0.2">
      <c r="A888" s="29">
        <v>890.99999999999818</v>
      </c>
      <c r="B888" s="115">
        <v>203</v>
      </c>
      <c r="C888">
        <v>22.887</v>
      </c>
      <c r="D888" s="31" t="s">
        <v>140</v>
      </c>
      <c r="E888" s="3" t="s">
        <v>141</v>
      </c>
      <c r="F888" s="3" t="s">
        <v>61</v>
      </c>
      <c r="H888" s="3" t="s">
        <v>61</v>
      </c>
      <c r="I888" s="56">
        <v>44889</v>
      </c>
      <c r="J888" s="3" t="s">
        <v>142</v>
      </c>
      <c r="K888" s="114" t="s">
        <v>204</v>
      </c>
      <c r="L888"/>
      <c r="M888">
        <v>243.1</v>
      </c>
      <c r="N888" s="88">
        <v>236.1</v>
      </c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  <c r="AA888" s="102"/>
      <c r="AB888" s="102"/>
      <c r="AC888" s="102"/>
      <c r="AD888" s="102"/>
      <c r="AE888" s="102"/>
      <c r="AF888" s="102"/>
      <c r="AG888" s="102"/>
      <c r="AH888" s="102"/>
      <c r="AI888">
        <v>1.1639999999999999</v>
      </c>
      <c r="AJ888">
        <v>45.9</v>
      </c>
      <c r="AK888" t="s">
        <v>173</v>
      </c>
      <c r="AL888"/>
      <c r="AM888">
        <v>62</v>
      </c>
      <c r="AN888" s="102"/>
      <c r="AO888" s="102"/>
      <c r="AP888" s="102"/>
      <c r="AQ888" s="102"/>
      <c r="AR888" s="102"/>
      <c r="AS888" s="102"/>
      <c r="AT888" t="s">
        <v>146</v>
      </c>
      <c r="AU888" t="s">
        <v>358</v>
      </c>
    </row>
    <row r="889" spans="1:51" ht="17" x14ac:dyDescent="0.2">
      <c r="A889" s="29">
        <v>891.99999999999943</v>
      </c>
      <c r="B889">
        <v>208</v>
      </c>
      <c r="C889">
        <v>22.888000000000002</v>
      </c>
      <c r="D889" s="31" t="s">
        <v>140</v>
      </c>
      <c r="E889" s="3" t="s">
        <v>141</v>
      </c>
      <c r="F889" s="3" t="s">
        <v>61</v>
      </c>
      <c r="H889" s="3" t="s">
        <v>61</v>
      </c>
      <c r="I889" s="56">
        <v>44898</v>
      </c>
      <c r="J889" s="3" t="s">
        <v>142</v>
      </c>
      <c r="K889" s="114" t="s">
        <v>204</v>
      </c>
      <c r="L889"/>
      <c r="M889">
        <v>242.5</v>
      </c>
      <c r="N889" s="88">
        <v>238.7</v>
      </c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  <c r="AA889" s="102"/>
      <c r="AB889" s="102"/>
      <c r="AC889" s="102"/>
      <c r="AD889" s="102"/>
      <c r="AE889" s="102"/>
      <c r="AF889" s="102"/>
      <c r="AG889" s="102"/>
      <c r="AH889" s="102"/>
      <c r="AI889">
        <v>1.145</v>
      </c>
      <c r="AJ889">
        <v>49</v>
      </c>
      <c r="AK889" t="s">
        <v>173</v>
      </c>
      <c r="AL889">
        <v>7</v>
      </c>
      <c r="AM889">
        <v>58</v>
      </c>
      <c r="AN889" s="102"/>
      <c r="AO889" s="102"/>
      <c r="AP889" s="102"/>
      <c r="AQ889" s="102"/>
      <c r="AR889" s="102"/>
      <c r="AS889" s="102"/>
      <c r="AT889" t="s">
        <v>146</v>
      </c>
      <c r="AU889" t="s">
        <v>358</v>
      </c>
    </row>
    <row r="890" spans="1:51" ht="17" x14ac:dyDescent="0.2">
      <c r="A890" s="29">
        <v>893.00000000000068</v>
      </c>
      <c r="B890" s="53">
        <v>135</v>
      </c>
      <c r="C890">
        <v>22.888999999999999</v>
      </c>
      <c r="D890" s="65" t="s">
        <v>148</v>
      </c>
      <c r="E890" s="3" t="s">
        <v>229</v>
      </c>
      <c r="F890" s="3" t="s">
        <v>74</v>
      </c>
      <c r="G890" s="3" t="s">
        <v>74</v>
      </c>
      <c r="I890" s="114">
        <v>44869</v>
      </c>
      <c r="J890" s="3" t="s">
        <v>142</v>
      </c>
      <c r="K890" s="114" t="s">
        <v>204</v>
      </c>
      <c r="L890"/>
      <c r="M890" s="53">
        <v>236</v>
      </c>
      <c r="N890" s="88">
        <v>241.1</v>
      </c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  <c r="AA890" s="102"/>
      <c r="AB890" s="102"/>
      <c r="AC890" s="102"/>
      <c r="AD890" s="102"/>
      <c r="AE890" s="102"/>
      <c r="AF890" s="102"/>
      <c r="AG890" s="102"/>
      <c r="AH890" s="102"/>
      <c r="AI890">
        <v>1.377</v>
      </c>
      <c r="AJ890">
        <v>33.9</v>
      </c>
      <c r="AK890" t="s">
        <v>172</v>
      </c>
      <c r="AL890"/>
      <c r="AM890"/>
      <c r="AN890">
        <v>112</v>
      </c>
      <c r="AO890" s="102"/>
      <c r="AP890" s="102"/>
      <c r="AQ890" s="102"/>
      <c r="AR890" s="102"/>
      <c r="AS890" s="102"/>
      <c r="AT890" t="s">
        <v>146</v>
      </c>
      <c r="AU890"/>
      <c r="AV890"/>
      <c r="AW890"/>
      <c r="AX890"/>
      <c r="AY890"/>
    </row>
    <row r="891" spans="1:51" ht="17" x14ac:dyDescent="0.2">
      <c r="A891" s="29">
        <v>893.99999999999841</v>
      </c>
      <c r="B891" s="53">
        <v>153</v>
      </c>
      <c r="C891" s="5" t="s">
        <v>4</v>
      </c>
      <c r="D891" s="65" t="s">
        <v>148</v>
      </c>
      <c r="E891" s="3" t="s">
        <v>229</v>
      </c>
      <c r="F891" s="3" t="s">
        <v>74</v>
      </c>
      <c r="G891" s="3" t="s">
        <v>74</v>
      </c>
      <c r="I891" s="114">
        <v>44860</v>
      </c>
      <c r="J891" s="3" t="s">
        <v>142</v>
      </c>
      <c r="K891" s="114" t="s">
        <v>166</v>
      </c>
      <c r="L891"/>
      <c r="M891" s="53">
        <v>214.4</v>
      </c>
      <c r="N891" s="88">
        <v>193.9</v>
      </c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  <c r="AA891" s="102"/>
      <c r="AB891" s="102"/>
      <c r="AC891" s="102"/>
      <c r="AD891" s="102"/>
      <c r="AE891" s="102"/>
      <c r="AF891" s="102"/>
      <c r="AG891" s="102"/>
      <c r="AH891" s="102"/>
      <c r="AI891">
        <v>1.6459999999999999</v>
      </c>
      <c r="AJ891"/>
      <c r="AK891"/>
      <c r="AL891">
        <v>14</v>
      </c>
      <c r="AM891"/>
      <c r="AN891"/>
      <c r="AO891">
        <v>15.3</v>
      </c>
      <c r="AP891">
        <v>65.3</v>
      </c>
      <c r="AQ891">
        <v>51.4</v>
      </c>
      <c r="AR891">
        <v>45</v>
      </c>
      <c r="AS891"/>
      <c r="AT891" t="s">
        <v>146</v>
      </c>
      <c r="AU891"/>
      <c r="AV891"/>
      <c r="AW891"/>
      <c r="AX891"/>
      <c r="AY891"/>
    </row>
    <row r="892" spans="1:51" ht="17" x14ac:dyDescent="0.2">
      <c r="A892" s="29">
        <v>894.99999999999955</v>
      </c>
      <c r="B892" s="53">
        <v>138</v>
      </c>
      <c r="C892">
        <v>22.890999999999998</v>
      </c>
      <c r="D892" s="65" t="s">
        <v>148</v>
      </c>
      <c r="E892" s="3" t="s">
        <v>229</v>
      </c>
      <c r="F892" s="3" t="s">
        <v>74</v>
      </c>
      <c r="G892" s="3" t="s">
        <v>74</v>
      </c>
      <c r="I892" s="114">
        <v>44868</v>
      </c>
      <c r="J892" s="3" t="s">
        <v>142</v>
      </c>
      <c r="K892" s="114" t="s">
        <v>204</v>
      </c>
      <c r="L892"/>
      <c r="M892" s="53">
        <v>237</v>
      </c>
      <c r="N892" s="88">
        <v>248.8</v>
      </c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  <c r="AA892" s="102"/>
      <c r="AB892" s="102"/>
      <c r="AC892" s="102"/>
      <c r="AD892" s="102"/>
      <c r="AE892" s="102"/>
      <c r="AF892" s="102"/>
      <c r="AG892" s="102"/>
      <c r="AH892" s="102"/>
      <c r="AI892">
        <v>1.415</v>
      </c>
      <c r="AJ892">
        <v>36.700000000000003</v>
      </c>
      <c r="AK892" t="s">
        <v>172</v>
      </c>
      <c r="AL892"/>
      <c r="AM892"/>
      <c r="AN892">
        <v>97</v>
      </c>
      <c r="AO892" s="102"/>
      <c r="AP892" s="102"/>
      <c r="AQ892" s="102"/>
      <c r="AR892" s="102"/>
      <c r="AS892" s="102"/>
      <c r="AT892" t="s">
        <v>146</v>
      </c>
      <c r="AU892"/>
      <c r="AV892"/>
      <c r="AW892"/>
      <c r="AX892"/>
      <c r="AY892"/>
    </row>
    <row r="893" spans="1:51" ht="17" x14ac:dyDescent="0.2">
      <c r="A893" s="29">
        <v>896.0000000000008</v>
      </c>
      <c r="B893" s="53">
        <v>139</v>
      </c>
      <c r="C893">
        <v>22.891999999999999</v>
      </c>
      <c r="D893" s="65" t="s">
        <v>148</v>
      </c>
      <c r="E893" s="3" t="s">
        <v>229</v>
      </c>
      <c r="F893" s="3" t="s">
        <v>74</v>
      </c>
      <c r="G893" s="3" t="s">
        <v>74</v>
      </c>
      <c r="I893" s="114">
        <v>44870</v>
      </c>
      <c r="J893" s="3" t="s">
        <v>142</v>
      </c>
      <c r="K893" s="114" t="s">
        <v>204</v>
      </c>
      <c r="L893"/>
      <c r="M893" s="53">
        <v>246</v>
      </c>
      <c r="N893" s="88">
        <v>250.6</v>
      </c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  <c r="AA893" s="102"/>
      <c r="AB893" s="102"/>
      <c r="AC893" s="102"/>
      <c r="AD893" s="102"/>
      <c r="AE893" s="102"/>
      <c r="AF893" s="102"/>
      <c r="AG893" s="102"/>
      <c r="AH893" s="102"/>
      <c r="AI893">
        <v>1.3839999999999999</v>
      </c>
      <c r="AJ893">
        <v>36.700000000000003</v>
      </c>
      <c r="AK893" t="s">
        <v>172</v>
      </c>
      <c r="AL893"/>
      <c r="AM893"/>
      <c r="AN893">
        <v>110</v>
      </c>
      <c r="AO893" s="102"/>
      <c r="AP893" s="102"/>
      <c r="AQ893" s="102"/>
      <c r="AR893" s="102"/>
      <c r="AS893" s="102"/>
      <c r="AT893" t="s">
        <v>146</v>
      </c>
      <c r="AU893"/>
      <c r="AV893"/>
      <c r="AW893"/>
      <c r="AX893"/>
      <c r="AY893"/>
    </row>
    <row r="894" spans="1:51" ht="17" x14ac:dyDescent="0.2">
      <c r="A894" s="29">
        <v>896.99999999999841</v>
      </c>
      <c r="B894" s="53">
        <v>130</v>
      </c>
      <c r="C894">
        <v>22.893000000000001</v>
      </c>
      <c r="D894" s="65" t="s">
        <v>148</v>
      </c>
      <c r="E894" s="3" t="s">
        <v>229</v>
      </c>
      <c r="F894" s="3" t="s">
        <v>74</v>
      </c>
      <c r="G894" s="3" t="s">
        <v>74</v>
      </c>
      <c r="I894" s="114">
        <v>44860</v>
      </c>
      <c r="J894" s="3" t="s">
        <v>445</v>
      </c>
      <c r="K894" s="114" t="s">
        <v>204</v>
      </c>
      <c r="L894"/>
      <c r="M894" s="53">
        <v>218</v>
      </c>
      <c r="N894" s="88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  <c r="AA894" s="102"/>
      <c r="AB894" s="102"/>
      <c r="AC894" s="102"/>
      <c r="AD894" s="102"/>
      <c r="AE894" s="102"/>
      <c r="AF894" s="102"/>
      <c r="AG894" s="102"/>
      <c r="AH894" s="102"/>
      <c r="AI894"/>
      <c r="AJ894"/>
      <c r="AK894"/>
      <c r="AL894"/>
      <c r="AM894"/>
      <c r="AN894"/>
      <c r="AO894" s="102"/>
      <c r="AP894" s="102"/>
      <c r="AQ894" s="102"/>
      <c r="AR894" s="102"/>
      <c r="AS894" s="102"/>
      <c r="AT894" t="s">
        <v>146</v>
      </c>
      <c r="AU894"/>
      <c r="AV894"/>
      <c r="AW894"/>
      <c r="AX894"/>
      <c r="AY894"/>
    </row>
    <row r="895" spans="1:51" x14ac:dyDescent="0.2">
      <c r="A895" s="29">
        <v>897.99999999999966</v>
      </c>
      <c r="B895" s="77">
        <v>485</v>
      </c>
      <c r="C895">
        <v>22.893999999999998</v>
      </c>
      <c r="D895" s="78" t="s">
        <v>168</v>
      </c>
      <c r="E895" s="17" t="s">
        <v>169</v>
      </c>
      <c r="F895" s="3" t="s">
        <v>170</v>
      </c>
      <c r="H895" t="s">
        <v>30</v>
      </c>
      <c r="I895" s="68">
        <v>44840</v>
      </c>
      <c r="J895" s="17" t="s">
        <v>142</v>
      </c>
      <c r="K895" s="17" t="s">
        <v>204</v>
      </c>
      <c r="L895"/>
      <c r="M895"/>
      <c r="N895" s="88">
        <v>311.2</v>
      </c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  <c r="AA895" s="102"/>
      <c r="AB895" s="102"/>
      <c r="AC895" s="102"/>
      <c r="AD895" s="102"/>
      <c r="AE895" s="102"/>
      <c r="AF895" s="102"/>
      <c r="AG895" s="102"/>
      <c r="AH895" s="102"/>
      <c r="AI895">
        <v>1.1599999999999999</v>
      </c>
      <c r="AJ895">
        <v>59.4</v>
      </c>
      <c r="AK895" t="s">
        <v>173</v>
      </c>
      <c r="AL895"/>
      <c r="AM895">
        <v>171</v>
      </c>
      <c r="AN895"/>
      <c r="AO895"/>
      <c r="AP895"/>
      <c r="AQ895"/>
      <c r="AR895"/>
      <c r="AS895"/>
      <c r="AT895" t="s">
        <v>146</v>
      </c>
      <c r="AU895"/>
    </row>
    <row r="896" spans="1:51" x14ac:dyDescent="0.2">
      <c r="A896" s="29">
        <v>899.00000000000091</v>
      </c>
      <c r="B896" s="77">
        <v>495</v>
      </c>
      <c r="C896">
        <v>22.895</v>
      </c>
      <c r="D896" s="78" t="s">
        <v>168</v>
      </c>
      <c r="E896" s="17" t="s">
        <v>169</v>
      </c>
      <c r="F896" s="17" t="s">
        <v>170</v>
      </c>
      <c r="H896" s="3" t="s">
        <v>29</v>
      </c>
      <c r="I896" s="68">
        <v>44852</v>
      </c>
      <c r="J896" s="17" t="s">
        <v>142</v>
      </c>
      <c r="K896" s="17" t="s">
        <v>204</v>
      </c>
      <c r="L896"/>
      <c r="M896"/>
      <c r="N896" s="88">
        <v>310.8</v>
      </c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  <c r="AA896" s="102"/>
      <c r="AB896" s="102"/>
      <c r="AC896" s="102"/>
      <c r="AD896" s="102"/>
      <c r="AE896" s="102"/>
      <c r="AF896" s="102"/>
      <c r="AG896" s="102"/>
      <c r="AH896" s="102"/>
      <c r="AI896">
        <v>1.6659999999999999</v>
      </c>
      <c r="AJ896">
        <v>57.7</v>
      </c>
      <c r="AK896" t="s">
        <v>173</v>
      </c>
      <c r="AL896"/>
      <c r="AM896">
        <v>157</v>
      </c>
      <c r="AN896"/>
      <c r="AO896"/>
      <c r="AP896"/>
      <c r="AQ896"/>
      <c r="AR896"/>
      <c r="AS896"/>
      <c r="AT896" t="s">
        <v>146</v>
      </c>
      <c r="AU896"/>
    </row>
    <row r="897" spans="1:47" x14ac:dyDescent="0.2">
      <c r="A897" s="29">
        <v>899.99999999999864</v>
      </c>
      <c r="B897" s="77">
        <v>502</v>
      </c>
      <c r="C897">
        <v>22.896000000000001</v>
      </c>
      <c r="D897" s="78" t="s">
        <v>168</v>
      </c>
      <c r="E897" s="17" t="s">
        <v>169</v>
      </c>
      <c r="F897" s="17" t="s">
        <v>170</v>
      </c>
      <c r="H897" s="3" t="s">
        <v>29</v>
      </c>
      <c r="I897" s="68">
        <v>44859</v>
      </c>
      <c r="J897" s="17" t="s">
        <v>142</v>
      </c>
      <c r="K897" s="17" t="s">
        <v>204</v>
      </c>
      <c r="L897"/>
      <c r="M897"/>
      <c r="N897" s="88">
        <v>320.5</v>
      </c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  <c r="AA897" s="102"/>
      <c r="AB897" s="102"/>
      <c r="AC897" s="102"/>
      <c r="AD897" s="102"/>
      <c r="AE897" s="102"/>
      <c r="AF897" s="102"/>
      <c r="AG897" s="102"/>
      <c r="AH897" s="102"/>
      <c r="AI897">
        <v>1.5209999999999999</v>
      </c>
      <c r="AJ897">
        <v>60.9</v>
      </c>
      <c r="AK897" t="s">
        <v>173</v>
      </c>
      <c r="AL897"/>
      <c r="AM897">
        <v>112</v>
      </c>
      <c r="AN897"/>
      <c r="AO897"/>
      <c r="AP897"/>
      <c r="AQ897"/>
      <c r="AR897"/>
      <c r="AS897"/>
      <c r="AT897" t="s">
        <v>146</v>
      </c>
      <c r="AU897"/>
    </row>
    <row r="898" spans="1:47" x14ac:dyDescent="0.2">
      <c r="A898" s="29">
        <v>900.99999999999977</v>
      </c>
      <c r="B898" s="77">
        <v>505</v>
      </c>
      <c r="C898">
        <v>22.896999999999998</v>
      </c>
      <c r="D898" s="78" t="s">
        <v>168</v>
      </c>
      <c r="E898" s="17" t="s">
        <v>169</v>
      </c>
      <c r="F898" s="3" t="s">
        <v>170</v>
      </c>
      <c r="H898" t="s">
        <v>30</v>
      </c>
      <c r="I898" s="68">
        <v>44860</v>
      </c>
      <c r="J898" s="17" t="s">
        <v>142</v>
      </c>
      <c r="K898" s="17" t="s">
        <v>204</v>
      </c>
      <c r="L898"/>
      <c r="M898"/>
      <c r="N898" s="88">
        <v>308.5</v>
      </c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  <c r="AA898" s="102"/>
      <c r="AB898" s="102"/>
      <c r="AC898" s="102"/>
      <c r="AD898" s="102"/>
      <c r="AE898" s="102"/>
      <c r="AF898" s="102"/>
      <c r="AG898" s="102"/>
      <c r="AH898" s="102"/>
      <c r="AI898">
        <v>1.1950000000000001</v>
      </c>
      <c r="AJ898">
        <v>61.8</v>
      </c>
      <c r="AK898" t="s">
        <v>173</v>
      </c>
      <c r="AL898"/>
      <c r="AM898">
        <v>105</v>
      </c>
      <c r="AN898"/>
      <c r="AO898"/>
      <c r="AP898"/>
      <c r="AQ898"/>
      <c r="AR898"/>
      <c r="AS898"/>
      <c r="AT898" t="s">
        <v>146</v>
      </c>
      <c r="AU898"/>
    </row>
    <row r="899" spans="1:47" x14ac:dyDescent="0.2">
      <c r="A899" s="29">
        <v>902.00000000000102</v>
      </c>
      <c r="B899" s="17">
        <v>330</v>
      </c>
      <c r="C899">
        <v>22.898</v>
      </c>
      <c r="D899" s="64" t="s">
        <v>223</v>
      </c>
      <c r="E899" s="3" t="s">
        <v>224</v>
      </c>
      <c r="F899" s="3" t="s">
        <v>73</v>
      </c>
      <c r="G899" s="3" t="s">
        <v>73</v>
      </c>
      <c r="I899" s="68">
        <v>44865</v>
      </c>
      <c r="J899" s="17" t="s">
        <v>142</v>
      </c>
      <c r="K899" s="17" t="s">
        <v>235</v>
      </c>
    </row>
    <row r="900" spans="1:47" x14ac:dyDescent="0.2">
      <c r="A900" s="29">
        <v>902.99999999999864</v>
      </c>
      <c r="B900" s="17">
        <v>331</v>
      </c>
      <c r="C900">
        <v>22.899000000000001</v>
      </c>
      <c r="D900" s="64" t="s">
        <v>223</v>
      </c>
      <c r="E900" s="3" t="s">
        <v>224</v>
      </c>
      <c r="F900" s="3" t="s">
        <v>73</v>
      </c>
      <c r="G900" s="3" t="s">
        <v>73</v>
      </c>
      <c r="I900" s="68">
        <v>44865</v>
      </c>
      <c r="J900" s="17" t="s">
        <v>142</v>
      </c>
      <c r="K900" s="17" t="s">
        <v>203</v>
      </c>
    </row>
    <row r="901" spans="1:47" x14ac:dyDescent="0.2">
      <c r="A901" s="29">
        <v>903.99999999999989</v>
      </c>
      <c r="B901" s="17">
        <v>332</v>
      </c>
      <c r="C901" s="5" t="s">
        <v>446</v>
      </c>
      <c r="D901" s="64" t="s">
        <v>223</v>
      </c>
      <c r="E901" s="3" t="s">
        <v>224</v>
      </c>
      <c r="F901" s="3" t="s">
        <v>73</v>
      </c>
      <c r="G901" s="3" t="s">
        <v>73</v>
      </c>
      <c r="I901" s="68">
        <v>44865</v>
      </c>
      <c r="J901" s="17" t="s">
        <v>142</v>
      </c>
      <c r="K901" s="17" t="s">
        <v>235</v>
      </c>
    </row>
    <row r="902" spans="1:47" x14ac:dyDescent="0.2">
      <c r="A902" s="29">
        <v>905.00000000000114</v>
      </c>
      <c r="B902" s="17">
        <v>333</v>
      </c>
      <c r="C902">
        <v>22.901</v>
      </c>
      <c r="D902" s="64" t="s">
        <v>223</v>
      </c>
      <c r="E902" s="3" t="s">
        <v>224</v>
      </c>
      <c r="F902" s="3" t="s">
        <v>73</v>
      </c>
      <c r="G902" s="3" t="s">
        <v>73</v>
      </c>
      <c r="I902" s="68">
        <v>44865</v>
      </c>
      <c r="J902" s="17" t="s">
        <v>142</v>
      </c>
      <c r="K902" s="17" t="s">
        <v>235</v>
      </c>
    </row>
    <row r="903" spans="1:47" x14ac:dyDescent="0.2">
      <c r="A903" s="29">
        <v>905.99999999999886</v>
      </c>
      <c r="B903" s="17">
        <v>334</v>
      </c>
      <c r="C903">
        <v>22.902000000000001</v>
      </c>
      <c r="D903" s="64" t="s">
        <v>223</v>
      </c>
      <c r="E903" s="3" t="s">
        <v>224</v>
      </c>
      <c r="F903" s="3" t="s">
        <v>73</v>
      </c>
      <c r="G903" s="3" t="s">
        <v>73</v>
      </c>
      <c r="I903" s="68">
        <v>44865</v>
      </c>
      <c r="J903" s="17" t="s">
        <v>142</v>
      </c>
      <c r="K903" s="17" t="s">
        <v>235</v>
      </c>
    </row>
    <row r="904" spans="1:47" x14ac:dyDescent="0.2">
      <c r="A904" s="29">
        <v>907</v>
      </c>
      <c r="B904" s="17">
        <v>335</v>
      </c>
      <c r="C904">
        <v>22.902999999999999</v>
      </c>
      <c r="D904" s="64" t="s">
        <v>223</v>
      </c>
      <c r="E904" s="3" t="s">
        <v>224</v>
      </c>
      <c r="F904" s="3" t="s">
        <v>73</v>
      </c>
      <c r="G904" s="3" t="s">
        <v>73</v>
      </c>
      <c r="I904" s="68">
        <v>44865</v>
      </c>
      <c r="J904" s="17" t="s">
        <v>142</v>
      </c>
      <c r="K904" s="17" t="s">
        <v>235</v>
      </c>
    </row>
    <row r="905" spans="1:47" x14ac:dyDescent="0.2">
      <c r="A905" s="29">
        <v>908.00000000000125</v>
      </c>
      <c r="B905" s="17">
        <v>336</v>
      </c>
      <c r="C905">
        <v>22.904</v>
      </c>
      <c r="D905" s="64" t="s">
        <v>223</v>
      </c>
      <c r="E905" s="3" t="s">
        <v>224</v>
      </c>
      <c r="F905" s="3" t="s">
        <v>73</v>
      </c>
      <c r="G905" s="3" t="s">
        <v>73</v>
      </c>
      <c r="I905" s="68">
        <v>44884</v>
      </c>
      <c r="J905" s="17" t="s">
        <v>142</v>
      </c>
      <c r="K905" s="17" t="s">
        <v>203</v>
      </c>
    </row>
    <row r="906" spans="1:47" x14ac:dyDescent="0.2">
      <c r="A906" s="29">
        <v>908.99999999999886</v>
      </c>
      <c r="B906" s="17">
        <v>337</v>
      </c>
      <c r="C906">
        <v>22.905000000000001</v>
      </c>
      <c r="D906" s="64" t="s">
        <v>223</v>
      </c>
      <c r="E906" s="3" t="s">
        <v>224</v>
      </c>
      <c r="F906" s="3" t="s">
        <v>73</v>
      </c>
      <c r="G906" s="3" t="s">
        <v>73</v>
      </c>
      <c r="I906" s="68">
        <v>44884</v>
      </c>
      <c r="J906" s="17" t="s">
        <v>142</v>
      </c>
      <c r="K906" s="17" t="s">
        <v>235</v>
      </c>
    </row>
    <row r="907" spans="1:47" x14ac:dyDescent="0.2">
      <c r="A907" s="29">
        <v>910.00000000000011</v>
      </c>
      <c r="B907" s="17">
        <v>338</v>
      </c>
      <c r="C907">
        <v>22.905999999999999</v>
      </c>
      <c r="D907" s="64" t="s">
        <v>223</v>
      </c>
      <c r="E907" s="3" t="s">
        <v>224</v>
      </c>
      <c r="F907" s="3" t="s">
        <v>73</v>
      </c>
      <c r="G907" s="3" t="s">
        <v>73</v>
      </c>
      <c r="I907" s="68">
        <v>44884</v>
      </c>
      <c r="J907" s="17" t="s">
        <v>142</v>
      </c>
      <c r="K907" s="17" t="s">
        <v>235</v>
      </c>
    </row>
    <row r="908" spans="1:47" x14ac:dyDescent="0.2">
      <c r="A908" s="29">
        <v>911.00000000000136</v>
      </c>
      <c r="B908" s="17">
        <v>339</v>
      </c>
      <c r="C908">
        <v>22.907</v>
      </c>
      <c r="D908" s="64" t="s">
        <v>223</v>
      </c>
      <c r="E908" s="3" t="s">
        <v>224</v>
      </c>
      <c r="F908" s="3" t="s">
        <v>73</v>
      </c>
      <c r="G908" s="3" t="s">
        <v>73</v>
      </c>
      <c r="I908" s="68">
        <v>44888</v>
      </c>
      <c r="J908" s="17" t="s">
        <v>142</v>
      </c>
      <c r="K908" s="17" t="s">
        <v>235</v>
      </c>
    </row>
    <row r="909" spans="1:47" x14ac:dyDescent="0.2">
      <c r="A909" s="29">
        <v>911.99999999999909</v>
      </c>
      <c r="B909" s="17">
        <v>340</v>
      </c>
      <c r="C909">
        <v>22.908000000000001</v>
      </c>
      <c r="D909" s="64" t="s">
        <v>223</v>
      </c>
      <c r="E909" s="3" t="s">
        <v>224</v>
      </c>
      <c r="F909" s="3" t="s">
        <v>73</v>
      </c>
      <c r="G909" s="3" t="s">
        <v>73</v>
      </c>
      <c r="I909" s="68">
        <v>44888</v>
      </c>
      <c r="J909" s="17" t="s">
        <v>142</v>
      </c>
      <c r="K909" s="17" t="s">
        <v>235</v>
      </c>
    </row>
    <row r="910" spans="1:47" x14ac:dyDescent="0.2">
      <c r="A910" s="29">
        <v>913.00000000000023</v>
      </c>
      <c r="B910" s="17">
        <v>341</v>
      </c>
      <c r="C910">
        <v>22.908999999999999</v>
      </c>
      <c r="D910" s="64" t="s">
        <v>223</v>
      </c>
      <c r="E910" s="3" t="s">
        <v>224</v>
      </c>
      <c r="F910" s="3" t="s">
        <v>73</v>
      </c>
      <c r="G910" s="3" t="s">
        <v>73</v>
      </c>
      <c r="I910" s="68">
        <v>44888</v>
      </c>
      <c r="J910" s="17" t="s">
        <v>142</v>
      </c>
      <c r="K910" s="17" t="s">
        <v>235</v>
      </c>
    </row>
    <row r="911" spans="1:47" x14ac:dyDescent="0.2">
      <c r="A911" s="29">
        <v>914.00000000000148</v>
      </c>
      <c r="B911" s="77">
        <v>512</v>
      </c>
      <c r="C911" s="5" t="s">
        <v>447</v>
      </c>
      <c r="D911" s="78" t="s">
        <v>168</v>
      </c>
      <c r="E911" s="17" t="s">
        <v>169</v>
      </c>
      <c r="F911" s="3" t="s">
        <v>170</v>
      </c>
      <c r="G911" s="17"/>
      <c r="H911" s="17"/>
      <c r="I911" s="68">
        <v>44874</v>
      </c>
      <c r="J911" s="17" t="s">
        <v>142</v>
      </c>
      <c r="K911" s="17" t="s">
        <v>203</v>
      </c>
    </row>
    <row r="912" spans="1:47" x14ac:dyDescent="0.2">
      <c r="A912" s="29">
        <v>914.99999999999909</v>
      </c>
      <c r="B912" s="77">
        <v>513</v>
      </c>
      <c r="C912">
        <v>22.911000000000001</v>
      </c>
      <c r="D912" s="78" t="s">
        <v>168</v>
      </c>
      <c r="E912" s="17" t="s">
        <v>169</v>
      </c>
      <c r="F912" s="3" t="s">
        <v>170</v>
      </c>
      <c r="G912" s="17"/>
      <c r="H912" s="17"/>
      <c r="I912" s="68">
        <v>44874</v>
      </c>
      <c r="J912" s="17" t="s">
        <v>142</v>
      </c>
      <c r="K912" s="17" t="s">
        <v>203</v>
      </c>
    </row>
    <row r="913" spans="1:47" x14ac:dyDescent="0.2">
      <c r="A913" s="29">
        <v>916.00000000000034</v>
      </c>
      <c r="B913" s="77">
        <v>515</v>
      </c>
      <c r="C913">
        <v>22.911999999999999</v>
      </c>
      <c r="D913" s="78" t="s">
        <v>168</v>
      </c>
      <c r="E913" s="17" t="s">
        <v>169</v>
      </c>
      <c r="F913" s="3" t="s">
        <v>170</v>
      </c>
      <c r="G913" s="17"/>
      <c r="H913" s="17"/>
      <c r="I913" s="68">
        <v>44874</v>
      </c>
      <c r="J913" s="17" t="s">
        <v>142</v>
      </c>
      <c r="K913" s="17" t="s">
        <v>203</v>
      </c>
    </row>
    <row r="914" spans="1:47" x14ac:dyDescent="0.2">
      <c r="A914" s="29">
        <v>917.00000000000159</v>
      </c>
      <c r="B914" s="77">
        <v>516</v>
      </c>
      <c r="C914">
        <v>22.913</v>
      </c>
      <c r="D914" s="78" t="s">
        <v>168</v>
      </c>
      <c r="E914" s="17" t="s">
        <v>169</v>
      </c>
      <c r="F914" s="17" t="s">
        <v>170</v>
      </c>
      <c r="H914" s="3" t="s">
        <v>29</v>
      </c>
      <c r="I914" s="68">
        <v>44874</v>
      </c>
      <c r="J914" s="17" t="s">
        <v>142</v>
      </c>
      <c r="K914" s="17" t="s">
        <v>203</v>
      </c>
    </row>
    <row r="915" spans="1:47" x14ac:dyDescent="0.2">
      <c r="A915" s="29">
        <v>917.99999999999932</v>
      </c>
      <c r="B915" s="77">
        <v>518</v>
      </c>
      <c r="C915">
        <v>22.914000000000001</v>
      </c>
      <c r="D915" s="78" t="s">
        <v>168</v>
      </c>
      <c r="E915" s="17" t="s">
        <v>169</v>
      </c>
      <c r="F915" s="3" t="s">
        <v>170</v>
      </c>
      <c r="G915" s="17"/>
      <c r="H915" s="17"/>
      <c r="I915" s="68">
        <v>44881</v>
      </c>
      <c r="J915" s="17" t="s">
        <v>142</v>
      </c>
      <c r="K915" s="17" t="s">
        <v>203</v>
      </c>
    </row>
    <row r="916" spans="1:47" x14ac:dyDescent="0.2">
      <c r="A916" s="29">
        <v>919.00000000000045</v>
      </c>
      <c r="B916" s="77">
        <v>520</v>
      </c>
      <c r="C916">
        <v>22.914999999999999</v>
      </c>
      <c r="D916" s="78" t="s">
        <v>168</v>
      </c>
      <c r="E916" s="17" t="s">
        <v>169</v>
      </c>
      <c r="F916" s="3" t="s">
        <v>170</v>
      </c>
      <c r="G916" s="17"/>
      <c r="H916" s="17"/>
      <c r="I916" s="68">
        <v>44881</v>
      </c>
      <c r="J916" s="17" t="s">
        <v>142</v>
      </c>
      <c r="K916" s="17" t="s">
        <v>203</v>
      </c>
    </row>
    <row r="917" spans="1:47" x14ac:dyDescent="0.2">
      <c r="A917" s="29">
        <v>920.00000000000171</v>
      </c>
      <c r="B917" s="77">
        <v>523</v>
      </c>
      <c r="C917">
        <v>22.916</v>
      </c>
      <c r="D917" s="78" t="s">
        <v>168</v>
      </c>
      <c r="E917" s="17" t="s">
        <v>169</v>
      </c>
      <c r="F917" s="3" t="s">
        <v>170</v>
      </c>
      <c r="G917" s="17"/>
      <c r="H917" s="17"/>
      <c r="I917" s="68">
        <v>44887</v>
      </c>
      <c r="J917" s="17" t="s">
        <v>142</v>
      </c>
      <c r="K917" s="17" t="s">
        <v>203</v>
      </c>
    </row>
    <row r="918" spans="1:47" ht="68" x14ac:dyDescent="0.2">
      <c r="A918" s="29">
        <v>920.99999999999932</v>
      </c>
      <c r="B918" s="77">
        <v>508</v>
      </c>
      <c r="C918">
        <v>22.917000000000002</v>
      </c>
      <c r="D918" s="78" t="s">
        <v>168</v>
      </c>
      <c r="E918" s="17" t="s">
        <v>169</v>
      </c>
      <c r="F918" s="59" t="s">
        <v>219</v>
      </c>
      <c r="G918" s="17"/>
      <c r="H918" s="17"/>
      <c r="I918" s="68">
        <v>44860</v>
      </c>
      <c r="J918" s="17" t="s">
        <v>142</v>
      </c>
      <c r="K918" s="17" t="s">
        <v>204</v>
      </c>
      <c r="AT918" s="3" t="s">
        <v>220</v>
      </c>
    </row>
    <row r="919" spans="1:47" ht="24" customHeight="1" x14ac:dyDescent="0.2">
      <c r="A919" s="29">
        <v>922.00000000000057</v>
      </c>
      <c r="B919" s="77">
        <v>510</v>
      </c>
      <c r="C919">
        <v>22.917999999999999</v>
      </c>
      <c r="D919" s="78" t="s">
        <v>168</v>
      </c>
      <c r="E919" s="17" t="s">
        <v>169</v>
      </c>
      <c r="F919" s="59" t="s">
        <v>219</v>
      </c>
      <c r="G919" s="17"/>
      <c r="H919" s="17"/>
      <c r="I919" s="68">
        <v>44864</v>
      </c>
      <c r="J919" s="17" t="s">
        <v>142</v>
      </c>
      <c r="K919" s="17" t="s">
        <v>204</v>
      </c>
      <c r="AT919" s="3" t="s">
        <v>220</v>
      </c>
    </row>
    <row r="920" spans="1:47" x14ac:dyDescent="0.2">
      <c r="A920" s="29">
        <v>922.99999999999829</v>
      </c>
      <c r="B920" s="77">
        <v>511</v>
      </c>
      <c r="C920" s="116">
        <v>22.919</v>
      </c>
      <c r="D920" s="78" t="s">
        <v>168</v>
      </c>
      <c r="E920" s="17" t="s">
        <v>169</v>
      </c>
      <c r="F920" s="3" t="s">
        <v>170</v>
      </c>
      <c r="G920" s="17"/>
      <c r="H920" s="18" t="s">
        <v>177</v>
      </c>
      <c r="I920" s="68">
        <v>44874</v>
      </c>
      <c r="J920" s="17" t="s">
        <v>142</v>
      </c>
      <c r="K920" s="17" t="s">
        <v>204</v>
      </c>
      <c r="L920"/>
      <c r="M920"/>
      <c r="N920" s="117">
        <v>303.89999999999998</v>
      </c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>
        <v>1.159</v>
      </c>
      <c r="AJ920">
        <v>56.1</v>
      </c>
      <c r="AK920" t="s">
        <v>172</v>
      </c>
      <c r="AL920"/>
      <c r="AM920"/>
      <c r="AN920">
        <v>136</v>
      </c>
      <c r="AO920"/>
      <c r="AP920"/>
      <c r="AQ920"/>
      <c r="AR920"/>
      <c r="AS920"/>
      <c r="AT920" t="s">
        <v>146</v>
      </c>
      <c r="AU920" t="s">
        <v>448</v>
      </c>
    </row>
    <row r="921" spans="1:47" x14ac:dyDescent="0.2">
      <c r="A921" s="29">
        <v>923.99999999999955</v>
      </c>
      <c r="B921" s="77">
        <v>443</v>
      </c>
      <c r="C921" s="5" t="s">
        <v>449</v>
      </c>
      <c r="D921" s="78" t="s">
        <v>168</v>
      </c>
      <c r="E921" s="17" t="s">
        <v>169</v>
      </c>
      <c r="F921" s="17" t="s">
        <v>170</v>
      </c>
      <c r="H921" s="3" t="s">
        <v>29</v>
      </c>
      <c r="I921" s="68">
        <v>44798</v>
      </c>
      <c r="J921" s="17" t="s">
        <v>142</v>
      </c>
      <c r="K921" s="17" t="s">
        <v>235</v>
      </c>
      <c r="AT921" s="3" t="s">
        <v>220</v>
      </c>
    </row>
    <row r="922" spans="1:47" x14ac:dyDescent="0.2">
      <c r="A922" s="29">
        <v>925.00000000000068</v>
      </c>
      <c r="B922" s="77">
        <v>459</v>
      </c>
      <c r="C922">
        <v>22.920999999999999</v>
      </c>
      <c r="D922" s="78" t="s">
        <v>168</v>
      </c>
      <c r="E922" s="17" t="s">
        <v>169</v>
      </c>
      <c r="F922" s="17" t="s">
        <v>170</v>
      </c>
      <c r="H922" s="3" t="s">
        <v>29</v>
      </c>
      <c r="I922" s="68">
        <v>44815</v>
      </c>
      <c r="J922" s="17" t="s">
        <v>142</v>
      </c>
      <c r="K922" s="17" t="s">
        <v>235</v>
      </c>
      <c r="AT922" s="3" t="s">
        <v>220</v>
      </c>
    </row>
    <row r="923" spans="1:47" s="14" customFormat="1" ht="68" x14ac:dyDescent="0.2">
      <c r="A923" s="118">
        <v>925.99999999999841</v>
      </c>
      <c r="B923" s="108">
        <v>476</v>
      </c>
      <c r="C923" s="18">
        <v>22.922000000000001</v>
      </c>
      <c r="D923" s="106" t="s">
        <v>168</v>
      </c>
      <c r="E923" s="28" t="s">
        <v>169</v>
      </c>
      <c r="F923" s="59" t="s">
        <v>219</v>
      </c>
      <c r="G923" s="28"/>
      <c r="H923" s="28"/>
      <c r="I923" s="107">
        <v>44831</v>
      </c>
      <c r="J923" s="28" t="s">
        <v>142</v>
      </c>
      <c r="K923" s="28" t="s">
        <v>204</v>
      </c>
      <c r="L923" s="18"/>
      <c r="M923" s="119"/>
      <c r="N923" s="90"/>
      <c r="AT923" s="3" t="s">
        <v>220</v>
      </c>
    </row>
    <row r="924" spans="1:47" x14ac:dyDescent="0.2">
      <c r="A924" s="29">
        <v>926.99999999999955</v>
      </c>
      <c r="B924" s="77">
        <v>477</v>
      </c>
      <c r="C924" s="116">
        <v>22.922999999999998</v>
      </c>
      <c r="D924" s="78" t="s">
        <v>168</v>
      </c>
      <c r="E924" s="17" t="s">
        <v>169</v>
      </c>
      <c r="F924" s="3" t="s">
        <v>170</v>
      </c>
      <c r="G924" s="3" t="s">
        <v>30</v>
      </c>
      <c r="H924"/>
      <c r="I924" s="68">
        <v>44831</v>
      </c>
      <c r="J924" s="17" t="s">
        <v>142</v>
      </c>
      <c r="K924" s="17" t="s">
        <v>204</v>
      </c>
      <c r="L924"/>
      <c r="M924" s="102"/>
      <c r="N924" s="117">
        <v>317.5</v>
      </c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>
        <v>1.1819999999999999</v>
      </c>
      <c r="AJ924">
        <v>52.8</v>
      </c>
      <c r="AK924" t="s">
        <v>172</v>
      </c>
      <c r="AL924"/>
      <c r="AM924"/>
      <c r="AN924">
        <v>126</v>
      </c>
      <c r="AO924"/>
      <c r="AP924"/>
      <c r="AQ924"/>
      <c r="AR924"/>
      <c r="AS924"/>
      <c r="AT924" t="s">
        <v>146</v>
      </c>
      <c r="AU924" t="s">
        <v>448</v>
      </c>
    </row>
    <row r="925" spans="1:47" x14ac:dyDescent="0.2">
      <c r="A925" s="29">
        <v>928.0000000000008</v>
      </c>
      <c r="B925" s="77">
        <v>480</v>
      </c>
      <c r="C925">
        <v>22.923999999999999</v>
      </c>
      <c r="D925" s="78" t="s">
        <v>168</v>
      </c>
      <c r="E925" s="17" t="s">
        <v>169</v>
      </c>
      <c r="F925" s="17" t="s">
        <v>170</v>
      </c>
      <c r="H925" s="3" t="s">
        <v>29</v>
      </c>
      <c r="I925" s="68">
        <v>44832</v>
      </c>
      <c r="J925" s="17" t="s">
        <v>142</v>
      </c>
      <c r="K925" s="17" t="s">
        <v>235</v>
      </c>
      <c r="AT925" s="3" t="s">
        <v>220</v>
      </c>
    </row>
    <row r="926" spans="1:47" x14ac:dyDescent="0.2">
      <c r="A926" s="29">
        <v>928.99999999999852</v>
      </c>
      <c r="B926" s="77">
        <v>481</v>
      </c>
      <c r="C926" s="116">
        <v>22.925000000000001</v>
      </c>
      <c r="D926" s="78" t="s">
        <v>168</v>
      </c>
      <c r="E926" s="17" t="s">
        <v>169</v>
      </c>
      <c r="F926" s="3" t="s">
        <v>170</v>
      </c>
      <c r="G926" s="17"/>
      <c r="H926" s="18" t="s">
        <v>177</v>
      </c>
      <c r="I926" s="68">
        <v>44832</v>
      </c>
      <c r="J926" s="17" t="s">
        <v>142</v>
      </c>
      <c r="K926" s="17" t="s">
        <v>204</v>
      </c>
      <c r="L926"/>
      <c r="M926" s="102"/>
      <c r="N926" s="117">
        <v>306</v>
      </c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>
        <v>1.0940000000000001</v>
      </c>
      <c r="AJ926">
        <v>56.4</v>
      </c>
      <c r="AK926" t="s">
        <v>172</v>
      </c>
      <c r="AL926"/>
      <c r="AM926"/>
      <c r="AN926">
        <v>141</v>
      </c>
      <c r="AO926"/>
      <c r="AP926"/>
      <c r="AQ926"/>
      <c r="AR926"/>
      <c r="AS926"/>
      <c r="AT926" t="s">
        <v>146</v>
      </c>
      <c r="AU926" t="s">
        <v>448</v>
      </c>
    </row>
    <row r="927" spans="1:47" x14ac:dyDescent="0.2">
      <c r="A927" s="29">
        <v>929.99999999999977</v>
      </c>
      <c r="B927" s="77">
        <v>483</v>
      </c>
      <c r="C927" s="17">
        <v>22.925999999999998</v>
      </c>
      <c r="D927" s="78" t="s">
        <v>168</v>
      </c>
      <c r="E927" s="17" t="s">
        <v>169</v>
      </c>
      <c r="F927" s="17" t="s">
        <v>170</v>
      </c>
      <c r="G927" s="17"/>
      <c r="H927" s="3" t="s">
        <v>234</v>
      </c>
      <c r="I927" s="68">
        <v>44840</v>
      </c>
      <c r="J927" s="17" t="s">
        <v>142</v>
      </c>
      <c r="K927" s="17" t="s">
        <v>204</v>
      </c>
      <c r="L927"/>
      <c r="M927" s="102"/>
      <c r="N927" s="117">
        <v>315.3</v>
      </c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>
        <v>1.2170000000000001</v>
      </c>
      <c r="AJ927">
        <v>51</v>
      </c>
      <c r="AK927" t="s">
        <v>450</v>
      </c>
      <c r="AL927"/>
      <c r="AM927"/>
      <c r="AN927">
        <v>144</v>
      </c>
      <c r="AO927"/>
      <c r="AP927"/>
      <c r="AQ927"/>
      <c r="AR927"/>
      <c r="AS927"/>
      <c r="AT927" t="s">
        <v>146</v>
      </c>
      <c r="AU927" t="s">
        <v>448</v>
      </c>
    </row>
    <row r="928" spans="1:47" x14ac:dyDescent="0.2">
      <c r="A928" s="29">
        <v>931.00000000000091</v>
      </c>
      <c r="B928" s="77">
        <v>487</v>
      </c>
      <c r="C928" s="17">
        <v>22.927</v>
      </c>
      <c r="D928" s="78" t="s">
        <v>168</v>
      </c>
      <c r="E928" s="17" t="s">
        <v>169</v>
      </c>
      <c r="F928" s="3" t="s">
        <v>170</v>
      </c>
      <c r="G928" t="s">
        <v>30</v>
      </c>
      <c r="H928" s="17"/>
      <c r="I928" s="68">
        <v>44844</v>
      </c>
      <c r="J928" s="17" t="s">
        <v>142</v>
      </c>
      <c r="K928" s="17" t="s">
        <v>204</v>
      </c>
      <c r="L928"/>
      <c r="M928" s="102"/>
      <c r="N928" s="117">
        <v>304.3</v>
      </c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>
        <v>1.117</v>
      </c>
      <c r="AJ928">
        <v>50.7</v>
      </c>
      <c r="AK928" t="s">
        <v>172</v>
      </c>
      <c r="AL928"/>
      <c r="AM928"/>
      <c r="AN928">
        <v>142</v>
      </c>
      <c r="AO928"/>
      <c r="AP928"/>
      <c r="AQ928"/>
      <c r="AR928"/>
      <c r="AS928"/>
      <c r="AT928" t="s">
        <v>146</v>
      </c>
      <c r="AU928" t="s">
        <v>448</v>
      </c>
    </row>
    <row r="929" spans="1:47" x14ac:dyDescent="0.2">
      <c r="A929" s="29">
        <v>931.99999999999864</v>
      </c>
      <c r="B929" s="77">
        <v>489</v>
      </c>
      <c r="C929" s="17">
        <v>22.928000000000001</v>
      </c>
      <c r="D929" s="78" t="s">
        <v>168</v>
      </c>
      <c r="E929" s="17" t="s">
        <v>169</v>
      </c>
      <c r="F929" s="17" t="s">
        <v>170</v>
      </c>
      <c r="G929" s="3" t="s">
        <v>29</v>
      </c>
      <c r="H929" s="17"/>
      <c r="I929" s="68">
        <v>44844</v>
      </c>
      <c r="J929" s="17" t="s">
        <v>142</v>
      </c>
      <c r="K929" s="17" t="s">
        <v>204</v>
      </c>
      <c r="L929"/>
      <c r="M929" s="102"/>
      <c r="N929" s="117">
        <v>333.5</v>
      </c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>
        <v>1.6919999999999999</v>
      </c>
      <c r="AJ929">
        <v>55.2</v>
      </c>
      <c r="AK929" t="s">
        <v>172</v>
      </c>
      <c r="AL929"/>
      <c r="AM929"/>
      <c r="AN929">
        <v>143</v>
      </c>
      <c r="AO929"/>
      <c r="AP929"/>
      <c r="AQ929"/>
      <c r="AR929"/>
      <c r="AS929"/>
      <c r="AT929" t="s">
        <v>146</v>
      </c>
      <c r="AU929" t="s">
        <v>448</v>
      </c>
    </row>
    <row r="930" spans="1:47" x14ac:dyDescent="0.2">
      <c r="A930" s="29">
        <v>932.99999999999977</v>
      </c>
      <c r="B930" s="77">
        <v>491</v>
      </c>
      <c r="C930" s="17">
        <v>22.928999999999998</v>
      </c>
      <c r="D930" s="78" t="s">
        <v>168</v>
      </c>
      <c r="E930" s="17" t="s">
        <v>169</v>
      </c>
      <c r="F930" s="3" t="s">
        <v>170</v>
      </c>
      <c r="G930" t="s">
        <v>30</v>
      </c>
      <c r="H930" s="17"/>
      <c r="I930" s="68">
        <v>44852</v>
      </c>
      <c r="J930" s="17" t="s">
        <v>142</v>
      </c>
      <c r="K930" s="17" t="s">
        <v>204</v>
      </c>
      <c r="L930"/>
      <c r="M930" s="102"/>
      <c r="N930" s="117">
        <v>309.8</v>
      </c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>
        <v>1.321</v>
      </c>
      <c r="AJ930">
        <v>56.7</v>
      </c>
      <c r="AK930" t="s">
        <v>172</v>
      </c>
      <c r="AL930"/>
      <c r="AM930"/>
      <c r="AN930">
        <v>110</v>
      </c>
      <c r="AO930"/>
      <c r="AP930"/>
      <c r="AQ930"/>
      <c r="AR930"/>
      <c r="AS930"/>
      <c r="AT930" t="s">
        <v>146</v>
      </c>
      <c r="AU930" t="s">
        <v>448</v>
      </c>
    </row>
    <row r="931" spans="1:47" ht="68" x14ac:dyDescent="0.2">
      <c r="A931" s="29">
        <v>934.00000000000102</v>
      </c>
      <c r="B931" s="77">
        <v>492</v>
      </c>
      <c r="C931" s="5" t="s">
        <v>451</v>
      </c>
      <c r="D931" s="78" t="s">
        <v>168</v>
      </c>
      <c r="E931" s="17" t="s">
        <v>169</v>
      </c>
      <c r="F931" s="59" t="s">
        <v>219</v>
      </c>
      <c r="G931" s="17"/>
      <c r="H931" s="17"/>
      <c r="I931" s="68">
        <v>44852</v>
      </c>
      <c r="J931" s="17" t="s">
        <v>142</v>
      </c>
      <c r="K931" s="17" t="s">
        <v>204</v>
      </c>
      <c r="AT931" s="3" t="s">
        <v>220</v>
      </c>
    </row>
    <row r="932" spans="1:47" x14ac:dyDescent="0.2">
      <c r="A932" s="29">
        <v>934.99999999999875</v>
      </c>
      <c r="B932" s="77">
        <v>514</v>
      </c>
      <c r="C932" s="116">
        <v>22.931000000000001</v>
      </c>
      <c r="D932" s="78" t="s">
        <v>168</v>
      </c>
      <c r="E932" s="17" t="s">
        <v>169</v>
      </c>
      <c r="F932" s="3" t="s">
        <v>170</v>
      </c>
      <c r="G932" s="17"/>
      <c r="H932" s="18" t="s">
        <v>177</v>
      </c>
      <c r="I932" s="68">
        <v>44874</v>
      </c>
      <c r="J932" s="17" t="s">
        <v>142</v>
      </c>
      <c r="K932" s="17" t="s">
        <v>204</v>
      </c>
      <c r="L932"/>
      <c r="M932"/>
      <c r="N932" s="117">
        <v>308.3</v>
      </c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>
        <v>1.2030000000000001</v>
      </c>
      <c r="AJ932">
        <v>55.7</v>
      </c>
      <c r="AK932" t="s">
        <v>172</v>
      </c>
      <c r="AL932"/>
      <c r="AM932"/>
      <c r="AN932">
        <v>141</v>
      </c>
      <c r="AO932"/>
      <c r="AP932"/>
      <c r="AQ932"/>
      <c r="AR932"/>
      <c r="AS932"/>
      <c r="AT932" t="s">
        <v>146</v>
      </c>
      <c r="AU932" t="s">
        <v>448</v>
      </c>
    </row>
    <row r="933" spans="1:47" x14ac:dyDescent="0.2">
      <c r="A933" s="29">
        <v>936</v>
      </c>
      <c r="B933" s="17" t="s">
        <v>452</v>
      </c>
      <c r="C933" s="3">
        <v>22.931999999999999</v>
      </c>
      <c r="D933" s="74" t="s">
        <v>179</v>
      </c>
      <c r="E933" t="s">
        <v>180</v>
      </c>
      <c r="F933" t="s">
        <v>181</v>
      </c>
      <c r="G933"/>
      <c r="H933" t="s">
        <v>199</v>
      </c>
      <c r="I933" s="56">
        <v>44884</v>
      </c>
      <c r="J933" s="17" t="s">
        <v>142</v>
      </c>
      <c r="K933" s="3" t="s">
        <v>166</v>
      </c>
      <c r="L933" s="120">
        <v>220</v>
      </c>
    </row>
    <row r="934" spans="1:47" x14ac:dyDescent="0.2">
      <c r="A934" s="29">
        <v>937.00000000000114</v>
      </c>
      <c r="B934" s="17" t="s">
        <v>453</v>
      </c>
      <c r="C934" s="3">
        <v>22.933</v>
      </c>
      <c r="D934" s="74" t="s">
        <v>179</v>
      </c>
      <c r="E934" t="s">
        <v>180</v>
      </c>
      <c r="F934" t="s">
        <v>181</v>
      </c>
      <c r="G934"/>
      <c r="H934" t="s">
        <v>199</v>
      </c>
      <c r="I934" s="56">
        <v>44903</v>
      </c>
      <c r="J934" s="17" t="s">
        <v>142</v>
      </c>
      <c r="K934" s="3" t="s">
        <v>166</v>
      </c>
      <c r="L934" s="120">
        <v>220</v>
      </c>
    </row>
    <row r="935" spans="1:47" x14ac:dyDescent="0.2">
      <c r="A935" s="29">
        <v>937.99999999999886</v>
      </c>
      <c r="B935" s="17" t="s">
        <v>454</v>
      </c>
      <c r="C935" s="3">
        <v>22.934000000000001</v>
      </c>
      <c r="D935" s="74" t="s">
        <v>179</v>
      </c>
      <c r="E935" t="s">
        <v>180</v>
      </c>
      <c r="F935" t="s">
        <v>181</v>
      </c>
      <c r="G935"/>
      <c r="H935" t="s">
        <v>199</v>
      </c>
      <c r="I935" s="56">
        <v>44913</v>
      </c>
      <c r="J935" s="17" t="s">
        <v>142</v>
      </c>
      <c r="K935" s="3" t="s">
        <v>166</v>
      </c>
      <c r="L935">
        <v>230</v>
      </c>
    </row>
    <row r="936" spans="1:47" x14ac:dyDescent="0.2">
      <c r="A936" s="29">
        <v>939</v>
      </c>
      <c r="B936" s="77">
        <v>528</v>
      </c>
      <c r="C936" s="3">
        <v>22.934999999999999</v>
      </c>
      <c r="D936" s="78" t="s">
        <v>168</v>
      </c>
      <c r="E936" s="17" t="s">
        <v>169</v>
      </c>
      <c r="F936" s="3" t="s">
        <v>170</v>
      </c>
      <c r="G936" s="17"/>
      <c r="H936" s="17"/>
      <c r="I936" s="68">
        <v>44889</v>
      </c>
      <c r="J936" s="17" t="s">
        <v>142</v>
      </c>
      <c r="K936" s="3" t="s">
        <v>166</v>
      </c>
    </row>
    <row r="937" spans="1:47" x14ac:dyDescent="0.2">
      <c r="A937" s="29">
        <v>940.00000000000125</v>
      </c>
      <c r="B937" s="77">
        <v>530</v>
      </c>
      <c r="C937" s="3">
        <v>22.936</v>
      </c>
      <c r="D937" s="78" t="s">
        <v>168</v>
      </c>
      <c r="E937" s="17" t="s">
        <v>169</v>
      </c>
      <c r="F937" s="3" t="s">
        <v>170</v>
      </c>
      <c r="G937" s="17"/>
      <c r="H937" s="17"/>
      <c r="I937" s="68">
        <v>44895</v>
      </c>
      <c r="J937" s="17" t="s">
        <v>142</v>
      </c>
      <c r="K937" s="3" t="s">
        <v>166</v>
      </c>
    </row>
    <row r="938" spans="1:47" x14ac:dyDescent="0.2">
      <c r="A938" s="29">
        <v>940.99999999999898</v>
      </c>
      <c r="B938" s="77">
        <v>531</v>
      </c>
      <c r="C938" s="3">
        <v>22.937000000000001</v>
      </c>
      <c r="D938" s="78" t="s">
        <v>168</v>
      </c>
      <c r="E938" s="17" t="s">
        <v>169</v>
      </c>
      <c r="F938" s="3" t="s">
        <v>170</v>
      </c>
      <c r="G938" s="17"/>
      <c r="H938" s="17"/>
      <c r="I938" s="68">
        <v>44895</v>
      </c>
      <c r="J938" s="17" t="s">
        <v>142</v>
      </c>
      <c r="K938" s="3" t="s">
        <v>166</v>
      </c>
    </row>
    <row r="939" spans="1:47" x14ac:dyDescent="0.2">
      <c r="A939" s="29">
        <v>942.00000000000023</v>
      </c>
      <c r="B939" s="77">
        <v>536</v>
      </c>
      <c r="C939" s="3">
        <v>22.937999999999999</v>
      </c>
      <c r="D939" s="78" t="s">
        <v>168</v>
      </c>
      <c r="E939" s="17" t="s">
        <v>169</v>
      </c>
      <c r="F939" s="3" t="s">
        <v>170</v>
      </c>
      <c r="G939" s="17"/>
      <c r="H939" s="17"/>
      <c r="I939" s="68">
        <v>44895</v>
      </c>
      <c r="J939" s="17" t="s">
        <v>142</v>
      </c>
      <c r="K939" s="3" t="s">
        <v>166</v>
      </c>
    </row>
    <row r="940" spans="1:47" x14ac:dyDescent="0.2">
      <c r="A940" s="29">
        <v>943.00000000000136</v>
      </c>
      <c r="B940" s="77">
        <v>538</v>
      </c>
      <c r="C940" s="3">
        <v>22.939</v>
      </c>
      <c r="D940" s="78" t="s">
        <v>168</v>
      </c>
      <c r="E940" s="17" t="s">
        <v>169</v>
      </c>
      <c r="F940" s="3" t="s">
        <v>170</v>
      </c>
      <c r="G940" s="17"/>
      <c r="H940" s="17"/>
      <c r="I940" s="68">
        <v>44902</v>
      </c>
      <c r="J940" s="17" t="s">
        <v>142</v>
      </c>
      <c r="K940" s="3" t="s">
        <v>166</v>
      </c>
    </row>
    <row r="941" spans="1:47" x14ac:dyDescent="0.2">
      <c r="A941" s="29">
        <v>943.99999999999909</v>
      </c>
      <c r="B941" s="77">
        <v>541</v>
      </c>
      <c r="C941" s="12" t="s">
        <v>455</v>
      </c>
      <c r="D941" s="78" t="s">
        <v>168</v>
      </c>
      <c r="E941" s="17" t="s">
        <v>169</v>
      </c>
      <c r="F941" s="3" t="s">
        <v>170</v>
      </c>
      <c r="G941" s="17"/>
      <c r="H941" s="17"/>
      <c r="I941" s="68">
        <v>44909</v>
      </c>
      <c r="J941" s="17" t="s">
        <v>142</v>
      </c>
      <c r="K941" s="3" t="s">
        <v>166</v>
      </c>
    </row>
    <row r="942" spans="1:47" x14ac:dyDescent="0.2">
      <c r="A942" s="29">
        <v>945.00000000000023</v>
      </c>
      <c r="B942" s="77">
        <v>543</v>
      </c>
      <c r="C942" s="3">
        <v>22.940999999999999</v>
      </c>
      <c r="D942" s="78" t="s">
        <v>168</v>
      </c>
      <c r="E942" s="17" t="s">
        <v>169</v>
      </c>
      <c r="F942" s="3" t="s">
        <v>170</v>
      </c>
      <c r="G942" s="17"/>
      <c r="H942" s="17"/>
      <c r="I942" s="68">
        <v>44909</v>
      </c>
      <c r="J942" s="17" t="s">
        <v>142</v>
      </c>
      <c r="K942" s="3" t="s">
        <v>166</v>
      </c>
    </row>
    <row r="943" spans="1:47" x14ac:dyDescent="0.2">
      <c r="A943" s="29">
        <v>946.00000000000148</v>
      </c>
      <c r="B943" s="77">
        <v>545</v>
      </c>
      <c r="C943" s="3">
        <v>22.942</v>
      </c>
      <c r="D943" s="78" t="s">
        <v>168</v>
      </c>
      <c r="E943" s="17" t="s">
        <v>169</v>
      </c>
      <c r="F943" s="3" t="s">
        <v>170</v>
      </c>
      <c r="G943" s="17"/>
      <c r="H943" s="17"/>
      <c r="I943" s="68">
        <v>44910</v>
      </c>
      <c r="J943" s="17" t="s">
        <v>142</v>
      </c>
      <c r="K943" s="3" t="s">
        <v>166</v>
      </c>
    </row>
    <row r="944" spans="1:47" x14ac:dyDescent="0.2">
      <c r="A944" s="29">
        <v>946.9999999999992</v>
      </c>
      <c r="B944" s="77">
        <v>546</v>
      </c>
      <c r="C944" s="3">
        <v>22.943000000000001</v>
      </c>
      <c r="D944" s="78" t="s">
        <v>168</v>
      </c>
      <c r="E944" s="17" t="s">
        <v>169</v>
      </c>
      <c r="F944" s="3" t="s">
        <v>170</v>
      </c>
      <c r="G944" s="17"/>
      <c r="H944" s="17"/>
      <c r="I944" s="68">
        <v>44910</v>
      </c>
      <c r="J944" s="17" t="s">
        <v>142</v>
      </c>
      <c r="K944" s="3" t="s">
        <v>166</v>
      </c>
    </row>
    <row r="945" spans="1:47" x14ac:dyDescent="0.2">
      <c r="A945" s="29">
        <v>948.00000000000045</v>
      </c>
      <c r="B945" s="77">
        <v>550</v>
      </c>
      <c r="C945" s="3">
        <v>22.943999999999999</v>
      </c>
      <c r="D945" s="78" t="s">
        <v>168</v>
      </c>
      <c r="E945" s="17" t="s">
        <v>169</v>
      </c>
      <c r="F945" s="3" t="s">
        <v>170</v>
      </c>
      <c r="G945" s="17"/>
      <c r="H945" s="17"/>
      <c r="I945" s="68">
        <v>44913</v>
      </c>
      <c r="J945" s="17" t="s">
        <v>142</v>
      </c>
      <c r="K945" s="3" t="s">
        <v>166</v>
      </c>
    </row>
    <row r="946" spans="1:47" x14ac:dyDescent="0.2">
      <c r="A946" s="29">
        <v>949.00000000000159</v>
      </c>
      <c r="B946" s="77">
        <v>529</v>
      </c>
      <c r="C946" s="121">
        <v>22.945</v>
      </c>
      <c r="D946" s="78" t="s">
        <v>168</v>
      </c>
      <c r="E946" s="17" t="s">
        <v>169</v>
      </c>
      <c r="F946" s="3" t="s">
        <v>170</v>
      </c>
      <c r="G946" s="17"/>
      <c r="H946" s="18" t="s">
        <v>177</v>
      </c>
      <c r="I946" s="68">
        <v>44889</v>
      </c>
      <c r="J946" s="17" t="s">
        <v>142</v>
      </c>
      <c r="K946" s="17" t="s">
        <v>204</v>
      </c>
      <c r="L946"/>
      <c r="M946"/>
      <c r="N946" s="88">
        <v>333.4</v>
      </c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>
        <v>1.37</v>
      </c>
      <c r="AJ946">
        <v>57.5</v>
      </c>
      <c r="AK946" t="s">
        <v>172</v>
      </c>
      <c r="AL946"/>
      <c r="AM946">
        <v>149</v>
      </c>
      <c r="AN946"/>
      <c r="AO946"/>
      <c r="AP946"/>
      <c r="AQ946"/>
      <c r="AR946"/>
      <c r="AS946"/>
      <c r="AT946" t="s">
        <v>146</v>
      </c>
      <c r="AU946" t="s">
        <v>448</v>
      </c>
    </row>
    <row r="947" spans="1:47" x14ac:dyDescent="0.2">
      <c r="A947" s="29">
        <v>949.99999999999932</v>
      </c>
      <c r="B947" s="77">
        <v>533</v>
      </c>
      <c r="C947" s="121">
        <v>22.946000000000002</v>
      </c>
      <c r="D947" s="78" t="s">
        <v>168</v>
      </c>
      <c r="E947" s="17" t="s">
        <v>169</v>
      </c>
      <c r="F947" s="3" t="s">
        <v>170</v>
      </c>
      <c r="G947" t="s">
        <v>30</v>
      </c>
      <c r="H947" s="17"/>
      <c r="I947" s="68">
        <v>44895</v>
      </c>
      <c r="J947" s="17" t="s">
        <v>142</v>
      </c>
      <c r="K947" s="17" t="s">
        <v>204</v>
      </c>
      <c r="L947"/>
      <c r="M947"/>
      <c r="N947" s="88">
        <v>317.10000000000002</v>
      </c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>
        <v>1.2749999999999999</v>
      </c>
      <c r="AJ947">
        <v>53.4</v>
      </c>
      <c r="AK947" t="s">
        <v>172</v>
      </c>
      <c r="AL947"/>
      <c r="AM947">
        <v>105</v>
      </c>
      <c r="AN947"/>
      <c r="AO947"/>
      <c r="AP947"/>
      <c r="AQ947"/>
      <c r="AR947"/>
      <c r="AS947"/>
      <c r="AT947" t="s">
        <v>146</v>
      </c>
      <c r="AU947" t="s">
        <v>448</v>
      </c>
    </row>
    <row r="948" spans="1:47" s="95" customFormat="1" x14ac:dyDescent="0.2">
      <c r="A948" s="122">
        <v>951.00000000000045</v>
      </c>
      <c r="B948" s="77">
        <v>519</v>
      </c>
      <c r="C948">
        <v>22.946999999999999</v>
      </c>
      <c r="D948" s="78" t="s">
        <v>168</v>
      </c>
      <c r="E948" s="17" t="s">
        <v>169</v>
      </c>
      <c r="F948" s="17" t="s">
        <v>170</v>
      </c>
      <c r="G948" s="3" t="s">
        <v>29</v>
      </c>
      <c r="H948" s="17"/>
      <c r="I948" s="68">
        <v>44881</v>
      </c>
      <c r="J948" s="17" t="s">
        <v>142</v>
      </c>
      <c r="K948" s="17" t="s">
        <v>204</v>
      </c>
      <c r="L948"/>
      <c r="M948"/>
      <c r="N948" s="88">
        <v>301.7</v>
      </c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>
        <v>1.3480000000000001</v>
      </c>
      <c r="AJ948">
        <v>47</v>
      </c>
      <c r="AK948" t="s">
        <v>173</v>
      </c>
      <c r="AL948"/>
      <c r="AM948">
        <v>120</v>
      </c>
      <c r="AN948"/>
      <c r="AO948"/>
      <c r="AP948"/>
      <c r="AQ948"/>
      <c r="AR948"/>
      <c r="AS948"/>
      <c r="AT948" t="s">
        <v>146</v>
      </c>
      <c r="AU948" t="s">
        <v>448</v>
      </c>
    </row>
    <row r="949" spans="1:47" s="95" customFormat="1" x14ac:dyDescent="0.2">
      <c r="A949" s="122">
        <v>952.00000000000171</v>
      </c>
      <c r="B949" s="77">
        <v>535</v>
      </c>
      <c r="C949" s="3">
        <v>22.948</v>
      </c>
      <c r="D949" s="78" t="s">
        <v>168</v>
      </c>
      <c r="E949" s="17" t="s">
        <v>169</v>
      </c>
      <c r="F949" s="3" t="s">
        <v>170</v>
      </c>
      <c r="G949" t="s">
        <v>30</v>
      </c>
      <c r="H949" s="17"/>
      <c r="I949" s="68">
        <v>44895</v>
      </c>
      <c r="J949" s="17" t="s">
        <v>142</v>
      </c>
      <c r="K949" s="17" t="s">
        <v>204</v>
      </c>
      <c r="L949"/>
      <c r="M949"/>
      <c r="N949" s="88">
        <v>323.10000000000002</v>
      </c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>
        <v>1.325</v>
      </c>
      <c r="AJ949">
        <v>53.6</v>
      </c>
      <c r="AK949" t="s">
        <v>172</v>
      </c>
      <c r="AL949"/>
      <c r="AM949">
        <v>155</v>
      </c>
      <c r="AN949"/>
      <c r="AO949"/>
      <c r="AP949"/>
      <c r="AQ949"/>
      <c r="AR949"/>
      <c r="AS949"/>
      <c r="AT949" t="s">
        <v>146</v>
      </c>
      <c r="AU949" t="s">
        <v>448</v>
      </c>
    </row>
    <row r="950" spans="1:47" s="95" customFormat="1" x14ac:dyDescent="0.2">
      <c r="A950" s="122">
        <v>952.99999999999943</v>
      </c>
      <c r="B950" s="77">
        <v>522</v>
      </c>
      <c r="C950">
        <v>22.949000000000002</v>
      </c>
      <c r="D950" s="78" t="s">
        <v>168</v>
      </c>
      <c r="E950" s="17" t="s">
        <v>169</v>
      </c>
      <c r="F950" s="17" t="s">
        <v>170</v>
      </c>
      <c r="G950" s="3" t="s">
        <v>29</v>
      </c>
      <c r="H950" s="17"/>
      <c r="I950" s="68">
        <v>44887</v>
      </c>
      <c r="J950" s="17" t="s">
        <v>142</v>
      </c>
      <c r="K950" s="17" t="s">
        <v>204</v>
      </c>
      <c r="L950"/>
      <c r="M950"/>
      <c r="N950" s="88">
        <v>296.7</v>
      </c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>
        <v>1.266</v>
      </c>
      <c r="AJ950">
        <v>51.7</v>
      </c>
      <c r="AK950" t="s">
        <v>173</v>
      </c>
      <c r="AL950"/>
      <c r="AM950">
        <v>115</v>
      </c>
      <c r="AN950"/>
      <c r="AO950"/>
      <c r="AP950"/>
      <c r="AQ950"/>
      <c r="AR950"/>
      <c r="AS950"/>
      <c r="AT950" t="s">
        <v>146</v>
      </c>
      <c r="AU950" t="s">
        <v>448</v>
      </c>
    </row>
    <row r="951" spans="1:47" s="95" customFormat="1" x14ac:dyDescent="0.2">
      <c r="A951" s="122">
        <v>954.00000000000068</v>
      </c>
      <c r="B951" s="77">
        <v>525</v>
      </c>
      <c r="C951" s="5" t="s">
        <v>456</v>
      </c>
      <c r="D951" s="78" t="s">
        <v>168</v>
      </c>
      <c r="E951" s="17" t="s">
        <v>169</v>
      </c>
      <c r="F951" s="17" t="s">
        <v>170</v>
      </c>
      <c r="G951" s="3" t="s">
        <v>29</v>
      </c>
      <c r="H951" s="17"/>
      <c r="I951" s="68">
        <v>44887</v>
      </c>
      <c r="J951" s="17" t="s">
        <v>142</v>
      </c>
      <c r="K951" s="17" t="s">
        <v>204</v>
      </c>
      <c r="L951"/>
      <c r="M951"/>
      <c r="N951" s="88">
        <v>315.3</v>
      </c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>
        <v>1.609</v>
      </c>
      <c r="AJ951">
        <v>54.7</v>
      </c>
      <c r="AK951" t="s">
        <v>173</v>
      </c>
      <c r="AL951"/>
      <c r="AM951">
        <v>101</v>
      </c>
      <c r="AN951"/>
      <c r="AO951"/>
      <c r="AP951"/>
      <c r="AQ951"/>
      <c r="AR951"/>
      <c r="AS951"/>
      <c r="AT951" t="s">
        <v>146</v>
      </c>
      <c r="AU951" t="s">
        <v>448</v>
      </c>
    </row>
    <row r="952" spans="1:47" x14ac:dyDescent="0.2">
      <c r="A952" s="29">
        <v>954.99999999999829</v>
      </c>
      <c r="B952">
        <v>143</v>
      </c>
      <c r="C952">
        <v>22.951000000000001</v>
      </c>
      <c r="D952" s="31" t="s">
        <v>140</v>
      </c>
      <c r="E952" s="3" t="s">
        <v>141</v>
      </c>
      <c r="F952" s="3" t="s">
        <v>60</v>
      </c>
      <c r="H952" s="3" t="s">
        <v>60</v>
      </c>
      <c r="I952" s="32">
        <v>44824</v>
      </c>
      <c r="J952" s="3" t="s">
        <v>142</v>
      </c>
      <c r="K952" s="3" t="s">
        <v>203</v>
      </c>
      <c r="M952" s="17">
        <v>217.2</v>
      </c>
      <c r="N952" s="9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 s="61"/>
      <c r="AJ952"/>
      <c r="AK952"/>
      <c r="AL952"/>
      <c r="AM952"/>
      <c r="AN952"/>
      <c r="AO952">
        <v>3.9</v>
      </c>
      <c r="AP952"/>
      <c r="AQ952">
        <v>135.6</v>
      </c>
      <c r="AR952">
        <v>49.5</v>
      </c>
      <c r="AS952"/>
      <c r="AT952"/>
      <c r="AU952"/>
    </row>
    <row r="953" spans="1:47" x14ac:dyDescent="0.2">
      <c r="A953" s="29">
        <v>955.99999999999955</v>
      </c>
      <c r="B953">
        <v>171</v>
      </c>
      <c r="C953">
        <v>22.952000000000002</v>
      </c>
      <c r="D953" s="31" t="s">
        <v>140</v>
      </c>
      <c r="E953" s="3" t="s">
        <v>141</v>
      </c>
      <c r="F953" s="3" t="s">
        <v>61</v>
      </c>
      <c r="H953" s="3" t="s">
        <v>61</v>
      </c>
      <c r="I953" s="32">
        <v>44852</v>
      </c>
      <c r="J953" s="3" t="s">
        <v>142</v>
      </c>
      <c r="K953" s="3" t="s">
        <v>203</v>
      </c>
      <c r="M953" s="17">
        <v>188</v>
      </c>
      <c r="N953" s="88">
        <v>197.7</v>
      </c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 s="61"/>
      <c r="AJ953"/>
      <c r="AK953"/>
      <c r="AL953"/>
      <c r="AM953"/>
      <c r="AN953"/>
      <c r="AO953">
        <v>6.9</v>
      </c>
      <c r="AP953">
        <v>62</v>
      </c>
      <c r="AQ953">
        <v>82.6</v>
      </c>
      <c r="AR953">
        <v>40.6</v>
      </c>
      <c r="AS953"/>
      <c r="AT953"/>
      <c r="AU953"/>
    </row>
    <row r="954" spans="1:47" x14ac:dyDescent="0.2">
      <c r="A954" s="29">
        <v>957.00000000000068</v>
      </c>
      <c r="B954" s="3">
        <v>207</v>
      </c>
      <c r="C954" s="3">
        <v>22.952999999999999</v>
      </c>
      <c r="D954" s="31" t="s">
        <v>140</v>
      </c>
      <c r="E954" s="3" t="s">
        <v>141</v>
      </c>
      <c r="F954" s="3" t="s">
        <v>61</v>
      </c>
      <c r="H954" s="3" t="s">
        <v>61</v>
      </c>
      <c r="I954" s="81">
        <v>44898</v>
      </c>
      <c r="J954" s="3" t="s">
        <v>142</v>
      </c>
      <c r="K954" s="3" t="s">
        <v>203</v>
      </c>
      <c r="M954" s="3">
        <v>190.3</v>
      </c>
    </row>
    <row r="955" spans="1:47" x14ac:dyDescent="0.2">
      <c r="A955" s="29">
        <v>957.99999999999841</v>
      </c>
      <c r="B955" s="3">
        <v>210</v>
      </c>
      <c r="C955" s="3">
        <v>22.954000000000001</v>
      </c>
      <c r="D955" s="31" t="s">
        <v>140</v>
      </c>
      <c r="E955" s="3" t="s">
        <v>141</v>
      </c>
      <c r="F955" s="3" t="s">
        <v>60</v>
      </c>
      <c r="H955" s="3" t="s">
        <v>60</v>
      </c>
      <c r="I955" s="81">
        <v>44900</v>
      </c>
      <c r="J955" s="3" t="s">
        <v>142</v>
      </c>
      <c r="K955" s="3" t="s">
        <v>203</v>
      </c>
      <c r="M955" s="3">
        <v>197.2</v>
      </c>
    </row>
    <row r="956" spans="1:47" x14ac:dyDescent="0.2">
      <c r="A956" s="29">
        <v>958.99999999999966</v>
      </c>
      <c r="B956" s="3">
        <v>204</v>
      </c>
      <c r="C956" s="3">
        <v>22.954999999999998</v>
      </c>
      <c r="D956" s="31" t="s">
        <v>140</v>
      </c>
      <c r="E956" s="3" t="s">
        <v>141</v>
      </c>
      <c r="F956" s="3" t="s">
        <v>61</v>
      </c>
      <c r="H956" s="3" t="s">
        <v>61</v>
      </c>
      <c r="I956" s="81">
        <v>44896</v>
      </c>
      <c r="J956" s="3" t="s">
        <v>142</v>
      </c>
      <c r="K956" s="3" t="s">
        <v>203</v>
      </c>
      <c r="M956" s="3">
        <v>191.1</v>
      </c>
    </row>
    <row r="957" spans="1:47" x14ac:dyDescent="0.2">
      <c r="A957" s="29">
        <v>960.00000000000091</v>
      </c>
      <c r="B957" s="3">
        <v>205</v>
      </c>
      <c r="C957" s="3">
        <v>22.956</v>
      </c>
      <c r="D957" s="31" t="s">
        <v>140</v>
      </c>
      <c r="E957" s="3" t="s">
        <v>141</v>
      </c>
      <c r="F957" s="3" t="s">
        <v>61</v>
      </c>
      <c r="H957" s="3" t="s">
        <v>61</v>
      </c>
      <c r="I957" s="81">
        <v>44897</v>
      </c>
      <c r="J957" s="3" t="s">
        <v>142</v>
      </c>
      <c r="K957" s="3" t="s">
        <v>203</v>
      </c>
      <c r="M957" s="3">
        <v>189.6</v>
      </c>
    </row>
    <row r="958" spans="1:47" x14ac:dyDescent="0.2">
      <c r="A958" s="29">
        <v>960.99999999999852</v>
      </c>
      <c r="B958" s="3">
        <v>209</v>
      </c>
      <c r="C958" s="3">
        <v>22.957000000000001</v>
      </c>
      <c r="D958" s="31" t="s">
        <v>140</v>
      </c>
      <c r="E958" s="3" t="s">
        <v>141</v>
      </c>
      <c r="F958" s="3" t="s">
        <v>60</v>
      </c>
      <c r="H958" s="3" t="s">
        <v>60</v>
      </c>
      <c r="I958" s="81">
        <v>44900</v>
      </c>
      <c r="J958" s="3" t="s">
        <v>142</v>
      </c>
      <c r="K958" s="3" t="s">
        <v>203</v>
      </c>
      <c r="M958" s="3">
        <v>203.1</v>
      </c>
    </row>
    <row r="959" spans="1:47" x14ac:dyDescent="0.2">
      <c r="A959" s="29">
        <v>961.99999999999977</v>
      </c>
      <c r="B959" s="3">
        <v>206</v>
      </c>
      <c r="C959" s="3">
        <v>22.957999999999998</v>
      </c>
      <c r="D959" s="31" t="s">
        <v>140</v>
      </c>
      <c r="E959" s="3" t="s">
        <v>141</v>
      </c>
      <c r="F959" s="3" t="s">
        <v>61</v>
      </c>
      <c r="H959" s="3" t="s">
        <v>61</v>
      </c>
      <c r="I959" s="81">
        <v>44898</v>
      </c>
      <c r="J959" s="3" t="s">
        <v>142</v>
      </c>
      <c r="K959" s="3" t="s">
        <v>203</v>
      </c>
      <c r="M959" s="3">
        <v>183.3</v>
      </c>
    </row>
    <row r="960" spans="1:47" x14ac:dyDescent="0.2">
      <c r="A960" s="29">
        <v>963.00000000000091</v>
      </c>
      <c r="B960" s="3">
        <v>213</v>
      </c>
      <c r="C960" s="3">
        <v>22.959</v>
      </c>
      <c r="D960" s="31" t="s">
        <v>140</v>
      </c>
      <c r="E960" s="3" t="s">
        <v>141</v>
      </c>
      <c r="F960" s="3" t="s">
        <v>60</v>
      </c>
      <c r="H960" s="3" t="s">
        <v>60</v>
      </c>
      <c r="I960" s="81">
        <v>44904</v>
      </c>
      <c r="J960" s="3" t="s">
        <v>142</v>
      </c>
      <c r="K960" s="3" t="s">
        <v>203</v>
      </c>
      <c r="M960" s="3">
        <v>194.4</v>
      </c>
    </row>
    <row r="961" spans="1:13" x14ac:dyDescent="0.2">
      <c r="A961" s="29">
        <v>963.99999999999864</v>
      </c>
      <c r="B961" s="3">
        <v>218</v>
      </c>
      <c r="C961" s="12" t="s">
        <v>457</v>
      </c>
      <c r="D961" s="31" t="s">
        <v>140</v>
      </c>
      <c r="E961" s="3" t="s">
        <v>141</v>
      </c>
      <c r="F961" s="3" t="s">
        <v>60</v>
      </c>
      <c r="H961" s="3" t="s">
        <v>60</v>
      </c>
      <c r="I961" s="81">
        <v>44906</v>
      </c>
      <c r="J961" s="3" t="s">
        <v>142</v>
      </c>
      <c r="K961" s="3" t="s">
        <v>203</v>
      </c>
      <c r="M961" s="3">
        <v>195.6</v>
      </c>
    </row>
    <row r="962" spans="1:13" x14ac:dyDescent="0.2">
      <c r="A962" s="29">
        <v>964.99999999999989</v>
      </c>
      <c r="B962" s="3">
        <v>221</v>
      </c>
      <c r="C962" s="3">
        <v>22.960999999999999</v>
      </c>
      <c r="D962" s="31" t="s">
        <v>140</v>
      </c>
      <c r="E962" s="3" t="s">
        <v>141</v>
      </c>
      <c r="F962" s="3" t="s">
        <v>60</v>
      </c>
      <c r="H962" s="3" t="s">
        <v>60</v>
      </c>
      <c r="I962" s="81">
        <v>44908</v>
      </c>
      <c r="J962" s="3" t="s">
        <v>142</v>
      </c>
      <c r="K962" s="3" t="s">
        <v>203</v>
      </c>
      <c r="M962" s="3">
        <v>180.7</v>
      </c>
    </row>
    <row r="963" spans="1:13" x14ac:dyDescent="0.2">
      <c r="A963" s="29">
        <v>966.00000000000114</v>
      </c>
      <c r="B963" s="3">
        <v>212</v>
      </c>
      <c r="C963" s="3">
        <v>22.962</v>
      </c>
      <c r="D963" s="31" t="s">
        <v>140</v>
      </c>
      <c r="E963" s="3" t="s">
        <v>141</v>
      </c>
      <c r="F963" s="3" t="s">
        <v>60</v>
      </c>
      <c r="H963" s="3" t="s">
        <v>60</v>
      </c>
      <c r="I963" s="81">
        <v>44904</v>
      </c>
      <c r="J963" s="3" t="s">
        <v>142</v>
      </c>
      <c r="K963" s="3" t="s">
        <v>203</v>
      </c>
      <c r="M963" s="3">
        <v>204</v>
      </c>
    </row>
    <row r="964" spans="1:13" x14ac:dyDescent="0.2">
      <c r="A964" s="29">
        <v>966.99999999999875</v>
      </c>
      <c r="B964" s="3">
        <v>224</v>
      </c>
      <c r="C964" s="3">
        <v>22.963000000000001</v>
      </c>
      <c r="D964" s="31" t="s">
        <v>140</v>
      </c>
      <c r="E964" s="3" t="s">
        <v>141</v>
      </c>
      <c r="F964" s="3" t="s">
        <v>61</v>
      </c>
      <c r="H964" s="3" t="s">
        <v>157</v>
      </c>
      <c r="I964" s="81">
        <v>44908</v>
      </c>
      <c r="J964" s="3" t="s">
        <v>142</v>
      </c>
      <c r="K964" s="3" t="s">
        <v>203</v>
      </c>
      <c r="M964" s="3">
        <v>199.4</v>
      </c>
    </row>
    <row r="965" spans="1:13" x14ac:dyDescent="0.2">
      <c r="A965" s="29">
        <v>968</v>
      </c>
      <c r="B965" s="3">
        <v>222</v>
      </c>
      <c r="C965" s="3">
        <v>22.963999999999999</v>
      </c>
      <c r="D965" s="31" t="s">
        <v>140</v>
      </c>
      <c r="E965" s="3" t="s">
        <v>141</v>
      </c>
      <c r="F965" s="3" t="s">
        <v>60</v>
      </c>
      <c r="H965" s="3" t="s">
        <v>60</v>
      </c>
      <c r="I965" s="81">
        <v>44908</v>
      </c>
      <c r="J965" s="3" t="s">
        <v>142</v>
      </c>
      <c r="K965" s="3" t="s">
        <v>203</v>
      </c>
      <c r="M965" s="3">
        <v>203.6</v>
      </c>
    </row>
    <row r="966" spans="1:13" x14ac:dyDescent="0.2">
      <c r="A966" s="29">
        <v>969.00000000000114</v>
      </c>
      <c r="B966" s="3">
        <v>219</v>
      </c>
      <c r="C966" s="3">
        <v>22.965</v>
      </c>
      <c r="D966" s="31" t="s">
        <v>140</v>
      </c>
      <c r="E966" s="3" t="s">
        <v>141</v>
      </c>
      <c r="F966" s="3" t="s">
        <v>61</v>
      </c>
      <c r="H966" s="3" t="s">
        <v>157</v>
      </c>
      <c r="I966" s="81">
        <v>44907</v>
      </c>
      <c r="J966" s="3" t="s">
        <v>142</v>
      </c>
      <c r="K966" s="3" t="s">
        <v>203</v>
      </c>
      <c r="M966" s="3">
        <v>184.7</v>
      </c>
    </row>
    <row r="967" spans="1:13" x14ac:dyDescent="0.2">
      <c r="A967" s="29">
        <v>969.99999999999886</v>
      </c>
      <c r="B967" s="3">
        <v>217</v>
      </c>
      <c r="C967" s="3">
        <v>22.966000000000001</v>
      </c>
      <c r="D967" s="31" t="s">
        <v>140</v>
      </c>
      <c r="E967" s="3" t="s">
        <v>141</v>
      </c>
      <c r="F967" s="3" t="s">
        <v>61</v>
      </c>
      <c r="H967" s="3" t="s">
        <v>157</v>
      </c>
      <c r="I967" s="81">
        <v>44905</v>
      </c>
      <c r="J967" s="3" t="s">
        <v>142</v>
      </c>
      <c r="K967" s="3" t="s">
        <v>203</v>
      </c>
      <c r="M967" s="3">
        <v>202.5</v>
      </c>
    </row>
    <row r="968" spans="1:13" x14ac:dyDescent="0.2">
      <c r="A968" s="29">
        <v>971.00000000000011</v>
      </c>
      <c r="B968" s="3">
        <v>227</v>
      </c>
      <c r="C968" s="3">
        <v>22.966999999999999</v>
      </c>
      <c r="D968" s="31" t="s">
        <v>140</v>
      </c>
      <c r="E968" s="3" t="s">
        <v>141</v>
      </c>
      <c r="F968" s="3" t="s">
        <v>61</v>
      </c>
      <c r="H968" s="3" t="s">
        <v>157</v>
      </c>
      <c r="I968" s="81">
        <v>44908</v>
      </c>
      <c r="J968" s="3" t="s">
        <v>142</v>
      </c>
      <c r="K968" s="3" t="s">
        <v>203</v>
      </c>
      <c r="M968" s="3">
        <v>184</v>
      </c>
    </row>
    <row r="969" spans="1:13" x14ac:dyDescent="0.2">
      <c r="A969" s="29">
        <v>972.00000000000136</v>
      </c>
      <c r="B969" s="3">
        <v>226</v>
      </c>
      <c r="C969" s="3">
        <v>22.968</v>
      </c>
      <c r="D969" s="31" t="s">
        <v>140</v>
      </c>
      <c r="E969" s="3" t="s">
        <v>141</v>
      </c>
      <c r="F969" s="3" t="s">
        <v>61</v>
      </c>
      <c r="H969" s="3" t="s">
        <v>157</v>
      </c>
      <c r="I969" s="81">
        <v>44908</v>
      </c>
      <c r="J969" s="3" t="s">
        <v>142</v>
      </c>
      <c r="K969" s="3" t="s">
        <v>203</v>
      </c>
      <c r="M969" s="3">
        <v>192.3</v>
      </c>
    </row>
    <row r="970" spans="1:13" x14ac:dyDescent="0.2">
      <c r="A970" s="29">
        <v>972.99999999999898</v>
      </c>
      <c r="B970" s="3">
        <v>211</v>
      </c>
      <c r="C970" s="3">
        <v>22.969000000000001</v>
      </c>
      <c r="D970" s="31" t="s">
        <v>140</v>
      </c>
      <c r="E970" s="3" t="s">
        <v>141</v>
      </c>
      <c r="F970" s="17" t="s">
        <v>62</v>
      </c>
      <c r="H970" s="17" t="s">
        <v>62</v>
      </c>
      <c r="I970" s="81">
        <v>44902</v>
      </c>
      <c r="J970" s="3" t="s">
        <v>142</v>
      </c>
      <c r="K970" s="3" t="s">
        <v>203</v>
      </c>
      <c r="M970" s="3">
        <v>203.8</v>
      </c>
    </row>
    <row r="971" spans="1:13" x14ac:dyDescent="0.2">
      <c r="A971" s="29">
        <v>974.00000000000023</v>
      </c>
      <c r="B971" s="3">
        <v>202</v>
      </c>
      <c r="C971" s="12" t="s">
        <v>458</v>
      </c>
      <c r="D971" s="31" t="s">
        <v>140</v>
      </c>
      <c r="E971" s="3" t="s">
        <v>141</v>
      </c>
      <c r="F971" s="3" t="s">
        <v>60</v>
      </c>
      <c r="H971" s="3" t="s">
        <v>60</v>
      </c>
      <c r="I971" s="81">
        <v>44907</v>
      </c>
      <c r="J971" s="3" t="s">
        <v>142</v>
      </c>
      <c r="K971" s="3" t="s">
        <v>203</v>
      </c>
      <c r="M971" s="3">
        <v>201.6</v>
      </c>
    </row>
    <row r="972" spans="1:13" x14ac:dyDescent="0.2">
      <c r="A972" s="29">
        <v>975.00000000000136</v>
      </c>
      <c r="B972" s="3">
        <v>216</v>
      </c>
      <c r="C972" s="3">
        <v>22.971</v>
      </c>
      <c r="D972" s="31" t="s">
        <v>140</v>
      </c>
      <c r="E972" s="3" t="s">
        <v>141</v>
      </c>
      <c r="F972" s="3" t="s">
        <v>60</v>
      </c>
      <c r="H972" s="3" t="s">
        <v>60</v>
      </c>
      <c r="I972" s="81">
        <v>44905</v>
      </c>
      <c r="J972" s="3" t="s">
        <v>142</v>
      </c>
      <c r="K972" s="3" t="s">
        <v>203</v>
      </c>
      <c r="M972" s="3">
        <v>198.4</v>
      </c>
    </row>
    <row r="973" spans="1:13" x14ac:dyDescent="0.2">
      <c r="A973" s="29">
        <v>975.99999999999909</v>
      </c>
      <c r="B973" s="3">
        <v>234</v>
      </c>
      <c r="C973" s="3">
        <v>22.972000000000001</v>
      </c>
      <c r="D973" s="31" t="s">
        <v>140</v>
      </c>
      <c r="E973" s="3" t="s">
        <v>141</v>
      </c>
      <c r="F973" s="17" t="s">
        <v>62</v>
      </c>
      <c r="H973" s="17" t="s">
        <v>62</v>
      </c>
      <c r="I973" s="81">
        <v>44911</v>
      </c>
      <c r="J973" s="3" t="s">
        <v>142</v>
      </c>
      <c r="K973" s="3" t="s">
        <v>203</v>
      </c>
      <c r="M973" s="3">
        <v>205.6</v>
      </c>
    </row>
    <row r="974" spans="1:13" x14ac:dyDescent="0.2">
      <c r="A974" s="29">
        <v>977.00000000000034</v>
      </c>
      <c r="B974" s="3">
        <v>233</v>
      </c>
      <c r="C974" s="3">
        <v>22.972999999999999</v>
      </c>
      <c r="D974" s="31" t="s">
        <v>140</v>
      </c>
      <c r="E974" s="3" t="s">
        <v>141</v>
      </c>
      <c r="F974" s="17" t="s">
        <v>62</v>
      </c>
      <c r="H974" s="17" t="s">
        <v>62</v>
      </c>
      <c r="I974" s="81">
        <v>44911</v>
      </c>
      <c r="J974" s="3" t="s">
        <v>142</v>
      </c>
      <c r="K974" s="3" t="s">
        <v>203</v>
      </c>
      <c r="M974" s="3">
        <v>204.2</v>
      </c>
    </row>
    <row r="975" spans="1:13" x14ac:dyDescent="0.2">
      <c r="A975" s="29">
        <v>978.00000000000159</v>
      </c>
      <c r="B975" s="3">
        <v>225</v>
      </c>
      <c r="C975" s="3">
        <v>22.974</v>
      </c>
      <c r="D975" s="31" t="s">
        <v>140</v>
      </c>
      <c r="E975" s="3" t="s">
        <v>141</v>
      </c>
      <c r="F975" s="17" t="s">
        <v>62</v>
      </c>
      <c r="H975" s="17" t="s">
        <v>62</v>
      </c>
      <c r="I975" s="81">
        <v>44908</v>
      </c>
      <c r="J975" s="3" t="s">
        <v>142</v>
      </c>
      <c r="K975" s="3" t="s">
        <v>203</v>
      </c>
      <c r="M975" s="3">
        <v>201.2</v>
      </c>
    </row>
    <row r="976" spans="1:13" x14ac:dyDescent="0.2">
      <c r="A976" s="29">
        <v>978.9999999999992</v>
      </c>
      <c r="B976" s="3">
        <v>235</v>
      </c>
      <c r="C976" s="3">
        <v>22.975000000000001</v>
      </c>
      <c r="D976" s="31" t="s">
        <v>140</v>
      </c>
      <c r="E976" s="3" t="s">
        <v>141</v>
      </c>
      <c r="F976" s="17" t="s">
        <v>62</v>
      </c>
      <c r="H976" s="17" t="s">
        <v>62</v>
      </c>
      <c r="I976" s="81">
        <v>44913</v>
      </c>
      <c r="J976" s="3" t="s">
        <v>142</v>
      </c>
      <c r="K976" s="3" t="s">
        <v>203</v>
      </c>
      <c r="M976" s="3">
        <v>207.3</v>
      </c>
    </row>
    <row r="977" spans="1:47" x14ac:dyDescent="0.2">
      <c r="A977" s="29">
        <v>980.00000000000045</v>
      </c>
      <c r="B977" s="3">
        <v>232</v>
      </c>
      <c r="C977" s="3">
        <v>22.975999999999999</v>
      </c>
      <c r="D977" s="31" t="s">
        <v>140</v>
      </c>
      <c r="E977" s="3" t="s">
        <v>141</v>
      </c>
      <c r="F977" s="17" t="s">
        <v>62</v>
      </c>
      <c r="H977" s="17" t="s">
        <v>62</v>
      </c>
      <c r="I977" s="81">
        <v>44911</v>
      </c>
      <c r="J977" s="3" t="s">
        <v>142</v>
      </c>
      <c r="K977" s="3" t="s">
        <v>203</v>
      </c>
      <c r="M977" s="3">
        <v>204.1</v>
      </c>
    </row>
    <row r="978" spans="1:47" x14ac:dyDescent="0.2">
      <c r="A978" s="29">
        <v>980.99999999999397</v>
      </c>
      <c r="B978" s="3">
        <v>243</v>
      </c>
      <c r="C978" s="3">
        <v>22.977</v>
      </c>
      <c r="D978" s="31" t="s">
        <v>140</v>
      </c>
      <c r="E978" s="3" t="s">
        <v>141</v>
      </c>
      <c r="F978" s="17" t="s">
        <v>62</v>
      </c>
      <c r="H978" s="17" t="s">
        <v>62</v>
      </c>
      <c r="I978" s="81">
        <v>44926</v>
      </c>
      <c r="J978" s="3" t="s">
        <v>142</v>
      </c>
      <c r="K978" s="3" t="s">
        <v>203</v>
      </c>
      <c r="M978" s="3">
        <v>208</v>
      </c>
    </row>
    <row r="979" spans="1:47" x14ac:dyDescent="0.2">
      <c r="A979" s="29">
        <v>981.99999999999204</v>
      </c>
      <c r="B979" s="3">
        <v>242</v>
      </c>
      <c r="C979" s="3">
        <v>22.978000000000002</v>
      </c>
      <c r="D979" s="31" t="s">
        <v>140</v>
      </c>
      <c r="E979" s="3" t="s">
        <v>141</v>
      </c>
      <c r="F979" s="17" t="s">
        <v>62</v>
      </c>
      <c r="H979" s="17" t="s">
        <v>62</v>
      </c>
      <c r="I979" s="81">
        <v>44926</v>
      </c>
      <c r="J979" s="3" t="s">
        <v>142</v>
      </c>
      <c r="K979" s="3" t="s">
        <v>203</v>
      </c>
      <c r="M979" s="3">
        <v>207.1</v>
      </c>
    </row>
    <row r="980" spans="1:47" x14ac:dyDescent="0.2">
      <c r="A980" s="29">
        <v>982.99999999999</v>
      </c>
      <c r="B980" s="3">
        <v>244</v>
      </c>
      <c r="C980" s="3">
        <v>22.978999999999999</v>
      </c>
      <c r="D980" s="31" t="s">
        <v>140</v>
      </c>
      <c r="E980" s="3" t="s">
        <v>141</v>
      </c>
      <c r="F980" s="17" t="s">
        <v>62</v>
      </c>
      <c r="H980" s="17" t="s">
        <v>62</v>
      </c>
      <c r="I980" s="81">
        <v>44926</v>
      </c>
      <c r="J980" s="3" t="s">
        <v>142</v>
      </c>
      <c r="K980" s="3" t="s">
        <v>203</v>
      </c>
      <c r="M980" s="3">
        <v>209.7</v>
      </c>
    </row>
    <row r="981" spans="1:47" x14ac:dyDescent="0.2">
      <c r="A981" s="29">
        <v>983.99999999998704</v>
      </c>
      <c r="B981" s="3">
        <v>241</v>
      </c>
      <c r="C981" s="12" t="s">
        <v>459</v>
      </c>
      <c r="D981" s="31" t="s">
        <v>140</v>
      </c>
      <c r="E981" s="3" t="s">
        <v>141</v>
      </c>
      <c r="F981" s="17" t="s">
        <v>62</v>
      </c>
      <c r="H981" s="17" t="s">
        <v>62</v>
      </c>
      <c r="I981" s="81">
        <v>44926</v>
      </c>
      <c r="J981" s="3" t="s">
        <v>142</v>
      </c>
      <c r="K981" s="3" t="s">
        <v>203</v>
      </c>
      <c r="M981" s="3">
        <v>221.7</v>
      </c>
    </row>
    <row r="982" spans="1:47" x14ac:dyDescent="0.2">
      <c r="A982" s="29">
        <v>984.99999999998499</v>
      </c>
      <c r="B982" s="3">
        <v>239</v>
      </c>
      <c r="C982" s="3">
        <v>22.981000000000002</v>
      </c>
      <c r="D982" s="31" t="s">
        <v>140</v>
      </c>
      <c r="E982" s="3" t="s">
        <v>141</v>
      </c>
      <c r="F982" s="17" t="s">
        <v>62</v>
      </c>
      <c r="H982" s="17" t="s">
        <v>62</v>
      </c>
      <c r="I982" s="81">
        <v>44926</v>
      </c>
      <c r="J982" s="3" t="s">
        <v>142</v>
      </c>
      <c r="K982" s="3" t="s">
        <v>203</v>
      </c>
      <c r="M982" s="3">
        <v>210</v>
      </c>
    </row>
    <row r="983" spans="1:47" x14ac:dyDescent="0.2">
      <c r="A983" s="29">
        <v>985.99999999998204</v>
      </c>
      <c r="B983" s="3">
        <v>240</v>
      </c>
      <c r="C983" s="3">
        <v>22.981999999999999</v>
      </c>
      <c r="D983" s="31" t="s">
        <v>140</v>
      </c>
      <c r="E983" s="3" t="s">
        <v>141</v>
      </c>
      <c r="F983" s="17" t="s">
        <v>62</v>
      </c>
      <c r="H983" s="17" t="s">
        <v>62</v>
      </c>
      <c r="I983" s="81">
        <v>44926</v>
      </c>
      <c r="J983" s="3" t="s">
        <v>142</v>
      </c>
      <c r="K983" s="3" t="s">
        <v>203</v>
      </c>
      <c r="M983" s="3">
        <v>221.6</v>
      </c>
    </row>
    <row r="984" spans="1:47" x14ac:dyDescent="0.2">
      <c r="A984" s="29">
        <v>986.99999999997999</v>
      </c>
      <c r="B984" s="3">
        <v>245</v>
      </c>
      <c r="C984" s="3">
        <v>22.983000000000001</v>
      </c>
      <c r="D984" s="31" t="s">
        <v>140</v>
      </c>
      <c r="E984" s="3" t="s">
        <v>141</v>
      </c>
      <c r="F984" s="17" t="s">
        <v>62</v>
      </c>
      <c r="H984" s="17" t="s">
        <v>62</v>
      </c>
      <c r="I984" s="81">
        <v>44926</v>
      </c>
      <c r="J984" s="3" t="s">
        <v>142</v>
      </c>
      <c r="K984" s="3" t="s">
        <v>203</v>
      </c>
      <c r="M984" s="3">
        <v>208.3</v>
      </c>
    </row>
    <row r="985" spans="1:47" ht="17" x14ac:dyDescent="0.2">
      <c r="A985" s="29">
        <v>987.99999999997794</v>
      </c>
      <c r="B985" s="53">
        <v>144</v>
      </c>
      <c r="C985">
        <v>22.984000000000002</v>
      </c>
      <c r="D985" s="65" t="s">
        <v>148</v>
      </c>
      <c r="E985" s="3" t="s">
        <v>229</v>
      </c>
      <c r="F985" s="3" t="s">
        <v>74</v>
      </c>
      <c r="G985" s="3" t="s">
        <v>74</v>
      </c>
      <c r="I985" s="114">
        <v>44878</v>
      </c>
      <c r="J985" s="3" t="s">
        <v>142</v>
      </c>
      <c r="K985" s="114" t="s">
        <v>204</v>
      </c>
      <c r="L985"/>
      <c r="M985" s="53">
        <v>243.3</v>
      </c>
      <c r="N985" s="88">
        <v>250.5</v>
      </c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>
        <v>1.464</v>
      </c>
      <c r="AJ985">
        <v>37.9</v>
      </c>
      <c r="AK985" t="s">
        <v>172</v>
      </c>
      <c r="AL985"/>
      <c r="AM985"/>
      <c r="AN985">
        <v>109</v>
      </c>
      <c r="AO985"/>
      <c r="AP985"/>
      <c r="AQ985"/>
      <c r="AR985"/>
      <c r="AS985"/>
      <c r="AT985" t="s">
        <v>146</v>
      </c>
      <c r="AU985" t="s">
        <v>448</v>
      </c>
    </row>
    <row r="986" spans="1:47" x14ac:dyDescent="0.2">
      <c r="A986" s="29">
        <v>988.99999999997499</v>
      </c>
      <c r="B986" s="53">
        <v>145</v>
      </c>
      <c r="C986">
        <v>22.984999999999999</v>
      </c>
      <c r="D986" s="65" t="s">
        <v>148</v>
      </c>
      <c r="E986" s="3" t="s">
        <v>229</v>
      </c>
      <c r="F986" s="3" t="s">
        <v>74</v>
      </c>
      <c r="G986" s="3" t="s">
        <v>74</v>
      </c>
      <c r="I986" s="63">
        <v>44880</v>
      </c>
      <c r="J986" s="3" t="s">
        <v>142</v>
      </c>
      <c r="K986" s="123" t="s">
        <v>204</v>
      </c>
      <c r="L986"/>
      <c r="M986" s="53">
        <v>233.4</v>
      </c>
      <c r="N986" s="88">
        <v>240</v>
      </c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>
        <v>1.411</v>
      </c>
      <c r="AJ986">
        <v>35.4</v>
      </c>
      <c r="AK986" t="s">
        <v>172</v>
      </c>
      <c r="AL986"/>
      <c r="AM986"/>
      <c r="AN986">
        <v>114</v>
      </c>
      <c r="AO986"/>
      <c r="AP986"/>
      <c r="AQ986"/>
      <c r="AR986"/>
      <c r="AS986"/>
      <c r="AT986" t="s">
        <v>146</v>
      </c>
      <c r="AU986" t="s">
        <v>448</v>
      </c>
    </row>
    <row r="987" spans="1:47" x14ac:dyDescent="0.2">
      <c r="A987" s="29">
        <v>989.99999999997306</v>
      </c>
      <c r="B987" s="53">
        <v>146</v>
      </c>
      <c r="C987">
        <v>22.986000000000001</v>
      </c>
      <c r="D987" s="65" t="s">
        <v>148</v>
      </c>
      <c r="E987" s="3" t="s">
        <v>229</v>
      </c>
      <c r="F987" s="3" t="s">
        <v>74</v>
      </c>
      <c r="G987" s="3" t="s">
        <v>74</v>
      </c>
      <c r="I987" s="63">
        <v>44890</v>
      </c>
      <c r="J987" s="3" t="s">
        <v>142</v>
      </c>
      <c r="K987" s="123" t="s">
        <v>204</v>
      </c>
      <c r="L987"/>
      <c r="M987" s="53">
        <v>244.8</v>
      </c>
      <c r="N987" s="88">
        <v>250.7</v>
      </c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>
        <v>1.5209999999999999</v>
      </c>
      <c r="AJ987">
        <v>38.6</v>
      </c>
      <c r="AK987" t="s">
        <v>172</v>
      </c>
      <c r="AL987"/>
      <c r="AM987"/>
      <c r="AN987">
        <v>94</v>
      </c>
      <c r="AO987"/>
      <c r="AP987"/>
      <c r="AQ987"/>
      <c r="AR987"/>
      <c r="AS987"/>
      <c r="AT987" t="s">
        <v>146</v>
      </c>
      <c r="AU987" t="s">
        <v>448</v>
      </c>
    </row>
    <row r="988" spans="1:47" x14ac:dyDescent="0.2">
      <c r="A988" s="29">
        <v>990.99999999997101</v>
      </c>
      <c r="B988" s="17">
        <v>214</v>
      </c>
      <c r="C988">
        <v>22.986999999999998</v>
      </c>
      <c r="D988" s="31" t="s">
        <v>140</v>
      </c>
      <c r="E988" s="3" t="s">
        <v>141</v>
      </c>
      <c r="F988" s="3" t="s">
        <v>61</v>
      </c>
      <c r="H988" s="3" t="s">
        <v>61</v>
      </c>
      <c r="I988" s="68">
        <v>44905</v>
      </c>
      <c r="J988" s="3" t="s">
        <v>142</v>
      </c>
      <c r="K988" s="3" t="s">
        <v>235</v>
      </c>
      <c r="L988"/>
      <c r="M988" s="17">
        <v>248.6</v>
      </c>
      <c r="N988" s="88">
        <v>245.9</v>
      </c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>
        <v>1.1970000000000001</v>
      </c>
      <c r="AJ988">
        <v>42.1</v>
      </c>
      <c r="AK988" t="s">
        <v>172</v>
      </c>
      <c r="AL988"/>
      <c r="AM988"/>
      <c r="AN988">
        <v>91</v>
      </c>
      <c r="AO988"/>
      <c r="AP988"/>
      <c r="AQ988"/>
      <c r="AR988"/>
      <c r="AS988"/>
      <c r="AT988" t="s">
        <v>146</v>
      </c>
      <c r="AU988" t="s">
        <v>448</v>
      </c>
    </row>
    <row r="989" spans="1:47" x14ac:dyDescent="0.2">
      <c r="A989" s="29">
        <v>991.99999999996805</v>
      </c>
      <c r="B989" s="17">
        <v>231</v>
      </c>
      <c r="C989">
        <v>22.988</v>
      </c>
      <c r="D989" s="31" t="s">
        <v>140</v>
      </c>
      <c r="E989" s="3" t="s">
        <v>141</v>
      </c>
      <c r="F989" s="17" t="s">
        <v>62</v>
      </c>
      <c r="H989" s="17" t="s">
        <v>62</v>
      </c>
      <c r="I989" s="68">
        <v>44910</v>
      </c>
      <c r="J989" s="3" t="s">
        <v>142</v>
      </c>
      <c r="K989" s="3" t="s">
        <v>235</v>
      </c>
      <c r="L989"/>
      <c r="M989" s="17">
        <v>264.2</v>
      </c>
      <c r="N989" s="88">
        <v>260.10000000000002</v>
      </c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>
        <v>1.4450000000000001</v>
      </c>
      <c r="AJ989">
        <v>49.5</v>
      </c>
      <c r="AK989" t="s">
        <v>173</v>
      </c>
      <c r="AL989">
        <v>6.5</v>
      </c>
      <c r="AM989">
        <v>48</v>
      </c>
      <c r="AN989"/>
      <c r="AO989"/>
      <c r="AP989"/>
      <c r="AQ989"/>
      <c r="AR989"/>
      <c r="AS989"/>
      <c r="AT989" t="s">
        <v>146</v>
      </c>
      <c r="AU989" t="s">
        <v>448</v>
      </c>
    </row>
    <row r="990" spans="1:47" x14ac:dyDescent="0.2">
      <c r="A990" s="29">
        <v>992.99999999996601</v>
      </c>
      <c r="B990" s="17">
        <v>228</v>
      </c>
      <c r="C990">
        <v>22.989000000000001</v>
      </c>
      <c r="D990" s="31" t="s">
        <v>140</v>
      </c>
      <c r="E990" s="3" t="s">
        <v>141</v>
      </c>
      <c r="F990" s="17" t="s">
        <v>62</v>
      </c>
      <c r="H990" s="17" t="s">
        <v>62</v>
      </c>
      <c r="I990" s="68">
        <v>44908</v>
      </c>
      <c r="J990" s="3" t="s">
        <v>142</v>
      </c>
      <c r="K990" s="3" t="s">
        <v>235</v>
      </c>
      <c r="L990"/>
      <c r="M990" s="17">
        <v>259.60000000000002</v>
      </c>
      <c r="N990" s="117">
        <v>261</v>
      </c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>
        <v>1.3979999999999999</v>
      </c>
      <c r="AJ990">
        <v>48.3</v>
      </c>
      <c r="AK990" t="s">
        <v>173</v>
      </c>
      <c r="AL990">
        <v>8</v>
      </c>
      <c r="AM990">
        <v>53</v>
      </c>
      <c r="AN990"/>
      <c r="AO990"/>
      <c r="AP990"/>
      <c r="AQ990"/>
      <c r="AR990"/>
      <c r="AS990"/>
      <c r="AT990"/>
      <c r="AU990"/>
    </row>
    <row r="991" spans="1:47" x14ac:dyDescent="0.2">
      <c r="A991" s="29">
        <v>993.99999999996305</v>
      </c>
      <c r="B991" s="17">
        <v>229</v>
      </c>
      <c r="C991" s="5" t="s">
        <v>460</v>
      </c>
      <c r="D991" s="31" t="s">
        <v>140</v>
      </c>
      <c r="E991" s="3" t="s">
        <v>141</v>
      </c>
      <c r="F991" s="3" t="s">
        <v>61</v>
      </c>
      <c r="H991" s="3" t="s">
        <v>61</v>
      </c>
      <c r="I991" s="68">
        <v>44908</v>
      </c>
      <c r="J991" s="3" t="s">
        <v>142</v>
      </c>
      <c r="K991" s="3" t="s">
        <v>235</v>
      </c>
      <c r="L991"/>
      <c r="M991" s="17">
        <v>243.4</v>
      </c>
      <c r="N991" s="117">
        <v>240.2</v>
      </c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>
        <v>1.1739999999999999</v>
      </c>
      <c r="AJ991">
        <v>44.6</v>
      </c>
      <c r="AK991" t="s">
        <v>173</v>
      </c>
      <c r="AL991"/>
      <c r="AM991"/>
      <c r="AN991">
        <v>57</v>
      </c>
      <c r="AO991"/>
      <c r="AP991"/>
      <c r="AQ991"/>
      <c r="AR991"/>
      <c r="AS991"/>
      <c r="AT991"/>
      <c r="AU991"/>
    </row>
    <row r="992" spans="1:47" x14ac:dyDescent="0.2">
      <c r="A992" s="29">
        <v>994.99999999996101</v>
      </c>
      <c r="B992" s="17">
        <v>223</v>
      </c>
      <c r="C992">
        <v>22.991</v>
      </c>
      <c r="D992" s="31" t="s">
        <v>140</v>
      </c>
      <c r="E992" s="3" t="s">
        <v>141</v>
      </c>
      <c r="F992" s="3" t="s">
        <v>61</v>
      </c>
      <c r="H992" s="3" t="s">
        <v>61</v>
      </c>
      <c r="I992" s="68">
        <v>44908</v>
      </c>
      <c r="J992" s="3" t="s">
        <v>142</v>
      </c>
      <c r="K992" s="3" t="s">
        <v>235</v>
      </c>
      <c r="L992"/>
      <c r="M992" s="17">
        <v>239.7</v>
      </c>
      <c r="N992" s="88">
        <v>237.3</v>
      </c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>
        <v>1.1599999999999999</v>
      </c>
      <c r="AJ992">
        <v>42.6</v>
      </c>
      <c r="AK992" t="s">
        <v>173</v>
      </c>
      <c r="AL992"/>
      <c r="AM992"/>
      <c r="AN992">
        <v>74</v>
      </c>
      <c r="AO992"/>
      <c r="AP992"/>
      <c r="AQ992"/>
      <c r="AR992"/>
      <c r="AS992"/>
      <c r="AT992"/>
      <c r="AU992"/>
    </row>
    <row r="993" spans="1:47" ht="20" customHeight="1" x14ac:dyDescent="0.2">
      <c r="A993" s="29">
        <v>995.99999999995896</v>
      </c>
      <c r="B993" s="17">
        <v>236</v>
      </c>
      <c r="C993">
        <v>22.992000000000001</v>
      </c>
      <c r="D993" s="31" t="s">
        <v>140</v>
      </c>
      <c r="E993" s="3" t="s">
        <v>141</v>
      </c>
      <c r="F993" s="3" t="s">
        <v>61</v>
      </c>
      <c r="H993" s="3" t="s">
        <v>157</v>
      </c>
      <c r="I993" s="68">
        <v>44915</v>
      </c>
      <c r="J993" s="3" t="s">
        <v>142</v>
      </c>
      <c r="K993" s="3" t="s">
        <v>235</v>
      </c>
      <c r="L993"/>
      <c r="M993" s="17">
        <v>234.8</v>
      </c>
      <c r="N993" s="88">
        <v>231.5</v>
      </c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>
        <v>1.008</v>
      </c>
      <c r="AJ993">
        <v>35.200000000000003</v>
      </c>
      <c r="AK993" t="s">
        <v>172</v>
      </c>
      <c r="AL993"/>
      <c r="AM993"/>
      <c r="AN993">
        <v>103</v>
      </c>
      <c r="AO993"/>
      <c r="AP993"/>
      <c r="AQ993"/>
      <c r="AR993"/>
      <c r="AS993"/>
      <c r="AT993"/>
      <c r="AU993"/>
    </row>
    <row r="994" spans="1:47" x14ac:dyDescent="0.2">
      <c r="A994" s="29">
        <v>996.999999999956</v>
      </c>
      <c r="B994" s="17">
        <v>215</v>
      </c>
      <c r="C994">
        <v>22.992999999999999</v>
      </c>
      <c r="D994" s="31" t="s">
        <v>140</v>
      </c>
      <c r="E994" s="3" t="s">
        <v>141</v>
      </c>
      <c r="F994" s="3" t="s">
        <v>60</v>
      </c>
      <c r="H994" s="3" t="s">
        <v>60</v>
      </c>
      <c r="I994" s="68">
        <v>44905</v>
      </c>
      <c r="J994" s="3" t="s">
        <v>142</v>
      </c>
      <c r="K994" s="3" t="s">
        <v>235</v>
      </c>
      <c r="L994"/>
      <c r="M994" s="17">
        <v>266.5</v>
      </c>
      <c r="N994" s="88">
        <v>264.2</v>
      </c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>
        <v>1.823</v>
      </c>
      <c r="AJ994">
        <v>50</v>
      </c>
      <c r="AK994" t="s">
        <v>173</v>
      </c>
      <c r="AL994">
        <v>9</v>
      </c>
      <c r="AM994">
        <v>71</v>
      </c>
      <c r="AN994"/>
      <c r="AO994"/>
      <c r="AP994"/>
      <c r="AQ994"/>
      <c r="AR994"/>
      <c r="AS994"/>
      <c r="AT994"/>
      <c r="AU994"/>
    </row>
    <row r="995" spans="1:47" x14ac:dyDescent="0.2">
      <c r="A995" s="29">
        <v>997.99999999995396</v>
      </c>
      <c r="B995" s="17">
        <v>230</v>
      </c>
      <c r="C995">
        <v>22.994</v>
      </c>
      <c r="D995" s="31" t="s">
        <v>140</v>
      </c>
      <c r="E995" s="3" t="s">
        <v>141</v>
      </c>
      <c r="F995" s="3" t="s">
        <v>61</v>
      </c>
      <c r="H995" s="3" t="s">
        <v>61</v>
      </c>
      <c r="I995" s="68">
        <v>44908</v>
      </c>
      <c r="J995" s="3" t="s">
        <v>142</v>
      </c>
      <c r="K995" s="3" t="s">
        <v>235</v>
      </c>
      <c r="L995"/>
      <c r="M995" s="17">
        <v>231.8</v>
      </c>
      <c r="N995" s="88">
        <v>227.5</v>
      </c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>
        <v>1.0720000000000001</v>
      </c>
      <c r="AJ995">
        <v>40.200000000000003</v>
      </c>
      <c r="AK995" t="s">
        <v>173</v>
      </c>
      <c r="AL995"/>
      <c r="AM995"/>
      <c r="AN995">
        <v>71</v>
      </c>
      <c r="AO995"/>
      <c r="AP995"/>
      <c r="AQ995"/>
      <c r="AR995"/>
      <c r="AS995"/>
      <c r="AT995"/>
      <c r="AU995"/>
    </row>
    <row r="996" spans="1:47" x14ac:dyDescent="0.2">
      <c r="A996" s="29">
        <v>998.999999999951</v>
      </c>
      <c r="B996" s="77">
        <v>493</v>
      </c>
      <c r="C996" s="17">
        <v>22.995000000000001</v>
      </c>
      <c r="D996" s="78" t="s">
        <v>168</v>
      </c>
      <c r="E996" s="17" t="s">
        <v>169</v>
      </c>
      <c r="F996" s="3" t="s">
        <v>170</v>
      </c>
      <c r="G996" s="17"/>
      <c r="H996" s="18" t="s">
        <v>177</v>
      </c>
      <c r="I996" s="68">
        <v>44852</v>
      </c>
      <c r="J996" s="17" t="s">
        <v>142</v>
      </c>
      <c r="K996" s="17" t="s">
        <v>204</v>
      </c>
      <c r="L996"/>
      <c r="M996" s="102"/>
      <c r="N996" s="117">
        <v>309.39999999999998</v>
      </c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>
        <v>1.2290000000000001</v>
      </c>
      <c r="AJ996" s="55"/>
      <c r="AK996" t="s">
        <v>172</v>
      </c>
      <c r="AL996"/>
      <c r="AM996"/>
      <c r="AN996"/>
      <c r="AO996"/>
      <c r="AP996"/>
      <c r="AQ996"/>
      <c r="AR996"/>
      <c r="AS996"/>
      <c r="AT996" t="s">
        <v>146</v>
      </c>
      <c r="AU996" t="s">
        <v>448</v>
      </c>
    </row>
    <row r="997" spans="1:47" x14ac:dyDescent="0.2">
      <c r="A997" s="29">
        <v>999.99999999994895</v>
      </c>
      <c r="B997" s="77">
        <v>340</v>
      </c>
      <c r="C997" s="17">
        <v>22.995999999999999</v>
      </c>
      <c r="D997" s="66" t="s">
        <v>151</v>
      </c>
      <c r="E997" s="17"/>
      <c r="F997" s="3" t="s">
        <v>153</v>
      </c>
      <c r="G997" s="3" t="s">
        <v>89</v>
      </c>
      <c r="H997" s="17"/>
      <c r="I997" s="68">
        <v>44869</v>
      </c>
      <c r="J997" s="17" t="s">
        <v>142</v>
      </c>
      <c r="K997" s="17" t="s">
        <v>204</v>
      </c>
      <c r="L997"/>
      <c r="M997"/>
      <c r="N997" s="117">
        <v>324.39999999999998</v>
      </c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>
        <v>1.407</v>
      </c>
      <c r="AJ997">
        <v>57.6</v>
      </c>
      <c r="AK997" t="s">
        <v>173</v>
      </c>
      <c r="AL997"/>
      <c r="AM997"/>
      <c r="AN997">
        <v>183</v>
      </c>
      <c r="AO997"/>
      <c r="AP997"/>
      <c r="AQ997"/>
      <c r="AR997"/>
      <c r="AS997"/>
      <c r="AT997" t="s">
        <v>146</v>
      </c>
      <c r="AU997" t="s">
        <v>448</v>
      </c>
    </row>
    <row r="998" spans="1:47" x14ac:dyDescent="0.2">
      <c r="A998" s="29">
        <v>1000.99999999995</v>
      </c>
      <c r="B998" s="28" t="s">
        <v>461</v>
      </c>
      <c r="C998">
        <v>22.997</v>
      </c>
      <c r="D998" s="74" t="s">
        <v>179</v>
      </c>
      <c r="E998" t="s">
        <v>180</v>
      </c>
      <c r="F998" t="s">
        <v>181</v>
      </c>
      <c r="G998"/>
      <c r="H998" t="s">
        <v>182</v>
      </c>
      <c r="I998" s="56">
        <v>44897</v>
      </c>
      <c r="J998" s="3" t="s">
        <v>142</v>
      </c>
      <c r="K998" s="123" t="s">
        <v>204</v>
      </c>
      <c r="L998">
        <v>280</v>
      </c>
      <c r="M998" s="53"/>
      <c r="N998" s="117">
        <v>280.8</v>
      </c>
      <c r="O998">
        <v>205.49</v>
      </c>
      <c r="P998">
        <v>224.36</v>
      </c>
      <c r="Q998">
        <v>58.52</v>
      </c>
      <c r="R998">
        <v>19.86</v>
      </c>
      <c r="S998">
        <v>130.66</v>
      </c>
      <c r="T998">
        <v>107.56</v>
      </c>
      <c r="U998">
        <v>60.86</v>
      </c>
      <c r="V998">
        <v>48.69</v>
      </c>
      <c r="W998">
        <v>65.290000000000006</v>
      </c>
      <c r="X998">
        <v>87.19</v>
      </c>
      <c r="Y998">
        <v>41.32</v>
      </c>
      <c r="Z998">
        <v>94.24</v>
      </c>
      <c r="AA998">
        <v>78.94</v>
      </c>
      <c r="AB998">
        <v>6.12</v>
      </c>
      <c r="AC998">
        <v>9.17</v>
      </c>
      <c r="AD998">
        <v>55.49</v>
      </c>
      <c r="AE998">
        <v>32.19</v>
      </c>
      <c r="AF998">
        <v>40.64</v>
      </c>
      <c r="AG998">
        <v>31.63</v>
      </c>
      <c r="AH998">
        <v>44.52</v>
      </c>
      <c r="AI998">
        <v>1.266</v>
      </c>
      <c r="AJ998">
        <v>28.9</v>
      </c>
      <c r="AK998" t="s">
        <v>173</v>
      </c>
      <c r="AL998"/>
      <c r="AM998"/>
      <c r="AN998">
        <v>107</v>
      </c>
      <c r="AO998"/>
      <c r="AP998"/>
      <c r="AQ998"/>
      <c r="AR998"/>
      <c r="AS998"/>
      <c r="AT998" t="s">
        <v>146</v>
      </c>
      <c r="AU998" t="s">
        <v>146</v>
      </c>
    </row>
    <row r="999" spans="1:47" x14ac:dyDescent="0.2">
      <c r="A999" s="29">
        <v>1001.99999999994</v>
      </c>
      <c r="B999" s="28" t="s">
        <v>462</v>
      </c>
      <c r="C999">
        <v>22.998000000000001</v>
      </c>
      <c r="D999" s="74" t="s">
        <v>179</v>
      </c>
      <c r="E999" t="s">
        <v>180</v>
      </c>
      <c r="F999" t="s">
        <v>181</v>
      </c>
      <c r="G999"/>
      <c r="H999" t="s">
        <v>182</v>
      </c>
      <c r="I999" s="56">
        <v>44903</v>
      </c>
      <c r="J999" s="3" t="s">
        <v>142</v>
      </c>
      <c r="K999" s="123" t="s">
        <v>204</v>
      </c>
      <c r="L999">
        <v>285</v>
      </c>
      <c r="M999" s="53"/>
      <c r="N999" s="117">
        <v>283</v>
      </c>
      <c r="O999">
        <v>211.05</v>
      </c>
      <c r="P999">
        <v>228.56</v>
      </c>
      <c r="Q999">
        <v>59.43</v>
      </c>
      <c r="R999">
        <v>24.78</v>
      </c>
      <c r="S999">
        <v>137.97</v>
      </c>
      <c r="T999">
        <v>109.47</v>
      </c>
      <c r="U999">
        <v>60.31</v>
      </c>
      <c r="V999">
        <v>46.61</v>
      </c>
      <c r="W999">
        <v>66.709999999999994</v>
      </c>
      <c r="X999">
        <v>87.11</v>
      </c>
      <c r="Y999">
        <v>40.14</v>
      </c>
      <c r="Z999">
        <v>91.88</v>
      </c>
      <c r="AA999">
        <v>76.91</v>
      </c>
      <c r="AB999">
        <v>67.14</v>
      </c>
      <c r="AC999">
        <v>6.53</v>
      </c>
      <c r="AD999">
        <v>56.56</v>
      </c>
      <c r="AE999">
        <v>31.8</v>
      </c>
      <c r="AF999">
        <v>46.52</v>
      </c>
      <c r="AG999">
        <v>34.700000000000003</v>
      </c>
      <c r="AH999">
        <v>49.15</v>
      </c>
      <c r="AI999">
        <v>1.2290000000000001</v>
      </c>
      <c r="AJ999">
        <v>29.2</v>
      </c>
      <c r="AK999" t="s">
        <v>172</v>
      </c>
      <c r="AL999"/>
      <c r="AM999"/>
      <c r="AN999">
        <v>140</v>
      </c>
      <c r="AO999"/>
      <c r="AP999"/>
      <c r="AQ999"/>
      <c r="AR999"/>
      <c r="AS999"/>
      <c r="AT999" t="s">
        <v>146</v>
      </c>
      <c r="AU999" t="s">
        <v>146</v>
      </c>
    </row>
    <row r="1000" spans="1:47" x14ac:dyDescent="0.2">
      <c r="A1000" s="29">
        <v>1002.99999999994</v>
      </c>
      <c r="B1000" s="28" t="s">
        <v>463</v>
      </c>
      <c r="C1000">
        <v>22.998999999999999</v>
      </c>
      <c r="D1000" s="74" t="s">
        <v>179</v>
      </c>
      <c r="E1000" t="s">
        <v>180</v>
      </c>
      <c r="F1000" t="s">
        <v>181</v>
      </c>
      <c r="G1000"/>
      <c r="H1000" t="s">
        <v>182</v>
      </c>
      <c r="I1000" s="56">
        <v>44903</v>
      </c>
      <c r="J1000" s="3" t="s">
        <v>142</v>
      </c>
      <c r="K1000" s="123" t="s">
        <v>204</v>
      </c>
      <c r="L1000">
        <v>265</v>
      </c>
      <c r="M1000" s="53"/>
      <c r="N1000" s="117">
        <v>267.60000000000002</v>
      </c>
      <c r="O1000">
        <v>190.98</v>
      </c>
      <c r="P1000">
        <v>199.92</v>
      </c>
      <c r="Q1000">
        <v>47.37</v>
      </c>
      <c r="R1000">
        <v>20.71</v>
      </c>
      <c r="S1000">
        <v>128.13999999999999</v>
      </c>
      <c r="T1000">
        <v>105.4</v>
      </c>
      <c r="U1000">
        <v>62.11</v>
      </c>
      <c r="V1000">
        <v>48.12</v>
      </c>
      <c r="W1000">
        <v>64.91</v>
      </c>
      <c r="X1000">
        <v>87.45</v>
      </c>
      <c r="Y1000">
        <v>40.880000000000003</v>
      </c>
      <c r="Z1000">
        <v>96.4</v>
      </c>
      <c r="AA1000">
        <v>79.14</v>
      </c>
      <c r="AB1000">
        <v>66.78</v>
      </c>
      <c r="AC1000">
        <v>8.08</v>
      </c>
      <c r="AD1000">
        <v>54.72</v>
      </c>
      <c r="AE1000">
        <v>29.47</v>
      </c>
      <c r="AF1000">
        <v>36.700000000000003</v>
      </c>
      <c r="AG1000">
        <v>31.4</v>
      </c>
      <c r="AH1000">
        <v>41.94</v>
      </c>
      <c r="AI1000">
        <v>1.304</v>
      </c>
      <c r="AJ1000">
        <v>27.7</v>
      </c>
      <c r="AK1000" t="s">
        <v>172</v>
      </c>
      <c r="AL1000"/>
      <c r="AM1000"/>
      <c r="AN1000">
        <v>124</v>
      </c>
      <c r="AO1000"/>
      <c r="AP1000"/>
      <c r="AQ1000"/>
      <c r="AR1000"/>
      <c r="AS1000"/>
      <c r="AT1000" t="s">
        <v>146</v>
      </c>
      <c r="AU1000" t="s">
        <v>146</v>
      </c>
    </row>
    <row r="1001" spans="1:47" x14ac:dyDescent="0.2">
      <c r="A1001" s="29">
        <v>1003.99999999994</v>
      </c>
      <c r="B1001" s="28" t="s">
        <v>464</v>
      </c>
      <c r="C1001" s="5" t="s">
        <v>465</v>
      </c>
      <c r="D1001" s="74" t="s">
        <v>179</v>
      </c>
      <c r="E1001" t="s">
        <v>180</v>
      </c>
      <c r="F1001" t="s">
        <v>181</v>
      </c>
      <c r="G1001"/>
      <c r="H1001" t="s">
        <v>182</v>
      </c>
      <c r="I1001" s="56">
        <v>44913</v>
      </c>
      <c r="J1001" s="3" t="s">
        <v>142</v>
      </c>
      <c r="K1001" s="123" t="s">
        <v>204</v>
      </c>
      <c r="L1001">
        <v>270</v>
      </c>
      <c r="M1001" s="53"/>
      <c r="N1001" s="117">
        <v>266.89999999999998</v>
      </c>
      <c r="O1001">
        <v>201.59</v>
      </c>
      <c r="P1001">
        <v>217.64</v>
      </c>
      <c r="Q1001">
        <v>57.29</v>
      </c>
      <c r="R1001">
        <v>25.34</v>
      </c>
      <c r="S1001">
        <v>132.09</v>
      </c>
      <c r="T1001">
        <v>106.96</v>
      </c>
      <c r="U1001">
        <v>58.86</v>
      </c>
      <c r="V1001">
        <v>45.82</v>
      </c>
      <c r="W1001">
        <v>63.53</v>
      </c>
      <c r="X1001">
        <v>82.44</v>
      </c>
      <c r="Y1001">
        <v>40.44</v>
      </c>
      <c r="Z1001">
        <v>93.22</v>
      </c>
      <c r="AA1001">
        <v>76.86</v>
      </c>
      <c r="AB1001">
        <v>66.180000000000007</v>
      </c>
      <c r="AC1001">
        <v>9.76</v>
      </c>
      <c r="AD1001">
        <v>57.22</v>
      </c>
      <c r="AE1001">
        <v>30.34</v>
      </c>
      <c r="AF1001">
        <v>34.049999999999997</v>
      </c>
      <c r="AG1001">
        <v>36.86</v>
      </c>
      <c r="AH1001">
        <v>45.12</v>
      </c>
      <c r="AI1001">
        <v>1.27</v>
      </c>
      <c r="AJ1001">
        <v>21.9</v>
      </c>
      <c r="AK1001" t="s">
        <v>172</v>
      </c>
      <c r="AL1001"/>
      <c r="AM1001"/>
      <c r="AN1001">
        <v>123</v>
      </c>
      <c r="AO1001"/>
      <c r="AP1001"/>
      <c r="AQ1001"/>
      <c r="AR1001"/>
      <c r="AS1001"/>
      <c r="AT1001" t="s">
        <v>146</v>
      </c>
      <c r="AU1001" t="s">
        <v>146</v>
      </c>
    </row>
    <row r="1002" spans="1:47" x14ac:dyDescent="0.2">
      <c r="A1002" s="29">
        <v>1004.99999999994</v>
      </c>
      <c r="B1002" s="28" t="s">
        <v>466</v>
      </c>
      <c r="C1002">
        <v>22.100100000000001</v>
      </c>
      <c r="D1002" s="74" t="s">
        <v>179</v>
      </c>
      <c r="E1002" t="s">
        <v>180</v>
      </c>
      <c r="F1002" t="s">
        <v>181</v>
      </c>
      <c r="G1002"/>
      <c r="H1002" t="s">
        <v>182</v>
      </c>
      <c r="I1002" s="56">
        <v>44921</v>
      </c>
      <c r="J1002" s="3" t="s">
        <v>142</v>
      </c>
      <c r="K1002" s="123" t="s">
        <v>204</v>
      </c>
      <c r="L1002">
        <v>245</v>
      </c>
      <c r="M1002" s="53"/>
      <c r="N1002" s="117">
        <v>246.2</v>
      </c>
      <c r="O1002">
        <v>206.78</v>
      </c>
      <c r="P1002">
        <v>226.68</v>
      </c>
      <c r="Q1002">
        <v>46.28</v>
      </c>
      <c r="R1002">
        <v>28.94</v>
      </c>
      <c r="S1002">
        <v>132.94999999999999</v>
      </c>
      <c r="T1002">
        <v>106.37</v>
      </c>
      <c r="U1002">
        <v>57.74</v>
      </c>
      <c r="V1002">
        <v>45.7</v>
      </c>
      <c r="W1002">
        <v>63.84</v>
      </c>
      <c r="X1002">
        <v>83.69</v>
      </c>
      <c r="Y1002">
        <v>38.770000000000003</v>
      </c>
      <c r="Z1002">
        <v>90.97</v>
      </c>
      <c r="AA1002">
        <v>77.16</v>
      </c>
      <c r="AB1002">
        <v>62.04</v>
      </c>
      <c r="AC1002">
        <v>10.71</v>
      </c>
      <c r="AD1002">
        <v>54.12</v>
      </c>
      <c r="AE1002">
        <v>33.32</v>
      </c>
      <c r="AF1002">
        <v>43.83</v>
      </c>
      <c r="AG1002">
        <v>35.01</v>
      </c>
      <c r="AH1002">
        <v>44.86</v>
      </c>
      <c r="AI1002">
        <v>1.1160000000000001</v>
      </c>
      <c r="AJ1002">
        <v>25.8</v>
      </c>
      <c r="AK1002" t="s">
        <v>172</v>
      </c>
      <c r="AL1002"/>
      <c r="AM1002"/>
      <c r="AN1002">
        <v>108</v>
      </c>
      <c r="AO1002"/>
      <c r="AP1002"/>
      <c r="AQ1002"/>
      <c r="AR1002"/>
      <c r="AS1002"/>
      <c r="AT1002" t="s">
        <v>146</v>
      </c>
      <c r="AU1002" t="s">
        <v>146</v>
      </c>
    </row>
    <row r="1003" spans="1:47" x14ac:dyDescent="0.2">
      <c r="A1003" s="29">
        <v>1005.99999999993</v>
      </c>
      <c r="B1003" s="28" t="s">
        <v>467</v>
      </c>
      <c r="C1003">
        <v>22.100200000000001</v>
      </c>
      <c r="D1003" s="74" t="s">
        <v>179</v>
      </c>
      <c r="E1003" t="s">
        <v>180</v>
      </c>
      <c r="F1003" t="s">
        <v>181</v>
      </c>
      <c r="G1003"/>
      <c r="H1003" t="s">
        <v>182</v>
      </c>
      <c r="I1003" s="56">
        <v>44921</v>
      </c>
      <c r="J1003" s="3" t="s">
        <v>142</v>
      </c>
      <c r="K1003" s="123" t="s">
        <v>204</v>
      </c>
      <c r="L1003">
        <v>245</v>
      </c>
      <c r="M1003" s="53"/>
      <c r="N1003" s="117">
        <v>244.4</v>
      </c>
      <c r="O1003">
        <v>201.67</v>
      </c>
      <c r="P1003">
        <v>201.58</v>
      </c>
      <c r="Q1003">
        <v>48.64</v>
      </c>
      <c r="R1003">
        <v>22.9</v>
      </c>
      <c r="S1003">
        <v>133.94</v>
      </c>
      <c r="T1003">
        <v>105.84</v>
      </c>
      <c r="U1003">
        <v>62.49</v>
      </c>
      <c r="V1003">
        <v>45.71</v>
      </c>
      <c r="W1003">
        <v>63.54</v>
      </c>
      <c r="X1003">
        <v>87.17</v>
      </c>
      <c r="Y1003">
        <v>39.89</v>
      </c>
      <c r="Z1003">
        <v>94.53</v>
      </c>
      <c r="AA1003">
        <v>78.680000000000007</v>
      </c>
      <c r="AB1003">
        <v>65.040000000000006</v>
      </c>
      <c r="AC1003">
        <v>9.7899999999999991</v>
      </c>
      <c r="AD1003">
        <v>52.38</v>
      </c>
      <c r="AE1003">
        <v>32.21</v>
      </c>
      <c r="AF1003">
        <v>42.97</v>
      </c>
      <c r="AG1003">
        <v>32.369999999999997</v>
      </c>
      <c r="AH1003">
        <v>45.12</v>
      </c>
      <c r="AI1003">
        <v>1.1639999999999999</v>
      </c>
      <c r="AJ1003">
        <v>31.3</v>
      </c>
      <c r="AK1003" t="s">
        <v>172</v>
      </c>
      <c r="AL1003"/>
      <c r="AM1003"/>
      <c r="AN1003">
        <v>104</v>
      </c>
      <c r="AO1003"/>
      <c r="AP1003"/>
      <c r="AQ1003"/>
      <c r="AR1003"/>
      <c r="AS1003"/>
      <c r="AT1003" t="s">
        <v>146</v>
      </c>
      <c r="AU1003" t="s">
        <v>146</v>
      </c>
    </row>
    <row r="1004" spans="1:47" x14ac:dyDescent="0.2">
      <c r="A1004" s="29">
        <v>1006.99999999993</v>
      </c>
      <c r="B1004" s="28" t="s">
        <v>468</v>
      </c>
      <c r="C1004">
        <v>22.100300000000001</v>
      </c>
      <c r="D1004" s="74" t="s">
        <v>179</v>
      </c>
      <c r="E1004" t="s">
        <v>180</v>
      </c>
      <c r="F1004" t="s">
        <v>181</v>
      </c>
      <c r="G1004"/>
      <c r="H1004" t="s">
        <v>182</v>
      </c>
      <c r="I1004" s="56">
        <v>44923</v>
      </c>
      <c r="J1004" s="3" t="s">
        <v>142</v>
      </c>
      <c r="K1004" s="123" t="s">
        <v>204</v>
      </c>
      <c r="L1004">
        <v>265</v>
      </c>
      <c r="M1004" s="53"/>
      <c r="N1004" s="117">
        <v>263.7</v>
      </c>
      <c r="O1004">
        <v>202.93</v>
      </c>
      <c r="P1004">
        <v>217.78</v>
      </c>
      <c r="Q1004">
        <v>50.15</v>
      </c>
      <c r="R1004">
        <v>25.22</v>
      </c>
      <c r="S1004">
        <v>134.78</v>
      </c>
      <c r="T1004">
        <v>110.13</v>
      </c>
      <c r="U1004">
        <v>58.93</v>
      </c>
      <c r="V1004">
        <v>45.48</v>
      </c>
      <c r="W1004">
        <v>64.78</v>
      </c>
      <c r="X1004">
        <v>87</v>
      </c>
      <c r="Y1004">
        <v>40.11</v>
      </c>
      <c r="Z1004">
        <v>92.2</v>
      </c>
      <c r="AA1004">
        <v>76.5</v>
      </c>
      <c r="AB1004">
        <v>65.55</v>
      </c>
      <c r="AC1004">
        <v>9.9499999999999993</v>
      </c>
      <c r="AD1004">
        <v>56.06</v>
      </c>
      <c r="AE1004">
        <v>32.17</v>
      </c>
      <c r="AF1004">
        <v>39.89</v>
      </c>
      <c r="AG1004">
        <v>36.6</v>
      </c>
      <c r="AH1004">
        <v>45.62</v>
      </c>
      <c r="AI1004">
        <v>1.1839999999999999</v>
      </c>
      <c r="AJ1004">
        <v>29.5</v>
      </c>
      <c r="AK1004" t="s">
        <v>173</v>
      </c>
      <c r="AL1004"/>
      <c r="AM1004"/>
      <c r="AN1004">
        <v>100</v>
      </c>
      <c r="AO1004"/>
      <c r="AP1004"/>
      <c r="AQ1004"/>
      <c r="AR1004"/>
      <c r="AS1004"/>
      <c r="AT1004" t="s">
        <v>146</v>
      </c>
      <c r="AU1004" t="s">
        <v>146</v>
      </c>
    </row>
    <row r="1005" spans="1:47" x14ac:dyDescent="0.2">
      <c r="A1005" s="29">
        <v>1007.99999999993</v>
      </c>
      <c r="B1005">
        <v>127</v>
      </c>
      <c r="C1005">
        <v>22.1004</v>
      </c>
      <c r="D1005" s="31" t="s">
        <v>140</v>
      </c>
      <c r="E1005" s="3" t="s">
        <v>141</v>
      </c>
      <c r="F1005" s="3" t="s">
        <v>60</v>
      </c>
      <c r="H1005" s="3" t="s">
        <v>60</v>
      </c>
      <c r="I1005" s="32">
        <v>44802</v>
      </c>
      <c r="J1005" s="3" t="s">
        <v>142</v>
      </c>
      <c r="K1005" s="3" t="s">
        <v>166</v>
      </c>
      <c r="M1005" s="17">
        <v>215.7</v>
      </c>
      <c r="N1005" s="117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</row>
    <row r="1006" spans="1:47" x14ac:dyDescent="0.2">
      <c r="A1006" s="29">
        <v>1008.99999999993</v>
      </c>
      <c r="B1006">
        <v>144</v>
      </c>
      <c r="C1006">
        <v>22.1005</v>
      </c>
      <c r="D1006" s="31" t="s">
        <v>140</v>
      </c>
      <c r="E1006" s="3" t="s">
        <v>141</v>
      </c>
      <c r="F1006" s="3" t="s">
        <v>60</v>
      </c>
      <c r="H1006" s="3" t="s">
        <v>60</v>
      </c>
      <c r="I1006" s="32">
        <v>44824</v>
      </c>
      <c r="J1006" s="3" t="s">
        <v>142</v>
      </c>
      <c r="K1006" s="3" t="s">
        <v>203</v>
      </c>
      <c r="M1006" s="17">
        <v>210.4</v>
      </c>
      <c r="N1006" s="117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</row>
    <row r="1007" spans="1:47" x14ac:dyDescent="0.2">
      <c r="A1007" s="29">
        <v>1009.99999999993</v>
      </c>
      <c r="B1007">
        <v>145</v>
      </c>
      <c r="C1007">
        <v>22.1006</v>
      </c>
      <c r="D1007" s="31" t="s">
        <v>140</v>
      </c>
      <c r="E1007" s="3" t="s">
        <v>141</v>
      </c>
      <c r="F1007" s="3" t="s">
        <v>60</v>
      </c>
      <c r="H1007" s="3" t="s">
        <v>60</v>
      </c>
      <c r="I1007" s="32">
        <v>44824</v>
      </c>
      <c r="J1007" s="3" t="s">
        <v>142</v>
      </c>
      <c r="K1007" s="3" t="s">
        <v>203</v>
      </c>
      <c r="M1007" s="17">
        <v>215.5</v>
      </c>
      <c r="N1007" s="11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</row>
    <row r="1008" spans="1:47" x14ac:dyDescent="0.2">
      <c r="A1008" s="29">
        <v>1010.99999999993</v>
      </c>
      <c r="B1008">
        <v>154</v>
      </c>
      <c r="C1008">
        <v>22.1007</v>
      </c>
      <c r="D1008" s="31" t="s">
        <v>140</v>
      </c>
      <c r="E1008" s="3" t="s">
        <v>141</v>
      </c>
      <c r="F1008" s="3" t="s">
        <v>60</v>
      </c>
      <c r="H1008" s="3" t="s">
        <v>60</v>
      </c>
      <c r="I1008" s="32">
        <v>44825</v>
      </c>
      <c r="J1008" s="3" t="s">
        <v>142</v>
      </c>
      <c r="K1008" s="3" t="s">
        <v>203</v>
      </c>
      <c r="M1008" s="17">
        <v>218.3</v>
      </c>
      <c r="N1008" s="117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</row>
    <row r="1009" spans="1:47" x14ac:dyDescent="0.2">
      <c r="A1009" s="29">
        <v>1011.99999999993</v>
      </c>
      <c r="B1009">
        <v>168</v>
      </c>
      <c r="C1009">
        <v>22.1008</v>
      </c>
      <c r="D1009" s="31" t="s">
        <v>140</v>
      </c>
      <c r="E1009" s="3" t="s">
        <v>141</v>
      </c>
      <c r="F1009" s="3" t="s">
        <v>60</v>
      </c>
      <c r="H1009" s="3" t="s">
        <v>60</v>
      </c>
      <c r="I1009" s="32">
        <v>44842</v>
      </c>
      <c r="J1009" s="3" t="s">
        <v>142</v>
      </c>
      <c r="K1009" s="3" t="s">
        <v>203</v>
      </c>
      <c r="M1009" s="17">
        <v>217</v>
      </c>
      <c r="N1009" s="117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</row>
    <row r="1010" spans="1:47" x14ac:dyDescent="0.2">
      <c r="A1010" s="29">
        <v>1012.99999999993</v>
      </c>
      <c r="B1010">
        <v>156</v>
      </c>
      <c r="C1010">
        <v>22.100899999999999</v>
      </c>
      <c r="D1010" s="31" t="s">
        <v>140</v>
      </c>
      <c r="E1010" s="3" t="s">
        <v>141</v>
      </c>
      <c r="F1010" s="3" t="s">
        <v>61</v>
      </c>
      <c r="H1010" s="3" t="s">
        <v>61</v>
      </c>
      <c r="I1010" s="32">
        <v>44836</v>
      </c>
      <c r="J1010" s="3" t="s">
        <v>142</v>
      </c>
      <c r="K1010" s="3" t="s">
        <v>203</v>
      </c>
      <c r="M1010" s="17">
        <v>182.8</v>
      </c>
      <c r="N1010" s="117">
        <v>192.5</v>
      </c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>
        <v>1.1850000000000001</v>
      </c>
      <c r="AJ1010"/>
      <c r="AK1010"/>
      <c r="AL1010"/>
      <c r="AM1010"/>
      <c r="AN1010"/>
      <c r="AO1010">
        <v>6.6</v>
      </c>
      <c r="AP1010">
        <v>30.1</v>
      </c>
      <c r="AQ1010">
        <v>113.6</v>
      </c>
      <c r="AR1010">
        <v>36.1</v>
      </c>
      <c r="AS1010">
        <v>16</v>
      </c>
      <c r="AT1010" t="s">
        <v>147</v>
      </c>
      <c r="AU1010"/>
    </row>
    <row r="1011" spans="1:47" x14ac:dyDescent="0.2">
      <c r="A1011" s="29">
        <v>1013.99999999993</v>
      </c>
      <c r="B1011">
        <v>139</v>
      </c>
      <c r="C1011" s="5" t="s">
        <v>469</v>
      </c>
      <c r="D1011" s="31" t="s">
        <v>140</v>
      </c>
      <c r="E1011" s="3" t="s">
        <v>141</v>
      </c>
      <c r="F1011" s="3" t="s">
        <v>61</v>
      </c>
      <c r="H1011" s="3" t="s">
        <v>61</v>
      </c>
      <c r="I1011" s="32">
        <v>44811</v>
      </c>
      <c r="J1011" s="3" t="s">
        <v>142</v>
      </c>
      <c r="K1011" s="3" t="s">
        <v>203</v>
      </c>
      <c r="M1011" s="17">
        <v>207.1</v>
      </c>
      <c r="N1011">
        <v>210.9</v>
      </c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>
        <v>1.4239999999999999</v>
      </c>
      <c r="AJ1011"/>
      <c r="AK1011"/>
      <c r="AL1011"/>
      <c r="AM1011"/>
      <c r="AN1011"/>
      <c r="AO1011">
        <v>6.9</v>
      </c>
      <c r="AP1011">
        <v>48.7</v>
      </c>
      <c r="AQ1011">
        <v>105.4</v>
      </c>
      <c r="AR1011">
        <f>44.3+0.5</f>
        <v>44.8</v>
      </c>
      <c r="AS1011">
        <v>19.899999999999999</v>
      </c>
      <c r="AT1011" t="s">
        <v>147</v>
      </c>
      <c r="AU1011"/>
    </row>
    <row r="1012" spans="1:47" x14ac:dyDescent="0.2">
      <c r="A1012" s="29">
        <v>1014.99999999993</v>
      </c>
      <c r="B1012" s="17">
        <v>181</v>
      </c>
      <c r="C1012">
        <v>22.101099999999999</v>
      </c>
      <c r="D1012" s="31" t="s">
        <v>140</v>
      </c>
      <c r="E1012" s="3" t="s">
        <v>141</v>
      </c>
      <c r="F1012" s="3" t="s">
        <v>60</v>
      </c>
      <c r="H1012" s="3" t="s">
        <v>60</v>
      </c>
      <c r="I1012" s="68">
        <v>44864</v>
      </c>
      <c r="J1012" s="3" t="s">
        <v>142</v>
      </c>
      <c r="K1012" s="3" t="s">
        <v>203</v>
      </c>
      <c r="L1012"/>
      <c r="M1012" s="17">
        <v>202.5</v>
      </c>
      <c r="N1012">
        <v>207.3</v>
      </c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>
        <v>1.702</v>
      </c>
      <c r="AJ1012"/>
      <c r="AK1012"/>
      <c r="AL1012"/>
      <c r="AM1012"/>
      <c r="AN1012"/>
      <c r="AO1012">
        <v>8.8000000000000007</v>
      </c>
      <c r="AP1012">
        <v>56.7</v>
      </c>
      <c r="AQ1012">
        <v>54.4</v>
      </c>
      <c r="AR1012">
        <v>43</v>
      </c>
      <c r="AS1012">
        <v>19.600000000000001</v>
      </c>
      <c r="AT1012" t="s">
        <v>147</v>
      </c>
      <c r="AU1012"/>
    </row>
    <row r="1013" spans="1:47" ht="17" x14ac:dyDescent="0.2">
      <c r="A1013" s="29">
        <v>1015.99999999993</v>
      </c>
      <c r="B1013">
        <v>140</v>
      </c>
      <c r="C1013">
        <v>22.101199999999999</v>
      </c>
      <c r="D1013" s="65" t="s">
        <v>148</v>
      </c>
      <c r="E1013" s="3" t="s">
        <v>229</v>
      </c>
      <c r="F1013" s="3" t="s">
        <v>74</v>
      </c>
      <c r="G1013" s="3" t="s">
        <v>74</v>
      </c>
      <c r="I1013" s="114">
        <v>44878</v>
      </c>
      <c r="J1013" s="3" t="s">
        <v>142</v>
      </c>
      <c r="K1013" s="114" t="s">
        <v>166</v>
      </c>
      <c r="L1013"/>
      <c r="M1013" s="53">
        <v>196.8</v>
      </c>
      <c r="N1013">
        <v>201.3</v>
      </c>
      <c r="O1013" s="18">
        <v>160.75</v>
      </c>
      <c r="P1013" s="18">
        <v>164.49</v>
      </c>
      <c r="Q1013" s="18">
        <v>36.880000000000003</v>
      </c>
      <c r="R1013" s="18">
        <v>17.13</v>
      </c>
      <c r="S1013" s="18">
        <v>113.51</v>
      </c>
      <c r="T1013" s="18">
        <v>93.16</v>
      </c>
      <c r="U1013" s="18">
        <v>61.65</v>
      </c>
      <c r="V1013" s="18">
        <v>48.79</v>
      </c>
      <c r="W1013" s="18">
        <v>67.94</v>
      </c>
      <c r="X1013" s="18">
        <v>83.25</v>
      </c>
      <c r="Y1013" s="18">
        <v>38.67</v>
      </c>
      <c r="Z1013" s="18">
        <v>93.87</v>
      </c>
      <c r="AA1013" s="18">
        <v>75.28</v>
      </c>
      <c r="AB1013" s="18">
        <v>75.489999999999995</v>
      </c>
      <c r="AC1013" s="18">
        <v>16.600000000000001</v>
      </c>
      <c r="AD1013" s="18">
        <v>48.65</v>
      </c>
      <c r="AE1013" s="18">
        <v>29.28</v>
      </c>
      <c r="AF1013" s="18">
        <v>34.4</v>
      </c>
      <c r="AG1013" s="18">
        <v>32.450000000000003</v>
      </c>
      <c r="AH1013" s="18">
        <v>36.81</v>
      </c>
      <c r="AI1013" s="18">
        <v>1.819</v>
      </c>
      <c r="AJ1013"/>
      <c r="AK1013"/>
      <c r="AL1013" s="61"/>
      <c r="AM1013"/>
      <c r="AN1013"/>
      <c r="AO1013">
        <v>9.5</v>
      </c>
      <c r="AP1013">
        <v>50.9</v>
      </c>
      <c r="AQ1013">
        <v>89.8</v>
      </c>
      <c r="AR1013">
        <v>48.4</v>
      </c>
      <c r="AS1013">
        <v>20.399999999999999</v>
      </c>
      <c r="AT1013" t="s">
        <v>147</v>
      </c>
    </row>
    <row r="1014" spans="1:47" x14ac:dyDescent="0.2">
      <c r="A1014" s="29">
        <v>1016.99999999993</v>
      </c>
      <c r="B1014">
        <v>160</v>
      </c>
      <c r="C1014">
        <v>22.101299999999998</v>
      </c>
      <c r="D1014" s="65" t="s">
        <v>148</v>
      </c>
      <c r="E1014" s="3" t="s">
        <v>229</v>
      </c>
      <c r="F1014" s="3" t="s">
        <v>74</v>
      </c>
      <c r="G1014" s="3" t="s">
        <v>74</v>
      </c>
      <c r="I1014" s="63">
        <v>44894</v>
      </c>
      <c r="J1014" s="3" t="s">
        <v>142</v>
      </c>
      <c r="K1014" s="63" t="s">
        <v>166</v>
      </c>
      <c r="L1014"/>
      <c r="M1014" s="53">
        <v>193.1</v>
      </c>
      <c r="N1014">
        <v>196.6</v>
      </c>
      <c r="O1014" s="18">
        <v>152.99</v>
      </c>
      <c r="P1014" s="18">
        <v>165.66</v>
      </c>
      <c r="Q1014" s="18">
        <v>40.4</v>
      </c>
      <c r="R1014" s="18">
        <v>15.11</v>
      </c>
      <c r="S1014" s="18">
        <v>103.66</v>
      </c>
      <c r="T1014" s="18">
        <v>83.73</v>
      </c>
      <c r="U1014" s="18">
        <v>68.08</v>
      </c>
      <c r="V1014" s="18">
        <v>51.66</v>
      </c>
      <c r="W1014" s="18">
        <v>73.959999999999994</v>
      </c>
      <c r="X1014" s="18">
        <v>86.34</v>
      </c>
      <c r="Y1014" s="18">
        <v>41.85</v>
      </c>
      <c r="Z1014" s="18">
        <v>96.07</v>
      </c>
      <c r="AA1014" s="18">
        <v>73.5</v>
      </c>
      <c r="AB1014" s="18">
        <v>80.760000000000005</v>
      </c>
      <c r="AC1014" s="18">
        <v>20.16</v>
      </c>
      <c r="AD1014" s="18">
        <v>46.14</v>
      </c>
      <c r="AE1014" s="18">
        <v>26.15</v>
      </c>
      <c r="AF1014" s="18">
        <v>32.69</v>
      </c>
      <c r="AG1014" s="18">
        <v>30.08</v>
      </c>
      <c r="AH1014" s="18">
        <v>34.4</v>
      </c>
      <c r="AI1014" s="18">
        <v>1.8360000000000001</v>
      </c>
      <c r="AJ1014"/>
      <c r="AK1014"/>
      <c r="AL1014" s="18">
        <v>10</v>
      </c>
      <c r="AM1014"/>
      <c r="AN1014"/>
      <c r="AO1014">
        <v>9.6</v>
      </c>
      <c r="AP1014">
        <v>93.5</v>
      </c>
      <c r="AQ1014">
        <v>33.6</v>
      </c>
      <c r="AR1014">
        <v>47.5</v>
      </c>
      <c r="AS1014">
        <v>20.3</v>
      </c>
      <c r="AT1014" t="s">
        <v>147</v>
      </c>
    </row>
    <row r="1015" spans="1:47" x14ac:dyDescent="0.2">
      <c r="A1015" s="29">
        <v>1017.99999999993</v>
      </c>
      <c r="B1015" s="5" t="s">
        <v>470</v>
      </c>
      <c r="C1015">
        <v>22.101400000000002</v>
      </c>
      <c r="D1015" s="65" t="s">
        <v>148</v>
      </c>
      <c r="E1015" s="3" t="s">
        <v>229</v>
      </c>
      <c r="F1015" s="3" t="s">
        <v>74</v>
      </c>
      <c r="G1015" s="3" t="s">
        <v>74</v>
      </c>
      <c r="I1015" s="63">
        <v>44889</v>
      </c>
      <c r="J1015" s="3" t="s">
        <v>142</v>
      </c>
      <c r="K1015" s="63" t="s">
        <v>166</v>
      </c>
      <c r="L1015"/>
      <c r="M1015" s="53">
        <v>201.1</v>
      </c>
      <c r="N1015">
        <v>204.1</v>
      </c>
      <c r="O1015" s="18">
        <v>162.58000000000001</v>
      </c>
      <c r="P1015" s="18">
        <v>169.25</v>
      </c>
      <c r="Q1015" s="18">
        <v>36.03</v>
      </c>
      <c r="R1015" s="18">
        <v>19.45</v>
      </c>
      <c r="S1015" s="18">
        <v>114.26</v>
      </c>
      <c r="T1015" s="18">
        <v>94.71</v>
      </c>
      <c r="U1015" s="18">
        <v>60.92</v>
      </c>
      <c r="V1015" s="18">
        <v>48.55</v>
      </c>
      <c r="W1015" s="18">
        <v>69.62</v>
      </c>
      <c r="X1015" s="18">
        <v>84.43</v>
      </c>
      <c r="Y1015" s="18">
        <v>38.81</v>
      </c>
      <c r="Z1015" s="18">
        <v>94.02</v>
      </c>
      <c r="AA1015" s="18">
        <v>73.44</v>
      </c>
      <c r="AB1015" s="18">
        <v>76.959999999999994</v>
      </c>
      <c r="AC1015" s="18">
        <v>12.96</v>
      </c>
      <c r="AD1015" s="18">
        <v>48.58</v>
      </c>
      <c r="AE1015" s="18">
        <v>31.17</v>
      </c>
      <c r="AF1015" s="18">
        <v>33.75</v>
      </c>
      <c r="AG1015" s="18">
        <v>35.18</v>
      </c>
      <c r="AH1015" s="18">
        <v>36.54</v>
      </c>
      <c r="AI1015" s="18">
        <v>1.89</v>
      </c>
      <c r="AJ1015"/>
      <c r="AK1015"/>
      <c r="AL1015" s="18">
        <v>19</v>
      </c>
      <c r="AM1015"/>
      <c r="AN1015"/>
      <c r="AO1015">
        <v>8.9</v>
      </c>
      <c r="AP1015">
        <v>93.5</v>
      </c>
      <c r="AQ1015">
        <v>30</v>
      </c>
      <c r="AR1015">
        <v>50.7</v>
      </c>
      <c r="AS1015">
        <v>22</v>
      </c>
      <c r="AT1015" t="s">
        <v>147</v>
      </c>
    </row>
    <row r="1016" spans="1:47" x14ac:dyDescent="0.2">
      <c r="A1016" s="29">
        <v>1018.99999999993</v>
      </c>
      <c r="B1016" t="s">
        <v>471</v>
      </c>
      <c r="C1016">
        <v>22.101500000000001</v>
      </c>
      <c r="D1016" s="31" t="s">
        <v>140</v>
      </c>
      <c r="E1016" s="28" t="s">
        <v>472</v>
      </c>
      <c r="F1016" s="28" t="s">
        <v>473</v>
      </c>
      <c r="G1016" s="28" t="s">
        <v>473</v>
      </c>
      <c r="H1016" s="28"/>
      <c r="I1016" s="56">
        <v>44891</v>
      </c>
      <c r="J1016" s="28" t="s">
        <v>142</v>
      </c>
      <c r="K1016" s="28" t="s">
        <v>203</v>
      </c>
      <c r="L1016"/>
      <c r="M1016"/>
      <c r="N1016" s="90">
        <v>154.30000000000001</v>
      </c>
      <c r="O1016" s="90">
        <v>152.33000000000001</v>
      </c>
      <c r="P1016" s="18">
        <v>165.83</v>
      </c>
      <c r="Q1016" s="18">
        <v>39.04</v>
      </c>
      <c r="R1016" s="18">
        <v>14.42</v>
      </c>
      <c r="S1016" s="18">
        <v>110.1</v>
      </c>
      <c r="T1016" s="18">
        <v>88.97</v>
      </c>
      <c r="U1016" s="18">
        <v>66.16</v>
      </c>
      <c r="V1016" s="18">
        <v>50.5</v>
      </c>
      <c r="W1016" s="18">
        <v>71.36</v>
      </c>
      <c r="X1016" s="18">
        <v>77.44</v>
      </c>
      <c r="Y1016" s="18">
        <v>34.619999999999997</v>
      </c>
      <c r="Z1016" s="18">
        <v>79.53</v>
      </c>
      <c r="AA1016" s="18">
        <v>64.88</v>
      </c>
      <c r="AB1016" s="18">
        <v>61.87</v>
      </c>
      <c r="AC1016" s="18">
        <v>16.3</v>
      </c>
      <c r="AD1016" s="18">
        <v>41.73</v>
      </c>
      <c r="AE1016" s="18">
        <v>33.590000000000003</v>
      </c>
      <c r="AF1016" s="18">
        <v>37.18</v>
      </c>
      <c r="AG1016" s="18">
        <v>38.54</v>
      </c>
      <c r="AH1016" s="18">
        <v>39.28</v>
      </c>
      <c r="AI1016" s="18">
        <v>1.034</v>
      </c>
      <c r="AJ1016"/>
      <c r="AK1016"/>
      <c r="AL1016" s="102"/>
      <c r="AM1016"/>
      <c r="AN1016"/>
      <c r="AO1016" s="18">
        <v>9.5</v>
      </c>
      <c r="AP1016" s="18">
        <v>66.099999999999994</v>
      </c>
      <c r="AQ1016" s="18">
        <v>39.799999999999997</v>
      </c>
      <c r="AR1016" s="18">
        <v>36.700000000000003</v>
      </c>
      <c r="AS1016" s="18">
        <v>15.4</v>
      </c>
      <c r="AT1016" s="18" t="s">
        <v>147</v>
      </c>
      <c r="AU1016"/>
    </row>
    <row r="1017" spans="1:47" x14ac:dyDescent="0.2">
      <c r="A1017" s="29">
        <v>1019.99999999993</v>
      </c>
      <c r="B1017" t="s">
        <v>474</v>
      </c>
      <c r="C1017">
        <v>22.101600000000001</v>
      </c>
      <c r="D1017" s="31" t="s">
        <v>140</v>
      </c>
      <c r="E1017" s="28" t="s">
        <v>472</v>
      </c>
      <c r="F1017" s="28" t="s">
        <v>473</v>
      </c>
      <c r="G1017" s="28" t="s">
        <v>473</v>
      </c>
      <c r="H1017" s="28"/>
      <c r="I1017" s="56">
        <v>44904</v>
      </c>
      <c r="J1017" s="28" t="s">
        <v>142</v>
      </c>
      <c r="K1017" s="28" t="s">
        <v>203</v>
      </c>
      <c r="L1017"/>
      <c r="M1017"/>
      <c r="N1017" s="90">
        <v>168.9</v>
      </c>
      <c r="O1017" s="18">
        <v>187.57</v>
      </c>
      <c r="P1017" s="18">
        <v>190.63</v>
      </c>
      <c r="Q1017" s="18">
        <v>45.84</v>
      </c>
      <c r="R1017" s="18">
        <v>14.33</v>
      </c>
      <c r="S1017" s="18">
        <v>116.35</v>
      </c>
      <c r="T1017" s="18">
        <v>97.37</v>
      </c>
      <c r="U1017" s="18">
        <v>66.02</v>
      </c>
      <c r="V1017" s="18">
        <v>51.5</v>
      </c>
      <c r="W1017" s="18">
        <v>69.09</v>
      </c>
      <c r="X1017" s="18">
        <v>78.400000000000006</v>
      </c>
      <c r="Y1017" s="18">
        <v>35.479999999999997</v>
      </c>
      <c r="Z1017" s="18">
        <v>85.39</v>
      </c>
      <c r="AA1017" s="18">
        <v>65.650000000000006</v>
      </c>
      <c r="AB1017" s="18">
        <v>56.87</v>
      </c>
      <c r="AC1017" s="18">
        <v>9.39</v>
      </c>
      <c r="AD1017" s="18">
        <v>44.36</v>
      </c>
      <c r="AE1017" s="18">
        <v>35.65</v>
      </c>
      <c r="AF1017" s="18">
        <v>34.6</v>
      </c>
      <c r="AG1017" s="18">
        <v>32.17</v>
      </c>
      <c r="AH1017" s="18">
        <v>28.19</v>
      </c>
      <c r="AI1017" s="18">
        <v>1.4750000000000001</v>
      </c>
      <c r="AJ1017"/>
      <c r="AK1017"/>
      <c r="AL1017" s="102"/>
      <c r="AM1017"/>
      <c r="AN1017"/>
      <c r="AO1017" s="18">
        <v>10</v>
      </c>
      <c r="AP1017" s="18">
        <v>75.900000000000006</v>
      </c>
      <c r="AQ1017" s="18">
        <v>36.1</v>
      </c>
      <c r="AR1017" s="18">
        <v>45.4</v>
      </c>
      <c r="AS1017" s="18">
        <v>19.2</v>
      </c>
      <c r="AT1017" s="18" t="s">
        <v>147</v>
      </c>
      <c r="AU1017"/>
    </row>
    <row r="1018" spans="1:47" x14ac:dyDescent="0.2">
      <c r="A1018" s="29">
        <v>1020.99999999993</v>
      </c>
      <c r="B1018" t="s">
        <v>475</v>
      </c>
      <c r="C1018">
        <v>22.101700000000001</v>
      </c>
      <c r="D1018" s="31" t="s">
        <v>140</v>
      </c>
      <c r="E1018" s="28" t="s">
        <v>472</v>
      </c>
      <c r="F1018" s="28" t="s">
        <v>473</v>
      </c>
      <c r="G1018" s="28" t="s">
        <v>473</v>
      </c>
      <c r="H1018" s="28"/>
      <c r="I1018" s="56">
        <v>44914</v>
      </c>
      <c r="J1018" s="28" t="s">
        <v>142</v>
      </c>
      <c r="K1018" s="28" t="s">
        <v>203</v>
      </c>
      <c r="L1018"/>
      <c r="M1018"/>
      <c r="N1018" s="90">
        <v>171.3</v>
      </c>
      <c r="O1018" s="18">
        <v>161.1</v>
      </c>
      <c r="P1018" s="18">
        <v>168.22</v>
      </c>
      <c r="Q1018" s="18">
        <v>37.1</v>
      </c>
      <c r="R1018" s="18">
        <v>15.13</v>
      </c>
      <c r="S1018" s="18">
        <v>114.36</v>
      </c>
      <c r="T1018" s="18">
        <v>91.7</v>
      </c>
      <c r="U1018" s="18">
        <v>64.930000000000007</v>
      </c>
      <c r="V1018" s="18">
        <v>47.79</v>
      </c>
      <c r="W1018" s="18">
        <v>68.459999999999994</v>
      </c>
      <c r="X1018" s="18">
        <v>77.56</v>
      </c>
      <c r="Y1018" s="18">
        <v>33.299999999999997</v>
      </c>
      <c r="Z1018" s="18">
        <v>85.48</v>
      </c>
      <c r="AA1018" s="18">
        <v>67.739999999999995</v>
      </c>
      <c r="AB1018" s="18">
        <v>60.56</v>
      </c>
      <c r="AC1018" s="18">
        <v>12.56</v>
      </c>
      <c r="AD1018" s="18">
        <v>44.22</v>
      </c>
      <c r="AE1018" s="18">
        <v>28.69</v>
      </c>
      <c r="AF1018" s="18">
        <v>40.659999999999997</v>
      </c>
      <c r="AG1018" s="18">
        <v>35.35</v>
      </c>
      <c r="AH1018" s="18">
        <v>39.51</v>
      </c>
      <c r="AI1018" s="18">
        <v>1.52</v>
      </c>
      <c r="AJ1018"/>
      <c r="AK1018"/>
      <c r="AL1018" s="102"/>
      <c r="AM1018"/>
      <c r="AN1018"/>
      <c r="AO1018" s="18">
        <v>8</v>
      </c>
      <c r="AP1018" s="18">
        <v>76.900000000000006</v>
      </c>
      <c r="AQ1018" s="18">
        <v>37.5</v>
      </c>
      <c r="AR1018" s="18">
        <v>47</v>
      </c>
      <c r="AS1018" s="18">
        <v>19.7</v>
      </c>
      <c r="AT1018" s="18" t="s">
        <v>147</v>
      </c>
      <c r="AU1018"/>
    </row>
    <row r="1019" spans="1:47" x14ac:dyDescent="0.2">
      <c r="A1019" s="29">
        <v>1021.99999999993</v>
      </c>
      <c r="B1019">
        <v>161</v>
      </c>
      <c r="C1019">
        <v>22.101800000000001</v>
      </c>
      <c r="D1019" s="65" t="s">
        <v>148</v>
      </c>
      <c r="E1019" s="3" t="s">
        <v>229</v>
      </c>
      <c r="F1019" s="3" t="s">
        <v>74</v>
      </c>
      <c r="G1019" s="3" t="s">
        <v>74</v>
      </c>
      <c r="I1019" s="63">
        <v>44894</v>
      </c>
      <c r="J1019" s="3" t="s">
        <v>142</v>
      </c>
      <c r="K1019" s="123" t="s">
        <v>166</v>
      </c>
      <c r="L1019"/>
      <c r="M1019" s="53">
        <v>207.7</v>
      </c>
      <c r="N1019">
        <v>212.5</v>
      </c>
      <c r="O1019" s="18">
        <v>162.22</v>
      </c>
      <c r="P1019" s="18">
        <v>171.97</v>
      </c>
      <c r="Q1019" s="18">
        <v>39.92</v>
      </c>
      <c r="R1019" s="18">
        <v>19.05</v>
      </c>
      <c r="S1019" s="18">
        <v>111.18</v>
      </c>
      <c r="T1019" s="18">
        <v>93.35</v>
      </c>
      <c r="U1019" s="18">
        <v>62.21</v>
      </c>
      <c r="V1019" s="18">
        <v>47.36</v>
      </c>
      <c r="W1019" s="18">
        <v>69.540000000000006</v>
      </c>
      <c r="X1019" s="18">
        <v>83.13</v>
      </c>
      <c r="Y1019" s="18">
        <v>40.33</v>
      </c>
      <c r="Z1019" s="18">
        <v>96.55</v>
      </c>
      <c r="AA1019" s="18">
        <v>76.2</v>
      </c>
      <c r="AB1019" s="18">
        <v>76.819999999999993</v>
      </c>
      <c r="AC1019" s="18">
        <v>14.34</v>
      </c>
      <c r="AD1019" s="18">
        <v>48.28</v>
      </c>
      <c r="AE1019" s="18">
        <v>25.18</v>
      </c>
      <c r="AF1019" s="18">
        <v>33.94</v>
      </c>
      <c r="AG1019" s="18">
        <v>31.39</v>
      </c>
      <c r="AH1019" s="18">
        <v>42.12</v>
      </c>
      <c r="AI1019" s="18">
        <v>1.875</v>
      </c>
      <c r="AJ1019"/>
      <c r="AK1019"/>
      <c r="AL1019" s="18">
        <v>10</v>
      </c>
      <c r="AM1019"/>
      <c r="AN1019"/>
      <c r="AO1019">
        <v>11.7</v>
      </c>
      <c r="AP1019">
        <v>93</v>
      </c>
      <c r="AQ1019">
        <v>45.9</v>
      </c>
      <c r="AR1019">
        <v>49.5</v>
      </c>
      <c r="AS1019" s="18">
        <v>21.3</v>
      </c>
      <c r="AT1019" s="18" t="s">
        <v>147</v>
      </c>
      <c r="AU1019" s="18" t="s">
        <v>147</v>
      </c>
    </row>
    <row r="1020" spans="1:47" ht="17" x14ac:dyDescent="0.2">
      <c r="A1020" s="29">
        <v>1022.99999999993</v>
      </c>
      <c r="B1020">
        <v>143</v>
      </c>
      <c r="C1020">
        <v>22.101900000000001</v>
      </c>
      <c r="D1020" s="65" t="s">
        <v>148</v>
      </c>
      <c r="E1020" s="3" t="s">
        <v>229</v>
      </c>
      <c r="F1020" s="3" t="s">
        <v>74</v>
      </c>
      <c r="G1020" s="3" t="s">
        <v>74</v>
      </c>
      <c r="I1020" s="114">
        <v>44878</v>
      </c>
      <c r="J1020" s="3" t="s">
        <v>142</v>
      </c>
      <c r="K1020" s="114" t="s">
        <v>166</v>
      </c>
      <c r="L1020"/>
      <c r="M1020" s="53">
        <v>203.6</v>
      </c>
      <c r="N1020">
        <v>206.8</v>
      </c>
      <c r="O1020" s="18">
        <v>166.69</v>
      </c>
      <c r="P1020" s="18">
        <v>174.01</v>
      </c>
      <c r="Q1020" s="18">
        <v>38.61</v>
      </c>
      <c r="R1020" s="18">
        <v>22.77</v>
      </c>
      <c r="S1020" s="18">
        <v>115.19</v>
      </c>
      <c r="T1020" s="18">
        <v>93.26</v>
      </c>
      <c r="U1020" s="18">
        <v>59.11</v>
      </c>
      <c r="V1020" s="18">
        <v>45.98</v>
      </c>
      <c r="W1020" s="18">
        <v>66.97</v>
      </c>
      <c r="X1020" s="18">
        <v>81.069999999999993</v>
      </c>
      <c r="Y1020" s="18">
        <v>35.659999999999997</v>
      </c>
      <c r="Z1020" s="18">
        <v>92.66</v>
      </c>
      <c r="AA1020" s="18">
        <v>74.72</v>
      </c>
      <c r="AB1020" s="18">
        <v>74.38</v>
      </c>
      <c r="AC1020" s="18">
        <v>19.95</v>
      </c>
      <c r="AD1020" s="18">
        <v>48.64</v>
      </c>
      <c r="AE1020" s="18">
        <v>37</v>
      </c>
      <c r="AF1020" s="18">
        <v>30.81</v>
      </c>
      <c r="AG1020" s="18">
        <v>34.01</v>
      </c>
      <c r="AH1020" s="18">
        <v>32.94</v>
      </c>
      <c r="AI1020" s="18">
        <v>1.7669999999999999</v>
      </c>
      <c r="AJ1020"/>
      <c r="AK1020"/>
      <c r="AL1020" s="18">
        <v>10</v>
      </c>
      <c r="AM1020"/>
      <c r="AN1020"/>
      <c r="AO1020">
        <v>10.3</v>
      </c>
      <c r="AP1020">
        <v>91.5</v>
      </c>
      <c r="AQ1020">
        <v>43.5</v>
      </c>
      <c r="AR1020">
        <v>50.1</v>
      </c>
      <c r="AS1020" s="18">
        <v>21.7</v>
      </c>
      <c r="AT1020" s="18" t="s">
        <v>147</v>
      </c>
      <c r="AU1020" s="18" t="s">
        <v>147</v>
      </c>
    </row>
    <row r="1021" spans="1:47" x14ac:dyDescent="0.2">
      <c r="A1021" s="29">
        <v>1023.99999999993</v>
      </c>
      <c r="B1021" t="s">
        <v>476</v>
      </c>
      <c r="C1021" s="5" t="s">
        <v>477</v>
      </c>
      <c r="D1021" s="31" t="s">
        <v>140</v>
      </c>
      <c r="E1021" s="28" t="s">
        <v>472</v>
      </c>
      <c r="F1021" s="28" t="s">
        <v>473</v>
      </c>
      <c r="G1021" s="28" t="s">
        <v>473</v>
      </c>
      <c r="H1021" s="28"/>
      <c r="I1021" s="56">
        <v>44890</v>
      </c>
      <c r="J1021" s="28" t="s">
        <v>142</v>
      </c>
      <c r="K1021" s="28" t="s">
        <v>203</v>
      </c>
      <c r="L1021"/>
      <c r="M1021"/>
      <c r="N1021" s="90">
        <v>161.19999999999999</v>
      </c>
      <c r="O1021" s="18">
        <v>156.57</v>
      </c>
      <c r="P1021" s="18">
        <v>153.31</v>
      </c>
      <c r="Q1021" s="18">
        <v>36.54</v>
      </c>
      <c r="R1021" s="18">
        <v>12.2</v>
      </c>
      <c r="S1021" s="18">
        <v>113.49</v>
      </c>
      <c r="T1021" s="18">
        <v>94.46</v>
      </c>
      <c r="U1021" s="18">
        <v>67.59</v>
      </c>
      <c r="V1021" s="18">
        <v>52.82</v>
      </c>
      <c r="W1021" s="18">
        <v>69.84</v>
      </c>
      <c r="X1021" s="18">
        <v>77.83</v>
      </c>
      <c r="Y1021" s="18">
        <v>35.450000000000003</v>
      </c>
      <c r="Z1021" s="18">
        <v>81.209999999999994</v>
      </c>
      <c r="AA1021" s="18">
        <v>65.569999999999993</v>
      </c>
      <c r="AB1021" s="18">
        <v>54.73</v>
      </c>
      <c r="AC1021" s="18">
        <v>9.19</v>
      </c>
      <c r="AD1021" s="18">
        <v>42.75</v>
      </c>
      <c r="AE1021" s="18">
        <v>36.31</v>
      </c>
      <c r="AF1021" s="18">
        <v>34.44</v>
      </c>
      <c r="AG1021" s="18">
        <v>32.26</v>
      </c>
      <c r="AH1021" s="18">
        <v>25.33</v>
      </c>
      <c r="AI1021" s="18">
        <v>1.125</v>
      </c>
      <c r="AJ1021"/>
      <c r="AK1021"/>
      <c r="AL1021" s="102"/>
      <c r="AM1021"/>
      <c r="AN1021"/>
      <c r="AO1021" s="18">
        <v>8.1999999999999993</v>
      </c>
      <c r="AP1021" s="18">
        <v>75.2</v>
      </c>
      <c r="AQ1021" s="18">
        <v>39.4</v>
      </c>
      <c r="AR1021" s="18">
        <v>37</v>
      </c>
      <c r="AS1021" s="18">
        <v>15.6</v>
      </c>
      <c r="AT1021" s="18" t="s">
        <v>147</v>
      </c>
      <c r="AU1021"/>
    </row>
    <row r="1022" spans="1:47" x14ac:dyDescent="0.2">
      <c r="A1022" s="29">
        <v>1024.99999999993</v>
      </c>
      <c r="B1022" t="s">
        <v>478</v>
      </c>
      <c r="C1022">
        <v>22.1021</v>
      </c>
      <c r="D1022" s="31" t="s">
        <v>140</v>
      </c>
      <c r="E1022" s="28" t="s">
        <v>472</v>
      </c>
      <c r="F1022" s="28" t="s">
        <v>473</v>
      </c>
      <c r="G1022" s="28" t="s">
        <v>473</v>
      </c>
      <c r="H1022" s="28"/>
      <c r="I1022" s="56">
        <v>44913</v>
      </c>
      <c r="J1022" s="28" t="s">
        <v>142</v>
      </c>
      <c r="K1022" s="28" t="s">
        <v>203</v>
      </c>
      <c r="L1022"/>
      <c r="M1022"/>
      <c r="N1022" s="90">
        <v>171.9</v>
      </c>
      <c r="O1022" s="18">
        <v>160.80000000000001</v>
      </c>
      <c r="P1022" s="18">
        <v>169.15</v>
      </c>
      <c r="Q1022" s="18">
        <v>40.32</v>
      </c>
      <c r="R1022" s="18">
        <v>13.32</v>
      </c>
      <c r="S1022" s="18">
        <v>113.12</v>
      </c>
      <c r="T1022" s="18">
        <v>91.65</v>
      </c>
      <c r="U1022" s="18">
        <v>64.92</v>
      </c>
      <c r="V1022" s="18">
        <v>47.66</v>
      </c>
      <c r="W1022" s="18">
        <v>68.27</v>
      </c>
      <c r="X1022" s="18">
        <v>78.39</v>
      </c>
      <c r="Y1022" s="18">
        <v>33.21</v>
      </c>
      <c r="Z1022" s="18">
        <v>85.14</v>
      </c>
      <c r="AA1022" s="18">
        <v>66.42</v>
      </c>
      <c r="AB1022" s="18">
        <v>67.22</v>
      </c>
      <c r="AC1022" s="18">
        <v>8.99</v>
      </c>
      <c r="AD1022" s="18">
        <v>45.58</v>
      </c>
      <c r="AE1022" s="18">
        <v>30.17</v>
      </c>
      <c r="AF1022" s="18">
        <v>41.31</v>
      </c>
      <c r="AG1022" s="18">
        <v>35.76</v>
      </c>
      <c r="AH1022" s="18">
        <v>39.69</v>
      </c>
      <c r="AI1022" s="18">
        <v>1.5289999999999999</v>
      </c>
      <c r="AJ1022"/>
      <c r="AK1022"/>
      <c r="AL1022" s="102"/>
      <c r="AM1022"/>
      <c r="AN1022"/>
      <c r="AO1022" s="18">
        <v>9.3000000000000007</v>
      </c>
      <c r="AP1022" s="18">
        <v>79.3</v>
      </c>
      <c r="AQ1022" s="18">
        <v>36.6</v>
      </c>
      <c r="AR1022" s="18">
        <v>45</v>
      </c>
      <c r="AS1022" s="18">
        <v>18.899999999999999</v>
      </c>
      <c r="AT1022" s="18" t="s">
        <v>147</v>
      </c>
      <c r="AU1022"/>
    </row>
    <row r="1023" spans="1:47" x14ac:dyDescent="0.2">
      <c r="A1023" s="29">
        <v>1025.99999999993</v>
      </c>
      <c r="B1023" t="s">
        <v>479</v>
      </c>
      <c r="C1023">
        <v>22.1022</v>
      </c>
      <c r="D1023" s="31" t="s">
        <v>140</v>
      </c>
      <c r="E1023" s="28" t="s">
        <v>472</v>
      </c>
      <c r="F1023" s="28" t="s">
        <v>473</v>
      </c>
      <c r="G1023" s="28" t="s">
        <v>473</v>
      </c>
      <c r="H1023" s="28"/>
      <c r="I1023" s="56">
        <v>44913</v>
      </c>
      <c r="J1023" s="28" t="s">
        <v>142</v>
      </c>
      <c r="K1023" s="28" t="s">
        <v>203</v>
      </c>
      <c r="L1023"/>
      <c r="M1023"/>
      <c r="N1023" s="90">
        <v>181.9</v>
      </c>
      <c r="O1023" s="18">
        <v>166.2</v>
      </c>
      <c r="P1023" s="18">
        <v>175.02</v>
      </c>
      <c r="Q1023" s="18">
        <v>47</v>
      </c>
      <c r="R1023" s="18">
        <v>16.329999999999998</v>
      </c>
      <c r="S1023" s="18">
        <v>107.23</v>
      </c>
      <c r="T1023" s="18">
        <v>85.41</v>
      </c>
      <c r="U1023" s="18">
        <v>65.7</v>
      </c>
      <c r="V1023" s="18">
        <v>52.41</v>
      </c>
      <c r="W1023" s="18">
        <v>71.22</v>
      </c>
      <c r="X1023" s="18">
        <v>81.87</v>
      </c>
      <c r="Y1023" s="18">
        <v>35.49</v>
      </c>
      <c r="Z1023" s="18">
        <v>89</v>
      </c>
      <c r="AA1023" s="18">
        <v>69.540000000000006</v>
      </c>
      <c r="AB1023" s="18">
        <v>67.12</v>
      </c>
      <c r="AC1023" s="18">
        <v>13.17</v>
      </c>
      <c r="AD1023" s="18">
        <v>44.98</v>
      </c>
      <c r="AE1023" s="18">
        <v>36.840000000000003</v>
      </c>
      <c r="AF1023" s="18">
        <v>36.340000000000003</v>
      </c>
      <c r="AG1023" s="18">
        <v>33.72</v>
      </c>
      <c r="AH1023" s="18">
        <v>35.630000000000003</v>
      </c>
      <c r="AI1023" s="18">
        <v>1.571</v>
      </c>
      <c r="AJ1023"/>
      <c r="AK1023"/>
      <c r="AL1023" s="102"/>
      <c r="AM1023"/>
      <c r="AN1023"/>
      <c r="AO1023" s="18">
        <v>9.5</v>
      </c>
      <c r="AP1023" s="18">
        <v>81.599999999999994</v>
      </c>
      <c r="AQ1023" s="18">
        <v>39.700000000000003</v>
      </c>
      <c r="AR1023" s="18">
        <v>49</v>
      </c>
      <c r="AS1023" s="18">
        <v>20.5</v>
      </c>
      <c r="AT1023" s="18" t="s">
        <v>147</v>
      </c>
      <c r="AU1023"/>
    </row>
    <row r="1024" spans="1:47" x14ac:dyDescent="0.2">
      <c r="A1024" s="29">
        <v>1026.99999999993</v>
      </c>
      <c r="B1024" t="s">
        <v>480</v>
      </c>
      <c r="C1024">
        <v>22.1023</v>
      </c>
      <c r="D1024" s="31" t="s">
        <v>140</v>
      </c>
      <c r="E1024" s="28" t="s">
        <v>472</v>
      </c>
      <c r="F1024" s="28" t="s">
        <v>473</v>
      </c>
      <c r="G1024" s="28" t="s">
        <v>473</v>
      </c>
      <c r="H1024" s="28"/>
      <c r="I1024" s="56">
        <v>44904</v>
      </c>
      <c r="J1024" s="28" t="s">
        <v>142</v>
      </c>
      <c r="K1024" s="28" t="s">
        <v>203</v>
      </c>
      <c r="L1024"/>
      <c r="M1024"/>
      <c r="N1024" s="90">
        <v>164.4</v>
      </c>
      <c r="O1024" s="18">
        <v>151.52000000000001</v>
      </c>
      <c r="P1024" s="18">
        <v>160.99</v>
      </c>
      <c r="Q1024" s="18">
        <v>39.28</v>
      </c>
      <c r="R1024" s="18">
        <v>12.53</v>
      </c>
      <c r="S1024" s="18">
        <v>105.81</v>
      </c>
      <c r="T1024" s="18">
        <v>87.91</v>
      </c>
      <c r="U1024" s="18">
        <v>64.19</v>
      </c>
      <c r="V1024" s="18">
        <v>49.35</v>
      </c>
      <c r="W1024" s="18">
        <v>68.78</v>
      </c>
      <c r="X1024" s="18">
        <v>76.22</v>
      </c>
      <c r="Y1024" s="18">
        <v>34.86</v>
      </c>
      <c r="Z1024" s="18">
        <v>82.11</v>
      </c>
      <c r="AA1024" s="18">
        <v>64.77</v>
      </c>
      <c r="AB1024" s="18">
        <v>47.77</v>
      </c>
      <c r="AC1024" s="18">
        <v>13.4</v>
      </c>
      <c r="AD1024" s="18">
        <v>43.38</v>
      </c>
      <c r="AE1024" s="18">
        <v>26.61</v>
      </c>
      <c r="AF1024" s="18">
        <v>39.58</v>
      </c>
      <c r="AG1024" s="18">
        <v>33.229999999999997</v>
      </c>
      <c r="AH1024" s="18">
        <v>37.909999999999997</v>
      </c>
      <c r="AI1024" s="18">
        <v>1.4770000000000001</v>
      </c>
      <c r="AJ1024"/>
      <c r="AK1024"/>
      <c r="AL1024" s="102"/>
      <c r="AM1024"/>
      <c r="AN1024"/>
      <c r="AO1024" s="18">
        <v>9.5</v>
      </c>
      <c r="AP1024" s="18">
        <v>72</v>
      </c>
      <c r="AQ1024" s="18">
        <v>35</v>
      </c>
      <c r="AR1024" s="18">
        <v>45.5</v>
      </c>
      <c r="AS1024" s="18">
        <v>19.2</v>
      </c>
      <c r="AT1024" s="18" t="s">
        <v>147</v>
      </c>
      <c r="AU1024"/>
    </row>
    <row r="1025" spans="1:47" x14ac:dyDescent="0.2">
      <c r="A1025" s="29">
        <v>1027.99999999993</v>
      </c>
      <c r="B1025" t="s">
        <v>481</v>
      </c>
      <c r="C1025">
        <v>22.102399999999999</v>
      </c>
      <c r="D1025" s="31" t="s">
        <v>140</v>
      </c>
      <c r="E1025" s="28" t="s">
        <v>472</v>
      </c>
      <c r="F1025" s="28" t="s">
        <v>473</v>
      </c>
      <c r="G1025" s="28" t="s">
        <v>473</v>
      </c>
      <c r="H1025" s="28"/>
      <c r="I1025" s="56">
        <v>44912</v>
      </c>
      <c r="J1025" s="28" t="s">
        <v>142</v>
      </c>
      <c r="K1025" s="28" t="s">
        <v>203</v>
      </c>
      <c r="L1025"/>
      <c r="M1025"/>
      <c r="N1025" s="90">
        <v>175.6</v>
      </c>
      <c r="O1025" s="18">
        <v>164.99</v>
      </c>
      <c r="P1025" s="18">
        <v>153.28</v>
      </c>
      <c r="Q1025" s="18">
        <v>42.94</v>
      </c>
      <c r="R1025" s="18">
        <v>21.03</v>
      </c>
      <c r="S1025" s="18">
        <v>101.89</v>
      </c>
      <c r="T1025" s="18">
        <v>86.85</v>
      </c>
      <c r="U1025" s="18">
        <v>67.739999999999995</v>
      </c>
      <c r="V1025" s="18">
        <v>48.88</v>
      </c>
      <c r="W1025" s="18">
        <v>75.11</v>
      </c>
      <c r="X1025" s="18">
        <v>81.09</v>
      </c>
      <c r="Y1025" s="18">
        <v>34.380000000000003</v>
      </c>
      <c r="Z1025" s="18">
        <v>88.05</v>
      </c>
      <c r="AA1025" s="18">
        <v>69.05</v>
      </c>
      <c r="AB1025" s="18">
        <v>63.45</v>
      </c>
      <c r="AC1025" s="18">
        <v>10.77</v>
      </c>
      <c r="AD1025" s="18">
        <v>45.04</v>
      </c>
      <c r="AE1025" s="18">
        <v>35.4</v>
      </c>
      <c r="AF1025" s="18">
        <v>37.07</v>
      </c>
      <c r="AG1025" s="18">
        <v>29.03</v>
      </c>
      <c r="AH1025" s="18">
        <v>36.74</v>
      </c>
      <c r="AI1025" s="18">
        <v>1.522</v>
      </c>
      <c r="AJ1025"/>
      <c r="AK1025"/>
      <c r="AL1025" s="102"/>
      <c r="AM1025"/>
      <c r="AN1025"/>
      <c r="AO1025" s="18">
        <v>7.8</v>
      </c>
      <c r="AP1025" s="18">
        <v>82.2</v>
      </c>
      <c r="AQ1025" s="18">
        <v>38.1</v>
      </c>
      <c r="AR1025" s="18">
        <v>45.7</v>
      </c>
      <c r="AS1025" s="18">
        <v>19.2</v>
      </c>
      <c r="AT1025" s="18" t="s">
        <v>147</v>
      </c>
      <c r="AU1025"/>
    </row>
    <row r="1026" spans="1:47" x14ac:dyDescent="0.2">
      <c r="A1026" s="29">
        <v>1028.99999999993</v>
      </c>
      <c r="B1026" t="s">
        <v>482</v>
      </c>
      <c r="C1026">
        <v>22.102499999999999</v>
      </c>
      <c r="D1026" s="31" t="s">
        <v>140</v>
      </c>
      <c r="E1026" s="28" t="s">
        <v>472</v>
      </c>
      <c r="F1026" s="28" t="s">
        <v>473</v>
      </c>
      <c r="G1026" s="28" t="s">
        <v>473</v>
      </c>
      <c r="H1026" s="28"/>
      <c r="I1026" s="56">
        <v>44891</v>
      </c>
      <c r="J1026" s="28" t="s">
        <v>142</v>
      </c>
      <c r="K1026" s="28" t="s">
        <v>235</v>
      </c>
      <c r="L1026"/>
      <c r="M1026"/>
      <c r="N1026" s="90">
        <v>215.4</v>
      </c>
      <c r="O1026" s="18">
        <v>165.91</v>
      </c>
      <c r="P1026" s="18">
        <v>149.03</v>
      </c>
      <c r="Q1026" s="18">
        <v>36.96</v>
      </c>
      <c r="R1026" s="18">
        <v>18.29</v>
      </c>
      <c r="S1026" s="18">
        <v>114.65</v>
      </c>
      <c r="T1026" s="18">
        <v>100.28</v>
      </c>
      <c r="U1026" s="18">
        <v>69.45</v>
      </c>
      <c r="V1026" s="18">
        <v>52.82</v>
      </c>
      <c r="W1026" s="18">
        <v>75.459999999999994</v>
      </c>
      <c r="X1026" s="18">
        <v>82.76</v>
      </c>
      <c r="Y1026" s="18">
        <v>37.03</v>
      </c>
      <c r="Z1026" s="18">
        <v>89.1</v>
      </c>
      <c r="AA1026" s="18">
        <v>72.28</v>
      </c>
      <c r="AB1026" s="18">
        <v>57.21</v>
      </c>
      <c r="AC1026" s="18">
        <v>9.3699999999999992</v>
      </c>
      <c r="AD1026" s="18">
        <v>50.4</v>
      </c>
      <c r="AE1026" s="18">
        <v>35.64</v>
      </c>
      <c r="AF1026" s="18">
        <v>34.51</v>
      </c>
      <c r="AG1026" s="18">
        <v>31.24</v>
      </c>
      <c r="AH1026" s="18">
        <v>28.04</v>
      </c>
      <c r="AI1026" s="18">
        <v>1.1000000000000001</v>
      </c>
      <c r="AJ1026" s="18">
        <v>15.6</v>
      </c>
      <c r="AK1026"/>
      <c r="AL1026" s="102"/>
      <c r="AM1026"/>
      <c r="AN1026"/>
      <c r="AO1026"/>
      <c r="AP1026"/>
      <c r="AQ1026"/>
      <c r="AR1026" s="18">
        <v>47.4</v>
      </c>
      <c r="AS1026" s="18">
        <v>20.7</v>
      </c>
      <c r="AT1026" s="18" t="s">
        <v>147</v>
      </c>
      <c r="AU1026"/>
    </row>
    <row r="1027" spans="1:47" x14ac:dyDescent="0.2">
      <c r="A1027" s="29">
        <v>1029.99999999993</v>
      </c>
      <c r="B1027" t="s">
        <v>483</v>
      </c>
      <c r="C1027">
        <v>22.102599999999999</v>
      </c>
      <c r="D1027" s="31" t="s">
        <v>140</v>
      </c>
      <c r="E1027" s="28" t="s">
        <v>472</v>
      </c>
      <c r="F1027" s="28" t="s">
        <v>473</v>
      </c>
      <c r="G1027" s="28" t="s">
        <v>473</v>
      </c>
      <c r="H1027" s="28"/>
      <c r="I1027" s="56">
        <v>44891</v>
      </c>
      <c r="J1027" s="28" t="s">
        <v>142</v>
      </c>
      <c r="K1027" s="28" t="s">
        <v>203</v>
      </c>
      <c r="L1027"/>
      <c r="M1027"/>
      <c r="N1027" s="90">
        <v>173.1</v>
      </c>
      <c r="O1027" s="18">
        <v>162.58000000000001</v>
      </c>
      <c r="P1027" s="18">
        <v>166.46</v>
      </c>
      <c r="Q1027" s="18">
        <v>44.5</v>
      </c>
      <c r="R1027" s="18">
        <v>14.07</v>
      </c>
      <c r="S1027" s="18">
        <v>105.54</v>
      </c>
      <c r="T1027" s="18">
        <v>86.69</v>
      </c>
      <c r="U1027" s="18">
        <v>65.94</v>
      </c>
      <c r="V1027" s="18">
        <v>49.59</v>
      </c>
      <c r="W1027" s="18">
        <v>72.12</v>
      </c>
      <c r="X1027" s="18">
        <v>80.02</v>
      </c>
      <c r="Y1027" s="18">
        <v>35.799999999999997</v>
      </c>
      <c r="Z1027" s="18">
        <v>84.94</v>
      </c>
      <c r="AA1027" s="18">
        <v>65.84</v>
      </c>
      <c r="AB1027" s="18">
        <v>63.67</v>
      </c>
      <c r="AC1027" s="18">
        <v>9.6999999999999993</v>
      </c>
      <c r="AD1027" s="18">
        <v>44.11</v>
      </c>
      <c r="AE1027" s="18">
        <v>30.34</v>
      </c>
      <c r="AF1027" s="18">
        <v>41.84</v>
      </c>
      <c r="AG1027" s="18">
        <v>35.340000000000003</v>
      </c>
      <c r="AH1027" s="18">
        <v>37.44</v>
      </c>
      <c r="AI1027" s="18">
        <v>1.468</v>
      </c>
      <c r="AJ1027"/>
      <c r="AK1027"/>
      <c r="AL1027" s="102"/>
      <c r="AM1027"/>
      <c r="AN1027"/>
      <c r="AO1027" s="18">
        <v>9</v>
      </c>
      <c r="AP1027" s="18">
        <v>79.2</v>
      </c>
      <c r="AQ1027" s="18">
        <v>37.4</v>
      </c>
      <c r="AR1027" s="18">
        <v>45.4</v>
      </c>
      <c r="AS1027" s="18">
        <v>20.2</v>
      </c>
      <c r="AT1027" s="18" t="s">
        <v>147</v>
      </c>
      <c r="AU1027"/>
    </row>
    <row r="1028" spans="1:47" x14ac:dyDescent="0.2">
      <c r="A1028" s="29">
        <v>1030.99999999993</v>
      </c>
      <c r="B1028" t="s">
        <v>484</v>
      </c>
      <c r="C1028">
        <v>22.102699999999999</v>
      </c>
      <c r="D1028" s="31" t="s">
        <v>140</v>
      </c>
      <c r="E1028" s="28" t="s">
        <v>472</v>
      </c>
      <c r="F1028" s="28" t="s">
        <v>473</v>
      </c>
      <c r="G1028" s="28" t="s">
        <v>473</v>
      </c>
      <c r="H1028" s="28"/>
      <c r="I1028" s="56">
        <v>44913</v>
      </c>
      <c r="J1028" s="28" t="s">
        <v>142</v>
      </c>
      <c r="K1028" s="28" t="s">
        <v>203</v>
      </c>
      <c r="L1028"/>
      <c r="M1028"/>
      <c r="N1028" s="90">
        <v>169.9</v>
      </c>
      <c r="O1028" s="18">
        <v>167.12</v>
      </c>
      <c r="P1028" s="18">
        <v>173.53</v>
      </c>
      <c r="Q1028" s="18">
        <v>48.97</v>
      </c>
      <c r="R1028" s="18">
        <v>24.67</v>
      </c>
      <c r="S1028" s="18">
        <v>98.19</v>
      </c>
      <c r="T1028" s="18">
        <v>82.2</v>
      </c>
      <c r="U1028" s="18">
        <v>66.98</v>
      </c>
      <c r="V1028" s="18">
        <v>50.11</v>
      </c>
      <c r="W1028" s="18">
        <v>78.88</v>
      </c>
      <c r="X1028" s="18">
        <v>82.4</v>
      </c>
      <c r="Y1028" s="18">
        <v>37.97</v>
      </c>
      <c r="Z1028" s="18">
        <v>89.5</v>
      </c>
      <c r="AA1028" s="18">
        <v>70.7</v>
      </c>
      <c r="AB1028" s="18">
        <v>68.88</v>
      </c>
      <c r="AC1028" s="18">
        <v>19.7</v>
      </c>
      <c r="AD1028" s="18">
        <v>43.98</v>
      </c>
      <c r="AE1028" s="18">
        <v>36.630000000000003</v>
      </c>
      <c r="AF1028" s="18">
        <v>40.409999999999997</v>
      </c>
      <c r="AG1028" s="18">
        <v>33.22</v>
      </c>
      <c r="AH1028" s="18">
        <v>44.44</v>
      </c>
      <c r="AI1028" s="18">
        <v>1.4850000000000001</v>
      </c>
      <c r="AJ1028"/>
      <c r="AK1028"/>
      <c r="AL1028" s="102"/>
      <c r="AM1028"/>
      <c r="AN1028"/>
      <c r="AO1028" s="18">
        <v>7.9</v>
      </c>
      <c r="AP1028" s="18">
        <v>80.2</v>
      </c>
      <c r="AQ1028" s="18">
        <v>33.9</v>
      </c>
      <c r="AR1028" s="18">
        <v>45.3</v>
      </c>
      <c r="AS1028" s="18">
        <v>19.899999999999999</v>
      </c>
      <c r="AT1028" s="18" t="s">
        <v>147</v>
      </c>
      <c r="AU1028"/>
    </row>
    <row r="1029" spans="1:47" x14ac:dyDescent="0.2">
      <c r="A1029" s="29">
        <v>1031.99999999993</v>
      </c>
      <c r="B1029" s="17">
        <v>199</v>
      </c>
      <c r="C1029">
        <v>22.102799999999998</v>
      </c>
      <c r="D1029" s="31" t="s">
        <v>140</v>
      </c>
      <c r="E1029" s="3" t="s">
        <v>141</v>
      </c>
      <c r="F1029" s="3" t="s">
        <v>61</v>
      </c>
      <c r="H1029" s="3" t="s">
        <v>61</v>
      </c>
      <c r="I1029" s="68">
        <v>44886</v>
      </c>
      <c r="J1029" s="3" t="s">
        <v>142</v>
      </c>
      <c r="K1029" s="3" t="s">
        <v>235</v>
      </c>
      <c r="L1029"/>
      <c r="M1029" s="17">
        <v>234</v>
      </c>
      <c r="N1029" s="117">
        <v>244.2</v>
      </c>
      <c r="O1029" s="102"/>
      <c r="P1029" s="102"/>
      <c r="Q1029" s="102"/>
      <c r="R1029" s="102"/>
      <c r="S1029" s="102"/>
      <c r="T1029" s="102"/>
      <c r="U1029" s="102"/>
      <c r="V1029" s="102"/>
      <c r="W1029" s="102"/>
      <c r="X1029" s="102"/>
      <c r="Y1029" s="102"/>
      <c r="Z1029" s="102"/>
      <c r="AA1029" s="102"/>
      <c r="AB1029" s="102"/>
      <c r="AC1029" s="102"/>
      <c r="AD1029" s="102"/>
      <c r="AE1029" s="102"/>
      <c r="AF1029" s="102"/>
      <c r="AG1029" s="102"/>
      <c r="AH1029" s="102"/>
      <c r="AI1029">
        <v>1.1140000000000001</v>
      </c>
      <c r="AJ1029">
        <v>46.6</v>
      </c>
      <c r="AK1029" t="s">
        <v>172</v>
      </c>
      <c r="AL1029"/>
      <c r="AM1029"/>
      <c r="AN1029">
        <v>111</v>
      </c>
      <c r="AO1029"/>
      <c r="AP1029"/>
      <c r="AQ1029"/>
      <c r="AR1029"/>
      <c r="AS1029"/>
      <c r="AT1029" t="s">
        <v>146</v>
      </c>
      <c r="AU1029" t="s">
        <v>358</v>
      </c>
    </row>
    <row r="1030" spans="1:47" x14ac:dyDescent="0.2">
      <c r="A1030" s="29">
        <v>1032.99999999993</v>
      </c>
      <c r="B1030" s="17">
        <v>200</v>
      </c>
      <c r="C1030">
        <v>22.102900000000002</v>
      </c>
      <c r="D1030" s="31" t="s">
        <v>140</v>
      </c>
      <c r="E1030" s="3" t="s">
        <v>141</v>
      </c>
      <c r="F1030" s="3" t="s">
        <v>61</v>
      </c>
      <c r="H1030" s="3" t="s">
        <v>61</v>
      </c>
      <c r="I1030" s="68">
        <v>44886</v>
      </c>
      <c r="J1030" s="3" t="s">
        <v>142</v>
      </c>
      <c r="K1030" s="3" t="s">
        <v>235</v>
      </c>
      <c r="L1030"/>
      <c r="M1030" s="17">
        <v>251.5</v>
      </c>
      <c r="N1030" s="117">
        <v>257.7</v>
      </c>
      <c r="O1030" s="102"/>
      <c r="P1030" s="102"/>
      <c r="Q1030" s="102"/>
      <c r="R1030" s="102"/>
      <c r="S1030" s="102"/>
      <c r="T1030" s="102"/>
      <c r="U1030" s="102"/>
      <c r="V1030" s="102"/>
      <c r="W1030" s="102"/>
      <c r="X1030" s="102"/>
      <c r="Y1030" s="102"/>
      <c r="Z1030" s="102"/>
      <c r="AA1030" s="102"/>
      <c r="AB1030" s="102"/>
      <c r="AC1030" s="102"/>
      <c r="AD1030" s="102"/>
      <c r="AE1030" s="102"/>
      <c r="AF1030" s="102"/>
      <c r="AG1030" s="102"/>
      <c r="AH1030" s="102"/>
      <c r="AI1030">
        <v>1.218</v>
      </c>
      <c r="AJ1030">
        <v>35</v>
      </c>
      <c r="AK1030" t="s">
        <v>172</v>
      </c>
      <c r="AL1030"/>
      <c r="AM1030"/>
      <c r="AN1030">
        <v>130</v>
      </c>
      <c r="AO1030"/>
      <c r="AP1030"/>
      <c r="AQ1030"/>
      <c r="AR1030"/>
      <c r="AS1030"/>
      <c r="AT1030"/>
      <c r="AU1030"/>
    </row>
    <row r="1031" spans="1:47" x14ac:dyDescent="0.2">
      <c r="A1031" s="29">
        <v>1033.99999999993</v>
      </c>
      <c r="B1031" s="17">
        <v>237</v>
      </c>
      <c r="C1031" s="15" t="s">
        <v>485</v>
      </c>
      <c r="D1031" s="31" t="s">
        <v>140</v>
      </c>
      <c r="E1031" s="3" t="s">
        <v>141</v>
      </c>
      <c r="F1031" s="3" t="s">
        <v>60</v>
      </c>
      <c r="H1031" s="3" t="s">
        <v>60</v>
      </c>
      <c r="I1031" s="68">
        <v>44925</v>
      </c>
      <c r="J1031" s="3" t="s">
        <v>142</v>
      </c>
      <c r="K1031" s="3" t="s">
        <v>235</v>
      </c>
      <c r="L1031"/>
      <c r="M1031" s="17">
        <v>230.9</v>
      </c>
      <c r="N1031" s="117">
        <v>237.1</v>
      </c>
      <c r="O1031" s="102"/>
      <c r="P1031" s="102"/>
      <c r="Q1031" s="102"/>
      <c r="R1031" s="102"/>
      <c r="S1031" s="102"/>
      <c r="T1031" s="102"/>
      <c r="U1031" s="102"/>
      <c r="V1031" s="102"/>
      <c r="W1031" s="102"/>
      <c r="X1031" s="102"/>
      <c r="Y1031" s="102"/>
      <c r="Z1031" s="102"/>
      <c r="AA1031" s="102"/>
      <c r="AB1031" s="102"/>
      <c r="AC1031" s="102"/>
      <c r="AD1031" s="102"/>
      <c r="AE1031" s="102"/>
      <c r="AF1031" s="102"/>
      <c r="AG1031" s="102"/>
      <c r="AH1031" s="102"/>
      <c r="AI1031">
        <v>1.5269999999999999</v>
      </c>
      <c r="AJ1031">
        <v>43.7</v>
      </c>
      <c r="AK1031" t="s">
        <v>173</v>
      </c>
      <c r="AL1031"/>
      <c r="AM1031"/>
      <c r="AN1031">
        <v>100</v>
      </c>
      <c r="AO1031"/>
      <c r="AP1031"/>
      <c r="AQ1031"/>
      <c r="AR1031"/>
      <c r="AS1031"/>
      <c r="AT1031"/>
      <c r="AU1031"/>
    </row>
    <row r="1032" spans="1:47" x14ac:dyDescent="0.2">
      <c r="A1032" s="29">
        <v>1034.99999999993</v>
      </c>
      <c r="B1032" s="17">
        <v>238</v>
      </c>
      <c r="C1032" s="15">
        <v>22.103100000000001</v>
      </c>
      <c r="D1032" s="31" t="s">
        <v>140</v>
      </c>
      <c r="E1032" s="3" t="s">
        <v>141</v>
      </c>
      <c r="F1032" s="17" t="s">
        <v>62</v>
      </c>
      <c r="H1032" s="17" t="s">
        <v>62</v>
      </c>
      <c r="I1032" s="56">
        <v>44926</v>
      </c>
      <c r="J1032" s="3" t="s">
        <v>142</v>
      </c>
      <c r="K1032" s="3" t="s">
        <v>235</v>
      </c>
      <c r="L1032"/>
      <c r="M1032" s="17">
        <v>265.89999999999998</v>
      </c>
      <c r="N1032" s="117">
        <v>271.89999999999998</v>
      </c>
      <c r="O1032" s="102"/>
      <c r="P1032" s="102"/>
      <c r="Q1032" s="102"/>
      <c r="R1032" s="102"/>
      <c r="S1032" s="102"/>
      <c r="T1032" s="102"/>
      <c r="U1032" s="102"/>
      <c r="V1032" s="102"/>
      <c r="W1032" s="102"/>
      <c r="X1032" s="102"/>
      <c r="Y1032" s="102"/>
      <c r="Z1032" s="102"/>
      <c r="AA1032" s="102"/>
      <c r="AB1032" s="102"/>
      <c r="AC1032" s="102"/>
      <c r="AD1032" s="102"/>
      <c r="AE1032" s="102"/>
      <c r="AF1032" s="102"/>
      <c r="AG1032" s="102"/>
      <c r="AH1032" s="102"/>
      <c r="AI1032">
        <v>1.393</v>
      </c>
      <c r="AJ1032">
        <v>46.7</v>
      </c>
      <c r="AK1032" t="s">
        <v>173</v>
      </c>
      <c r="AL1032"/>
      <c r="AM1032"/>
      <c r="AN1032">
        <v>96</v>
      </c>
      <c r="AO1032"/>
      <c r="AP1032"/>
      <c r="AQ1032"/>
      <c r="AR1032"/>
      <c r="AS1032"/>
      <c r="AT1032"/>
      <c r="AU1032"/>
    </row>
    <row r="1033" spans="1:47" ht="51" x14ac:dyDescent="0.2">
      <c r="A1033" s="29">
        <v>1035.99999999993</v>
      </c>
      <c r="B1033" s="53">
        <v>121735</v>
      </c>
      <c r="C1033">
        <v>22.103200000000001</v>
      </c>
      <c r="D1033" s="97" t="s">
        <v>293</v>
      </c>
      <c r="E1033" s="3" t="s">
        <v>294</v>
      </c>
      <c r="F1033" s="59" t="s">
        <v>295</v>
      </c>
      <c r="I1033" s="63">
        <v>44861</v>
      </c>
      <c r="J1033" s="3" t="s">
        <v>142</v>
      </c>
      <c r="K1033" s="123" t="s">
        <v>166</v>
      </c>
      <c r="L1033"/>
      <c r="M1033" s="53">
        <v>232</v>
      </c>
      <c r="N1033" s="117">
        <v>238</v>
      </c>
      <c r="O1033">
        <v>176.33</v>
      </c>
      <c r="P1033">
        <v>188.03</v>
      </c>
      <c r="Q1033">
        <v>47.2</v>
      </c>
      <c r="R1033">
        <v>24.01</v>
      </c>
      <c r="S1033">
        <v>112.93</v>
      </c>
      <c r="T1033">
        <v>96.55</v>
      </c>
      <c r="U1033">
        <v>61.23</v>
      </c>
      <c r="V1033">
        <v>44.62</v>
      </c>
      <c r="W1033">
        <v>74.569999999999993</v>
      </c>
      <c r="X1033">
        <v>94.03</v>
      </c>
      <c r="Y1033">
        <v>39.729999999999997</v>
      </c>
      <c r="Z1033">
        <v>100.6</v>
      </c>
      <c r="AA1033">
        <v>77.010000000000005</v>
      </c>
      <c r="AB1033">
        <v>72.08</v>
      </c>
      <c r="AC1033">
        <v>12.07</v>
      </c>
      <c r="AD1033">
        <v>51.45</v>
      </c>
      <c r="AE1033">
        <v>34.020000000000003</v>
      </c>
      <c r="AF1033">
        <v>41.46</v>
      </c>
      <c r="AG1033">
        <v>35.44</v>
      </c>
      <c r="AH1033">
        <v>43.24</v>
      </c>
      <c r="AI1033">
        <v>1.6</v>
      </c>
      <c r="AJ1033"/>
      <c r="AK1033"/>
      <c r="AL1033">
        <v>23</v>
      </c>
      <c r="AM1033"/>
      <c r="AN1033"/>
      <c r="AO1033">
        <v>12.5</v>
      </c>
      <c r="AP1033">
        <v>105.3</v>
      </c>
      <c r="AQ1033">
        <v>47</v>
      </c>
      <c r="AR1033">
        <v>48</v>
      </c>
      <c r="AS1033">
        <v>20.3</v>
      </c>
      <c r="AT1033"/>
      <c r="AU1033"/>
    </row>
    <row r="1034" spans="1:47" ht="51" x14ac:dyDescent="0.2">
      <c r="A1034" s="29">
        <v>1036.99999999993</v>
      </c>
      <c r="B1034" s="53">
        <v>121742</v>
      </c>
      <c r="C1034" s="15">
        <v>22.103300000000001</v>
      </c>
      <c r="D1034" s="97" t="s">
        <v>293</v>
      </c>
      <c r="E1034" s="3" t="s">
        <v>294</v>
      </c>
      <c r="F1034" s="59" t="s">
        <v>295</v>
      </c>
      <c r="I1034" s="56">
        <v>44875</v>
      </c>
      <c r="J1034" s="3" t="s">
        <v>142</v>
      </c>
      <c r="K1034" s="123" t="s">
        <v>166</v>
      </c>
      <c r="L1034"/>
      <c r="M1034" s="53">
        <v>252</v>
      </c>
      <c r="N1034" s="117">
        <v>253.3</v>
      </c>
      <c r="O1034">
        <v>169.31</v>
      </c>
      <c r="P1034">
        <v>177.07</v>
      </c>
      <c r="Q1034">
        <v>38.79</v>
      </c>
      <c r="R1034">
        <v>16.91</v>
      </c>
      <c r="S1034">
        <v>116.74</v>
      </c>
      <c r="T1034">
        <v>95.77</v>
      </c>
      <c r="U1034">
        <v>57.36</v>
      </c>
      <c r="V1034">
        <v>42.12</v>
      </c>
      <c r="W1034">
        <v>74.290000000000006</v>
      </c>
      <c r="X1034">
        <v>91.71</v>
      </c>
      <c r="Y1034">
        <v>40.340000000000003</v>
      </c>
      <c r="Z1034">
        <v>100.44</v>
      </c>
      <c r="AA1034">
        <v>78.06</v>
      </c>
      <c r="AB1034">
        <v>73.540000000000006</v>
      </c>
      <c r="AC1034">
        <v>13.09</v>
      </c>
      <c r="AD1034">
        <v>51.88</v>
      </c>
      <c r="AE1034">
        <v>28.66</v>
      </c>
      <c r="AF1034">
        <v>41.31</v>
      </c>
      <c r="AG1034">
        <v>30.69</v>
      </c>
      <c r="AH1034">
        <v>44.43</v>
      </c>
      <c r="AI1034">
        <v>1.345</v>
      </c>
      <c r="AJ1034"/>
      <c r="AK1034"/>
      <c r="AL1034">
        <v>44</v>
      </c>
      <c r="AM1034"/>
      <c r="AN1034"/>
      <c r="AO1034">
        <v>11.6</v>
      </c>
      <c r="AP1034">
        <v>99.1</v>
      </c>
      <c r="AQ1034">
        <v>50.4</v>
      </c>
      <c r="AR1034">
        <v>46.2</v>
      </c>
      <c r="AS1034">
        <v>19.5</v>
      </c>
      <c r="AT1034"/>
      <c r="AU1034"/>
    </row>
    <row r="1035" spans="1:47" ht="51" x14ac:dyDescent="0.2">
      <c r="A1035" s="29">
        <v>1037.99999999993</v>
      </c>
      <c r="B1035" s="53">
        <v>121711</v>
      </c>
      <c r="C1035">
        <v>22.103400000000001</v>
      </c>
      <c r="D1035" s="97" t="s">
        <v>293</v>
      </c>
      <c r="E1035" s="3" t="s">
        <v>294</v>
      </c>
      <c r="F1035" s="59" t="s">
        <v>295</v>
      </c>
      <c r="I1035" s="63">
        <v>44861</v>
      </c>
      <c r="J1035" s="3" t="s">
        <v>142</v>
      </c>
      <c r="K1035" s="123" t="s">
        <v>166</v>
      </c>
      <c r="L1035"/>
      <c r="M1035" s="53">
        <v>236</v>
      </c>
      <c r="N1035" s="117">
        <v>231.5</v>
      </c>
      <c r="O1035">
        <v>175.35</v>
      </c>
      <c r="P1035">
        <v>187.48</v>
      </c>
      <c r="Q1035">
        <v>45.68</v>
      </c>
      <c r="R1035">
        <v>22.73</v>
      </c>
      <c r="S1035">
        <v>117.67</v>
      </c>
      <c r="T1035">
        <v>100.88</v>
      </c>
      <c r="U1035">
        <v>55.74</v>
      </c>
      <c r="V1035">
        <v>42.31</v>
      </c>
      <c r="W1035">
        <v>66.849999999999994</v>
      </c>
      <c r="X1035">
        <v>86.12</v>
      </c>
      <c r="Y1035">
        <v>36.450000000000003</v>
      </c>
      <c r="Z1035">
        <v>95.63</v>
      </c>
      <c r="AA1035">
        <v>74.150000000000006</v>
      </c>
      <c r="AB1035">
        <v>71.73</v>
      </c>
      <c r="AC1035">
        <v>16.55</v>
      </c>
      <c r="AD1035">
        <v>49.66</v>
      </c>
      <c r="AE1035">
        <v>31.1</v>
      </c>
      <c r="AF1035">
        <v>42.79</v>
      </c>
      <c r="AG1035">
        <v>35.22</v>
      </c>
      <c r="AH1035">
        <v>43.76</v>
      </c>
      <c r="AI1035">
        <v>1.8240000000000001</v>
      </c>
      <c r="AJ1035"/>
      <c r="AK1035"/>
      <c r="AL1035">
        <v>28</v>
      </c>
      <c r="AM1035"/>
      <c r="AN1035"/>
      <c r="AO1035">
        <v>10.5</v>
      </c>
      <c r="AP1035">
        <v>92.3</v>
      </c>
      <c r="AQ1035">
        <v>48.5</v>
      </c>
      <c r="AR1035">
        <v>50.1</v>
      </c>
      <c r="AS1035">
        <v>21.2</v>
      </c>
      <c r="AT1035"/>
      <c r="AU1035"/>
    </row>
    <row r="1036" spans="1:47" ht="51" x14ac:dyDescent="0.2">
      <c r="A1036" s="29">
        <v>1038.99999999993</v>
      </c>
      <c r="B1036" s="53">
        <v>121724</v>
      </c>
      <c r="C1036" s="15">
        <v>22.1035</v>
      </c>
      <c r="D1036" s="97" t="s">
        <v>293</v>
      </c>
      <c r="E1036" s="3" t="s">
        <v>294</v>
      </c>
      <c r="F1036" s="59" t="s">
        <v>295</v>
      </c>
      <c r="I1036" s="63">
        <v>44861</v>
      </c>
      <c r="J1036" s="3" t="s">
        <v>142</v>
      </c>
      <c r="K1036" s="123" t="s">
        <v>166</v>
      </c>
      <c r="L1036"/>
      <c r="M1036" s="53">
        <v>238</v>
      </c>
      <c r="N1036" s="117">
        <v>229.1</v>
      </c>
      <c r="O1036">
        <v>174.31</v>
      </c>
      <c r="P1036">
        <v>184.53</v>
      </c>
      <c r="Q1036">
        <v>44.21</v>
      </c>
      <c r="R1036">
        <v>25.25</v>
      </c>
      <c r="S1036">
        <v>113.61</v>
      </c>
      <c r="T1036">
        <v>93.32</v>
      </c>
      <c r="U1036">
        <v>55.39</v>
      </c>
      <c r="V1036">
        <v>43.46</v>
      </c>
      <c r="W1036">
        <v>73.33</v>
      </c>
      <c r="X1036">
        <v>93.2</v>
      </c>
      <c r="Y1036">
        <v>37.07</v>
      </c>
      <c r="Z1036">
        <v>101.63</v>
      </c>
      <c r="AA1036">
        <v>77.12</v>
      </c>
      <c r="AB1036">
        <v>74.900000000000006</v>
      </c>
      <c r="AC1036">
        <v>12.79</v>
      </c>
      <c r="AD1036">
        <v>49.22</v>
      </c>
      <c r="AE1036">
        <v>32.11</v>
      </c>
      <c r="AF1036">
        <v>42.39</v>
      </c>
      <c r="AG1036">
        <v>34.6</v>
      </c>
      <c r="AH1036">
        <v>46.15</v>
      </c>
      <c r="AI1036">
        <v>1.542</v>
      </c>
      <c r="AJ1036"/>
      <c r="AK1036"/>
      <c r="AL1036">
        <v>25</v>
      </c>
      <c r="AM1036"/>
      <c r="AN1036"/>
      <c r="AO1036">
        <v>9</v>
      </c>
      <c r="AP1036">
        <v>101.6</v>
      </c>
      <c r="AQ1036">
        <v>42.6</v>
      </c>
      <c r="AR1036">
        <v>49</v>
      </c>
      <c r="AS1036">
        <v>20.7</v>
      </c>
      <c r="AT1036"/>
      <c r="AU1036"/>
    </row>
    <row r="1037" spans="1:47" ht="51" x14ac:dyDescent="0.2">
      <c r="A1037" s="29">
        <v>1039.99999999993</v>
      </c>
      <c r="B1037" s="53">
        <v>121738</v>
      </c>
      <c r="C1037">
        <v>22.1036</v>
      </c>
      <c r="D1037" s="97" t="s">
        <v>293</v>
      </c>
      <c r="E1037" s="3" t="s">
        <v>294</v>
      </c>
      <c r="F1037" s="59" t="s">
        <v>295</v>
      </c>
      <c r="I1037" s="56">
        <v>44875</v>
      </c>
      <c r="J1037" s="3" t="s">
        <v>142</v>
      </c>
      <c r="K1037" s="123" t="s">
        <v>166</v>
      </c>
      <c r="L1037"/>
      <c r="M1037" s="53">
        <v>234</v>
      </c>
      <c r="N1037" s="117">
        <v>240.6</v>
      </c>
      <c r="O1037">
        <v>181.76</v>
      </c>
      <c r="P1037">
        <v>201.11</v>
      </c>
      <c r="Q1037">
        <v>46.44</v>
      </c>
      <c r="R1037">
        <v>20.079999999999998</v>
      </c>
      <c r="S1037">
        <v>125.24</v>
      </c>
      <c r="T1037">
        <v>100.65</v>
      </c>
      <c r="U1037">
        <v>51.95</v>
      </c>
      <c r="V1037">
        <v>43.58</v>
      </c>
      <c r="W1037">
        <v>67.09</v>
      </c>
      <c r="X1037">
        <v>86.88</v>
      </c>
      <c r="Y1037">
        <v>32.78</v>
      </c>
      <c r="Z1037">
        <v>95.59</v>
      </c>
      <c r="AA1037">
        <v>73.819999999999993</v>
      </c>
      <c r="AB1037">
        <v>66.010000000000005</v>
      </c>
      <c r="AC1037">
        <v>12.94</v>
      </c>
      <c r="AD1037">
        <v>48.93</v>
      </c>
      <c r="AE1037">
        <v>30.43</v>
      </c>
      <c r="AF1037">
        <v>38.68</v>
      </c>
      <c r="AG1037">
        <v>32.25</v>
      </c>
      <c r="AH1037">
        <v>43.63</v>
      </c>
      <c r="AI1037">
        <v>1.51</v>
      </c>
      <c r="AJ1037"/>
      <c r="AK1037"/>
      <c r="AL1037">
        <v>33</v>
      </c>
      <c r="AM1037"/>
      <c r="AN1037"/>
      <c r="AO1037">
        <v>9.9</v>
      </c>
      <c r="AP1037">
        <v>96.6</v>
      </c>
      <c r="AQ1037">
        <v>50.5</v>
      </c>
      <c r="AR1037">
        <v>47.9</v>
      </c>
      <c r="AS1037">
        <v>20.6</v>
      </c>
      <c r="AT1037"/>
      <c r="AU1037"/>
    </row>
    <row r="1038" spans="1:47" ht="51" x14ac:dyDescent="0.2">
      <c r="A1038" s="29">
        <v>1040.99999999993</v>
      </c>
      <c r="B1038" s="53">
        <v>121702</v>
      </c>
      <c r="C1038" s="15">
        <v>22.1037</v>
      </c>
      <c r="D1038" s="97" t="s">
        <v>293</v>
      </c>
      <c r="E1038" s="3" t="s">
        <v>294</v>
      </c>
      <c r="F1038" s="59" t="s">
        <v>295</v>
      </c>
      <c r="I1038" s="56">
        <v>44875</v>
      </c>
      <c r="J1038" s="3" t="s">
        <v>142</v>
      </c>
      <c r="K1038" s="123" t="s">
        <v>166</v>
      </c>
      <c r="L1038"/>
      <c r="M1038" s="53">
        <v>234</v>
      </c>
      <c r="N1038" s="117">
        <v>235</v>
      </c>
      <c r="O1038">
        <v>181.85</v>
      </c>
      <c r="P1038">
        <v>191.25</v>
      </c>
      <c r="Q1038">
        <v>42.3</v>
      </c>
      <c r="R1038">
        <v>20.16</v>
      </c>
      <c r="S1038">
        <v>121.9</v>
      </c>
      <c r="T1038">
        <v>99.44</v>
      </c>
      <c r="U1038">
        <v>56.8</v>
      </c>
      <c r="V1038">
        <v>43.8</v>
      </c>
      <c r="W1038">
        <v>72.39</v>
      </c>
      <c r="X1038">
        <v>91.46</v>
      </c>
      <c r="Y1038">
        <v>36.93</v>
      </c>
      <c r="Z1038">
        <v>99.36</v>
      </c>
      <c r="AA1038">
        <v>75.72</v>
      </c>
      <c r="AB1038">
        <v>69.489999999999995</v>
      </c>
      <c r="AC1038">
        <v>14.06</v>
      </c>
      <c r="AD1038">
        <v>49.66</v>
      </c>
      <c r="AE1038">
        <v>28.88</v>
      </c>
      <c r="AF1038">
        <v>42.82</v>
      </c>
      <c r="AG1038">
        <v>35.11</v>
      </c>
      <c r="AH1038">
        <v>44.88</v>
      </c>
      <c r="AI1038">
        <v>1.31</v>
      </c>
      <c r="AJ1038"/>
      <c r="AK1038"/>
      <c r="AL1038">
        <v>31</v>
      </c>
      <c r="AM1038"/>
      <c r="AN1038"/>
      <c r="AO1038">
        <v>10.4</v>
      </c>
      <c r="AP1038">
        <v>97.2</v>
      </c>
      <c r="AQ1038">
        <v>50</v>
      </c>
      <c r="AR1038">
        <v>43.9</v>
      </c>
      <c r="AS1038">
        <v>18.2</v>
      </c>
      <c r="AT1038"/>
      <c r="AU1038"/>
    </row>
    <row r="1039" spans="1:47" ht="51" x14ac:dyDescent="0.2">
      <c r="A1039" s="29">
        <v>1041.99999999993</v>
      </c>
      <c r="B1039" s="53">
        <v>121713</v>
      </c>
      <c r="C1039">
        <v>22.1038</v>
      </c>
      <c r="D1039" s="97" t="s">
        <v>293</v>
      </c>
      <c r="E1039" s="3" t="s">
        <v>294</v>
      </c>
      <c r="F1039" s="59" t="s">
        <v>295</v>
      </c>
      <c r="I1039" s="63">
        <v>44861</v>
      </c>
      <c r="J1039" s="3" t="s">
        <v>142</v>
      </c>
      <c r="K1039" s="123" t="s">
        <v>166</v>
      </c>
      <c r="L1039"/>
      <c r="M1039" s="53">
        <v>240</v>
      </c>
      <c r="N1039" s="117">
        <v>234.3</v>
      </c>
      <c r="O1039">
        <v>173.57</v>
      </c>
      <c r="P1039">
        <v>182.64</v>
      </c>
      <c r="Q1039">
        <v>44.87</v>
      </c>
      <c r="R1039">
        <v>23.08</v>
      </c>
      <c r="S1039">
        <v>113.44</v>
      </c>
      <c r="T1039">
        <v>94.9</v>
      </c>
      <c r="U1039">
        <v>60.48</v>
      </c>
      <c r="V1039">
        <v>44.01</v>
      </c>
      <c r="W1039">
        <v>72.650000000000006</v>
      </c>
      <c r="X1039">
        <v>92.19</v>
      </c>
      <c r="Y1039">
        <v>38.51</v>
      </c>
      <c r="Z1039">
        <v>101.83</v>
      </c>
      <c r="AA1039">
        <v>77.319999999999993</v>
      </c>
      <c r="AB1039">
        <v>71.92</v>
      </c>
      <c r="AC1039">
        <v>14.56</v>
      </c>
      <c r="AD1039">
        <v>50.91</v>
      </c>
      <c r="AE1039">
        <v>32.15</v>
      </c>
      <c r="AF1039">
        <v>44.37</v>
      </c>
      <c r="AG1039">
        <v>32.729999999999997</v>
      </c>
      <c r="AH1039">
        <v>44.78</v>
      </c>
      <c r="AI1039">
        <v>1.5429999999999999</v>
      </c>
      <c r="AJ1039"/>
      <c r="AK1039"/>
      <c r="AL1039">
        <v>23</v>
      </c>
      <c r="AM1039"/>
      <c r="AN1039"/>
      <c r="AO1039">
        <v>11.1</v>
      </c>
      <c r="AP1039">
        <v>101</v>
      </c>
      <c r="AQ1039">
        <v>47.5</v>
      </c>
      <c r="AR1039">
        <v>48.8</v>
      </c>
      <c r="AS1039">
        <v>20.5</v>
      </c>
      <c r="AT1039"/>
      <c r="AU1039"/>
    </row>
    <row r="1040" spans="1:47" ht="51" x14ac:dyDescent="0.2">
      <c r="A1040" s="29">
        <v>1042.99999999993</v>
      </c>
      <c r="B1040" s="53">
        <v>121739</v>
      </c>
      <c r="C1040" s="15">
        <v>22.103899999999999</v>
      </c>
      <c r="D1040" s="97" t="s">
        <v>293</v>
      </c>
      <c r="E1040" s="3" t="s">
        <v>294</v>
      </c>
      <c r="F1040" s="59" t="s">
        <v>295</v>
      </c>
      <c r="I1040" s="63">
        <v>44843</v>
      </c>
      <c r="J1040" s="3" t="s">
        <v>142</v>
      </c>
      <c r="K1040" s="123" t="s">
        <v>166</v>
      </c>
      <c r="L1040"/>
      <c r="M1040" s="53">
        <v>238</v>
      </c>
      <c r="N1040" s="117">
        <v>244.4</v>
      </c>
      <c r="O1040">
        <v>174.3</v>
      </c>
      <c r="P1040">
        <v>182.61</v>
      </c>
      <c r="Q1040">
        <v>38.96</v>
      </c>
      <c r="R1040">
        <v>24.57</v>
      </c>
      <c r="S1040">
        <v>113.49</v>
      </c>
      <c r="T1040">
        <v>96.75</v>
      </c>
      <c r="U1040">
        <v>52.24</v>
      </c>
      <c r="V1040">
        <v>44.82</v>
      </c>
      <c r="W1040">
        <v>78.16</v>
      </c>
      <c r="X1040">
        <v>93.56</v>
      </c>
      <c r="Y1040">
        <v>38.770000000000003</v>
      </c>
      <c r="Z1040">
        <v>102.89</v>
      </c>
      <c r="AA1040">
        <v>78.42</v>
      </c>
      <c r="AB1040">
        <v>71.180000000000007</v>
      </c>
      <c r="AC1040">
        <v>17.55</v>
      </c>
      <c r="AD1040">
        <v>51.25</v>
      </c>
      <c r="AE1040">
        <v>32.79</v>
      </c>
      <c r="AF1040">
        <v>44.25</v>
      </c>
      <c r="AG1040">
        <v>34.270000000000003</v>
      </c>
      <c r="AH1040">
        <v>44.38</v>
      </c>
      <c r="AI1040">
        <v>1.4730000000000001</v>
      </c>
      <c r="AJ1040"/>
      <c r="AK1040"/>
      <c r="AL1040">
        <v>25</v>
      </c>
      <c r="AM1040"/>
      <c r="AN1040"/>
      <c r="AO1040">
        <v>10.6</v>
      </c>
      <c r="AP1040">
        <v>116.9</v>
      </c>
      <c r="AQ1040">
        <v>38.9</v>
      </c>
      <c r="AR1040">
        <v>52.2</v>
      </c>
      <c r="AS1040">
        <v>22.3</v>
      </c>
      <c r="AT1040"/>
      <c r="AU1040"/>
    </row>
    <row r="1041" spans="1:47" ht="51" x14ac:dyDescent="0.2">
      <c r="A1041" s="29">
        <v>1043.99999999993</v>
      </c>
      <c r="B1041" s="53">
        <v>121701</v>
      </c>
      <c r="C1041" s="5" t="s">
        <v>486</v>
      </c>
      <c r="D1041" s="97" t="s">
        <v>293</v>
      </c>
      <c r="E1041" s="3" t="s">
        <v>294</v>
      </c>
      <c r="F1041" s="59" t="s">
        <v>295</v>
      </c>
      <c r="I1041" s="56">
        <v>44875</v>
      </c>
      <c r="J1041" s="3" t="s">
        <v>142</v>
      </c>
      <c r="K1041" s="123" t="s">
        <v>166</v>
      </c>
      <c r="L1041"/>
      <c r="M1041" s="53">
        <v>242</v>
      </c>
      <c r="N1041" s="117">
        <v>254.2</v>
      </c>
      <c r="O1041">
        <v>175.68</v>
      </c>
      <c r="P1041">
        <v>184.35</v>
      </c>
      <c r="Q1041">
        <v>42.16</v>
      </c>
      <c r="R1041">
        <v>16.690000000000001</v>
      </c>
      <c r="S1041">
        <v>121.16</v>
      </c>
      <c r="T1041">
        <v>105.51</v>
      </c>
      <c r="U1041">
        <v>51.06</v>
      </c>
      <c r="V1041">
        <v>41.75</v>
      </c>
      <c r="W1041">
        <v>64.14</v>
      </c>
      <c r="X1041">
        <v>85.67</v>
      </c>
      <c r="Y1041">
        <v>38.159999999999997</v>
      </c>
      <c r="Z1041">
        <v>95.82</v>
      </c>
      <c r="AA1041">
        <v>76.05</v>
      </c>
      <c r="AB1041">
        <v>71.98</v>
      </c>
      <c r="AC1041">
        <v>14.53</v>
      </c>
      <c r="AD1041">
        <v>51.11</v>
      </c>
      <c r="AE1041">
        <v>25</v>
      </c>
      <c r="AF1041">
        <v>40.590000000000003</v>
      </c>
      <c r="AG1041">
        <v>33.479999999999997</v>
      </c>
      <c r="AH1041">
        <v>47.06</v>
      </c>
      <c r="AI1041">
        <v>1.395</v>
      </c>
      <c r="AJ1041"/>
      <c r="AK1041"/>
      <c r="AL1041">
        <v>43</v>
      </c>
      <c r="AM1041"/>
      <c r="AN1041"/>
      <c r="AO1041">
        <v>12.1</v>
      </c>
      <c r="AP1041">
        <v>104.5</v>
      </c>
      <c r="AQ1041">
        <v>45.4</v>
      </c>
      <c r="AR1041">
        <v>47.8</v>
      </c>
      <c r="AS1041">
        <v>20.399999999999999</v>
      </c>
      <c r="AT1041"/>
      <c r="AU1041"/>
    </row>
    <row r="1042" spans="1:47" ht="51" x14ac:dyDescent="0.2">
      <c r="A1042" s="29">
        <v>1044.99999999993</v>
      </c>
      <c r="B1042" s="53">
        <v>121725</v>
      </c>
      <c r="C1042" s="15">
        <v>22.104099999999999</v>
      </c>
      <c r="D1042" s="97" t="s">
        <v>293</v>
      </c>
      <c r="E1042" s="3" t="s">
        <v>294</v>
      </c>
      <c r="F1042" s="59" t="s">
        <v>295</v>
      </c>
      <c r="I1042" s="63">
        <v>44861</v>
      </c>
      <c r="J1042" s="3" t="s">
        <v>142</v>
      </c>
      <c r="K1042" s="123" t="s">
        <v>166</v>
      </c>
      <c r="L1042"/>
      <c r="M1042" s="53">
        <v>252</v>
      </c>
      <c r="N1042" s="117">
        <v>242.8</v>
      </c>
      <c r="O1042">
        <v>177.85</v>
      </c>
      <c r="P1042">
        <v>188.24</v>
      </c>
      <c r="Q1042">
        <v>45</v>
      </c>
      <c r="R1042">
        <v>21.85</v>
      </c>
      <c r="S1042">
        <v>118.39</v>
      </c>
      <c r="T1042">
        <v>102.01</v>
      </c>
      <c r="U1042">
        <v>57.5</v>
      </c>
      <c r="V1042">
        <v>42.21</v>
      </c>
      <c r="W1042">
        <v>67.02</v>
      </c>
      <c r="X1042">
        <v>84.72</v>
      </c>
      <c r="Y1042">
        <v>37.72</v>
      </c>
      <c r="Z1042">
        <v>96.96</v>
      </c>
      <c r="AA1042">
        <v>74.78</v>
      </c>
      <c r="AB1042">
        <v>70.319999999999993</v>
      </c>
      <c r="AC1042">
        <v>14.47</v>
      </c>
      <c r="AD1042">
        <v>51.22</v>
      </c>
      <c r="AE1042">
        <v>31.88</v>
      </c>
      <c r="AF1042">
        <v>43.18</v>
      </c>
      <c r="AG1042">
        <v>36.11</v>
      </c>
      <c r="AH1042">
        <v>46.09</v>
      </c>
      <c r="AI1042">
        <v>1.677</v>
      </c>
      <c r="AJ1042"/>
      <c r="AK1042"/>
      <c r="AL1042">
        <v>25</v>
      </c>
      <c r="AM1042"/>
      <c r="AN1042"/>
      <c r="AO1042">
        <v>12.3</v>
      </c>
      <c r="AP1042">
        <v>108</v>
      </c>
      <c r="AQ1042">
        <v>42.3</v>
      </c>
      <c r="AR1042">
        <v>53.2</v>
      </c>
      <c r="AS1042">
        <v>22.4</v>
      </c>
      <c r="AT1042"/>
      <c r="AU1042"/>
    </row>
    <row r="1043" spans="1:47" ht="51" x14ac:dyDescent="0.2">
      <c r="A1043" s="29">
        <v>1045.99999999993</v>
      </c>
      <c r="B1043" s="53">
        <v>121740</v>
      </c>
      <c r="C1043">
        <v>22.104199999999999</v>
      </c>
      <c r="D1043" s="97" t="s">
        <v>293</v>
      </c>
      <c r="E1043" s="3" t="s">
        <v>294</v>
      </c>
      <c r="F1043" s="59" t="s">
        <v>295</v>
      </c>
      <c r="I1043" s="63">
        <v>44847</v>
      </c>
      <c r="J1043" s="3" t="s">
        <v>142</v>
      </c>
      <c r="K1043" s="123" t="s">
        <v>166</v>
      </c>
      <c r="L1043"/>
      <c r="M1043" s="53">
        <v>248</v>
      </c>
      <c r="N1043" s="117">
        <v>242</v>
      </c>
      <c r="O1043">
        <v>181.98</v>
      </c>
      <c r="P1043">
        <v>187.71</v>
      </c>
      <c r="Q1043">
        <v>43.09</v>
      </c>
      <c r="R1043">
        <v>25.82</v>
      </c>
      <c r="S1043">
        <v>116.17</v>
      </c>
      <c r="T1043">
        <v>96.34</v>
      </c>
      <c r="U1043">
        <v>56.14</v>
      </c>
      <c r="V1043">
        <v>42.41</v>
      </c>
      <c r="W1043">
        <v>71.510000000000005</v>
      </c>
      <c r="X1043">
        <v>93.64</v>
      </c>
      <c r="Y1043">
        <v>38.119999999999997</v>
      </c>
      <c r="Z1043">
        <v>101.59</v>
      </c>
      <c r="AA1043">
        <v>77.23</v>
      </c>
      <c r="AB1043">
        <v>71.239999999999995</v>
      </c>
      <c r="AC1043">
        <v>18.13</v>
      </c>
      <c r="AD1043">
        <v>49.88</v>
      </c>
      <c r="AE1043">
        <v>35.200000000000003</v>
      </c>
      <c r="AF1043">
        <v>45.52</v>
      </c>
      <c r="AG1043">
        <v>38.44</v>
      </c>
      <c r="AH1043">
        <v>44.13</v>
      </c>
      <c r="AI1043">
        <v>1.4319999999999999</v>
      </c>
      <c r="AJ1043"/>
      <c r="AK1043"/>
      <c r="AL1043">
        <v>26</v>
      </c>
      <c r="AM1043"/>
      <c r="AN1043"/>
      <c r="AO1043">
        <v>12.2</v>
      </c>
      <c r="AP1043">
        <v>108.2</v>
      </c>
      <c r="AQ1043">
        <v>40.9</v>
      </c>
      <c r="AR1043">
        <v>53.1</v>
      </c>
      <c r="AS1043">
        <v>22.7</v>
      </c>
      <c r="AT1043"/>
      <c r="AU1043"/>
    </row>
    <row r="1044" spans="1:47" ht="51" x14ac:dyDescent="0.2">
      <c r="A1044" s="29">
        <v>1046.99999999993</v>
      </c>
      <c r="B1044" s="53">
        <v>121741</v>
      </c>
      <c r="C1044" s="15">
        <v>22.104299999999999</v>
      </c>
      <c r="D1044" s="97" t="s">
        <v>293</v>
      </c>
      <c r="E1044" s="3" t="s">
        <v>294</v>
      </c>
      <c r="F1044" s="59" t="s">
        <v>295</v>
      </c>
      <c r="I1044" s="63">
        <v>44847</v>
      </c>
      <c r="J1044" s="3" t="s">
        <v>142</v>
      </c>
      <c r="K1044" s="123" t="s">
        <v>166</v>
      </c>
      <c r="L1044"/>
      <c r="M1044" s="53">
        <v>244</v>
      </c>
      <c r="N1044" s="117">
        <v>235.2</v>
      </c>
      <c r="O1044">
        <v>183.99</v>
      </c>
      <c r="P1044">
        <v>194.57</v>
      </c>
      <c r="Q1044">
        <v>44.33</v>
      </c>
      <c r="R1044">
        <v>24.2</v>
      </c>
      <c r="S1044">
        <v>122.75</v>
      </c>
      <c r="T1044">
        <v>100.38</v>
      </c>
      <c r="U1044">
        <v>54.72</v>
      </c>
      <c r="V1044">
        <v>40.98</v>
      </c>
      <c r="W1044">
        <v>65.069999999999993</v>
      </c>
      <c r="X1044">
        <v>82.49</v>
      </c>
      <c r="Y1044">
        <v>38.31</v>
      </c>
      <c r="Z1044">
        <v>96.24</v>
      </c>
      <c r="AA1044">
        <v>75.72</v>
      </c>
      <c r="AB1044">
        <v>69.77</v>
      </c>
      <c r="AC1044">
        <v>19.39</v>
      </c>
      <c r="AD1044">
        <v>50.47</v>
      </c>
      <c r="AE1044">
        <v>38.18</v>
      </c>
      <c r="AF1044">
        <v>42.04</v>
      </c>
      <c r="AG1044">
        <v>38.340000000000003</v>
      </c>
      <c r="AH1044">
        <v>44.34</v>
      </c>
      <c r="AI1044">
        <v>1.6870000000000001</v>
      </c>
      <c r="AJ1044"/>
      <c r="AK1044"/>
      <c r="AL1044">
        <v>26</v>
      </c>
      <c r="AM1044"/>
      <c r="AN1044"/>
      <c r="AO1044">
        <v>10.5</v>
      </c>
      <c r="AP1044">
        <v>106.3</v>
      </c>
      <c r="AQ1044">
        <v>38.9</v>
      </c>
      <c r="AR1044">
        <v>50.5</v>
      </c>
      <c r="AS1044">
        <v>21.7</v>
      </c>
      <c r="AT1044"/>
      <c r="AU1044"/>
    </row>
    <row r="1045" spans="1:47" ht="51" x14ac:dyDescent="0.2">
      <c r="A1045" s="29">
        <v>1047.99999999993</v>
      </c>
      <c r="B1045" s="53">
        <v>121743</v>
      </c>
      <c r="C1045">
        <v>22.104399999999998</v>
      </c>
      <c r="D1045" s="97" t="s">
        <v>293</v>
      </c>
      <c r="E1045" s="3" t="s">
        <v>294</v>
      </c>
      <c r="F1045" s="59" t="s">
        <v>295</v>
      </c>
      <c r="I1045" s="63">
        <v>44836</v>
      </c>
      <c r="J1045" s="3" t="s">
        <v>142</v>
      </c>
      <c r="K1045" s="123" t="s">
        <v>166</v>
      </c>
      <c r="L1045"/>
      <c r="M1045" s="53">
        <v>244</v>
      </c>
      <c r="N1045" s="117">
        <v>231.1</v>
      </c>
      <c r="O1045">
        <v>178.22</v>
      </c>
      <c r="P1045">
        <v>186.02</v>
      </c>
      <c r="Q1045">
        <v>41.87</v>
      </c>
      <c r="R1045">
        <v>24.9</v>
      </c>
      <c r="S1045">
        <v>115.14</v>
      </c>
      <c r="T1045">
        <v>96.92</v>
      </c>
      <c r="U1045">
        <v>57.97</v>
      </c>
      <c r="V1045">
        <v>44.24</v>
      </c>
      <c r="W1045">
        <v>74.540000000000006</v>
      </c>
      <c r="X1045">
        <v>91.9</v>
      </c>
      <c r="Y1045">
        <v>39.36</v>
      </c>
      <c r="Z1045">
        <v>103.33</v>
      </c>
      <c r="AA1045">
        <v>79.13</v>
      </c>
      <c r="AB1045">
        <v>73.819999999999993</v>
      </c>
      <c r="AC1045">
        <v>17.11</v>
      </c>
      <c r="AD1045">
        <v>47.52</v>
      </c>
      <c r="AE1045">
        <v>34.15</v>
      </c>
      <c r="AF1045">
        <v>43.96</v>
      </c>
      <c r="AG1045">
        <v>40.51</v>
      </c>
      <c r="AH1045">
        <v>43.62</v>
      </c>
      <c r="AI1045">
        <v>1.452</v>
      </c>
      <c r="AJ1045"/>
      <c r="AK1045"/>
      <c r="AL1045">
        <v>22</v>
      </c>
      <c r="AM1045"/>
      <c r="AN1045"/>
      <c r="AO1045">
        <v>10.8</v>
      </c>
      <c r="AP1045">
        <v>100.1</v>
      </c>
      <c r="AQ1045">
        <v>47.2</v>
      </c>
      <c r="AR1045">
        <v>48.5</v>
      </c>
      <c r="AS1045">
        <v>20.8</v>
      </c>
      <c r="AT1045"/>
      <c r="AU1045"/>
    </row>
    <row r="1046" spans="1:47" x14ac:dyDescent="0.2">
      <c r="A1046" s="29">
        <v>1048.99999999993</v>
      </c>
      <c r="B1046">
        <v>122</v>
      </c>
      <c r="C1046" s="15">
        <v>22.104500000000002</v>
      </c>
      <c r="D1046" s="31" t="s">
        <v>140</v>
      </c>
      <c r="E1046" s="3" t="s">
        <v>141</v>
      </c>
      <c r="F1046" s="3" t="s">
        <v>60</v>
      </c>
      <c r="H1046" s="3" t="s">
        <v>60</v>
      </c>
      <c r="I1046" s="32">
        <v>44798</v>
      </c>
      <c r="J1046" s="3" t="s">
        <v>142</v>
      </c>
      <c r="K1046" s="3" t="s">
        <v>166</v>
      </c>
      <c r="M1046" s="17">
        <v>214</v>
      </c>
      <c r="N1046" s="117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>
        <v>1.8759999999999999</v>
      </c>
      <c r="AJ1046"/>
      <c r="AK1046"/>
      <c r="AL1046"/>
      <c r="AM1046"/>
      <c r="AN1046"/>
      <c r="AO1046">
        <v>3.2</v>
      </c>
      <c r="AP1046"/>
      <c r="AQ1046">
        <v>145.80000000000001</v>
      </c>
      <c r="AR1046">
        <v>47.8</v>
      </c>
      <c r="AS1046">
        <v>20.7</v>
      </c>
      <c r="AT1046"/>
      <c r="AU1046"/>
    </row>
    <row r="1047" spans="1:47" x14ac:dyDescent="0.2">
      <c r="A1047" s="29">
        <v>1049.99999999993</v>
      </c>
      <c r="B1047">
        <v>103</v>
      </c>
      <c r="C1047">
        <v>22.104600000000001</v>
      </c>
      <c r="D1047" s="31" t="s">
        <v>140</v>
      </c>
      <c r="E1047" s="3" t="s">
        <v>141</v>
      </c>
      <c r="F1047" s="3" t="s">
        <v>60</v>
      </c>
      <c r="H1047" s="3" t="s">
        <v>60</v>
      </c>
      <c r="I1047" s="32">
        <v>44766</v>
      </c>
      <c r="J1047" s="3" t="s">
        <v>142</v>
      </c>
      <c r="K1047" s="3" t="s">
        <v>166</v>
      </c>
      <c r="M1047" s="17">
        <v>199.8</v>
      </c>
      <c r="N1047" s="117">
        <v>201</v>
      </c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>
        <v>1.8149999999999999</v>
      </c>
      <c r="AJ1047"/>
      <c r="AK1047"/>
      <c r="AL1047"/>
      <c r="AM1047"/>
      <c r="AN1047"/>
      <c r="AO1047">
        <v>4.8</v>
      </c>
      <c r="AP1047">
        <v>9.6999999999999993</v>
      </c>
      <c r="AQ1047">
        <v>137.69999999999999</v>
      </c>
      <c r="AR1047">
        <v>43.5</v>
      </c>
      <c r="AS1047">
        <v>19.3</v>
      </c>
      <c r="AT1047"/>
      <c r="AU1047"/>
    </row>
    <row r="1048" spans="1:47" x14ac:dyDescent="0.2">
      <c r="A1048" s="29">
        <v>1050.99999999993</v>
      </c>
      <c r="B1048">
        <v>104</v>
      </c>
      <c r="C1048" s="15">
        <v>22.104700000000001</v>
      </c>
      <c r="D1048" s="31" t="s">
        <v>140</v>
      </c>
      <c r="E1048" s="3" t="s">
        <v>141</v>
      </c>
      <c r="F1048" s="3" t="s">
        <v>60</v>
      </c>
      <c r="H1048" s="3" t="s">
        <v>60</v>
      </c>
      <c r="I1048" s="32">
        <v>44766</v>
      </c>
      <c r="J1048" s="3" t="s">
        <v>142</v>
      </c>
      <c r="K1048" s="3" t="s">
        <v>166</v>
      </c>
      <c r="M1048" s="17">
        <v>207.8</v>
      </c>
      <c r="N1048" s="117">
        <v>196.2</v>
      </c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>
        <v>1.7869999999999999</v>
      </c>
      <c r="AJ1048"/>
      <c r="AK1048"/>
      <c r="AL1048"/>
      <c r="AM1048"/>
      <c r="AN1048"/>
      <c r="AO1048">
        <v>5.6</v>
      </c>
      <c r="AP1048"/>
      <c r="AQ1048">
        <v>136.30000000000001</v>
      </c>
      <c r="AR1048">
        <v>48.7</v>
      </c>
      <c r="AS1048">
        <v>21.5</v>
      </c>
      <c r="AT1048"/>
      <c r="AU1048"/>
    </row>
    <row r="1049" spans="1:47" x14ac:dyDescent="0.2">
      <c r="A1049" s="29">
        <v>1051.99999999993</v>
      </c>
      <c r="B1049">
        <v>105</v>
      </c>
      <c r="C1049">
        <v>22.104800000000001</v>
      </c>
      <c r="D1049" s="31" t="s">
        <v>140</v>
      </c>
      <c r="E1049" s="3" t="s">
        <v>141</v>
      </c>
      <c r="F1049" s="3" t="s">
        <v>60</v>
      </c>
      <c r="H1049" s="3" t="s">
        <v>60</v>
      </c>
      <c r="I1049" s="32">
        <v>44766</v>
      </c>
      <c r="J1049" s="3" t="s">
        <v>142</v>
      </c>
      <c r="K1049" s="3" t="s">
        <v>166</v>
      </c>
      <c r="M1049" s="17">
        <v>206.2</v>
      </c>
      <c r="N1049" s="124"/>
      <c r="O1049"/>
      <c r="P1049"/>
      <c r="Q1049" s="56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</row>
    <row r="1050" spans="1:47" x14ac:dyDescent="0.2">
      <c r="A1050" s="29">
        <v>1052.99999999993</v>
      </c>
      <c r="B1050">
        <v>119</v>
      </c>
      <c r="C1050" s="11">
        <v>22.104900000000001</v>
      </c>
      <c r="D1050" s="31" t="s">
        <v>140</v>
      </c>
      <c r="E1050" s="3" t="s">
        <v>141</v>
      </c>
      <c r="F1050" s="3" t="s">
        <v>60</v>
      </c>
      <c r="H1050" s="3" t="s">
        <v>60</v>
      </c>
      <c r="I1050" s="32">
        <v>44797</v>
      </c>
      <c r="J1050" s="3" t="s">
        <v>142</v>
      </c>
      <c r="K1050" s="3" t="s">
        <v>166</v>
      </c>
      <c r="M1050" s="17">
        <v>211.7</v>
      </c>
      <c r="N1050" s="117">
        <v>212.7</v>
      </c>
      <c r="O1050"/>
      <c r="P1050"/>
      <c r="Q1050"/>
      <c r="R1050" s="56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>
        <v>1.7569999999999999</v>
      </c>
      <c r="AJ1050"/>
      <c r="AK1050"/>
      <c r="AL1050"/>
      <c r="AM1050"/>
      <c r="AN1050"/>
      <c r="AO1050">
        <v>3.5</v>
      </c>
      <c r="AP1050"/>
      <c r="AQ1050">
        <v>156.80000000000001</v>
      </c>
      <c r="AR1050">
        <v>46.3</v>
      </c>
      <c r="AS1050">
        <v>20.399999999999999</v>
      </c>
      <c r="AT1050"/>
      <c r="AU1050"/>
    </row>
    <row r="1051" spans="1:47" ht="51" x14ac:dyDescent="0.2">
      <c r="A1051" s="3">
        <v>1054</v>
      </c>
      <c r="B1051" s="18">
        <v>148</v>
      </c>
      <c r="C1051" s="27" t="s">
        <v>487</v>
      </c>
      <c r="D1051" s="65" t="s">
        <v>148</v>
      </c>
      <c r="E1051" s="53" t="s">
        <v>229</v>
      </c>
      <c r="F1051" s="3" t="s">
        <v>74</v>
      </c>
      <c r="G1051" s="3" t="s">
        <v>74</v>
      </c>
      <c r="H1051" s="53"/>
      <c r="I1051" s="63">
        <v>44922</v>
      </c>
      <c r="J1051" s="18" t="s">
        <v>142</v>
      </c>
      <c r="K1051" s="18" t="s">
        <v>166</v>
      </c>
      <c r="L1051" s="53">
        <v>186.6</v>
      </c>
      <c r="M1051" s="18"/>
      <c r="N1051" s="18">
        <v>190.7</v>
      </c>
      <c r="O1051" s="18">
        <v>165.56</v>
      </c>
      <c r="P1051" s="18">
        <v>179.87</v>
      </c>
      <c r="Q1051" s="18">
        <v>45.77</v>
      </c>
      <c r="R1051" s="18">
        <v>19.440000000000001</v>
      </c>
      <c r="S1051" s="18">
        <v>110.5</v>
      </c>
      <c r="T1051" s="18">
        <v>90.72</v>
      </c>
      <c r="U1051" s="18">
        <v>57.8</v>
      </c>
      <c r="V1051" s="18">
        <v>43.14</v>
      </c>
      <c r="W1051" s="18">
        <v>62.56</v>
      </c>
      <c r="X1051" s="18">
        <v>79.52</v>
      </c>
      <c r="Y1051" s="18">
        <v>36.43</v>
      </c>
      <c r="Z1051" s="18">
        <v>89.34</v>
      </c>
      <c r="AA1051" s="18">
        <v>68.150000000000006</v>
      </c>
      <c r="AB1051" s="18">
        <v>73.2</v>
      </c>
      <c r="AC1051" s="18">
        <v>13.76</v>
      </c>
      <c r="AD1051" s="18">
        <v>46.94</v>
      </c>
      <c r="AE1051" s="18">
        <v>35.64</v>
      </c>
      <c r="AF1051" s="18">
        <v>30.9</v>
      </c>
      <c r="AG1051" s="18">
        <v>25.08</v>
      </c>
      <c r="AH1051" s="18">
        <v>40.340000000000003</v>
      </c>
      <c r="AI1051" s="18">
        <v>1.5289999999999999</v>
      </c>
      <c r="AJ1051" s="18"/>
      <c r="AK1051" s="18"/>
      <c r="AL1051" s="18">
        <v>4</v>
      </c>
      <c r="AM1051" s="18"/>
      <c r="AN1051" s="18"/>
      <c r="AO1051" s="18">
        <v>9.6999999999999993</v>
      </c>
      <c r="AP1051" s="18">
        <v>73.900000000000006</v>
      </c>
      <c r="AQ1051" s="18">
        <v>60.9</v>
      </c>
      <c r="AR1051" s="18">
        <v>40.6</v>
      </c>
      <c r="AS1051" s="18">
        <v>17.399999999999999</v>
      </c>
      <c r="AT1051" s="18" t="s">
        <v>147</v>
      </c>
      <c r="AU1051" s="18" t="s">
        <v>147</v>
      </c>
    </row>
    <row r="1052" spans="1:47" x14ac:dyDescent="0.2">
      <c r="A1052" s="29">
        <v>1054.99999999993</v>
      </c>
      <c r="B1052" s="77">
        <v>552</v>
      </c>
      <c r="C1052" s="3">
        <v>22.1051</v>
      </c>
      <c r="D1052" s="78" t="s">
        <v>168</v>
      </c>
      <c r="E1052" s="17" t="s">
        <v>169</v>
      </c>
      <c r="F1052" s="3" t="s">
        <v>170</v>
      </c>
      <c r="G1052" s="17"/>
      <c r="H1052" s="17"/>
      <c r="I1052" s="68">
        <v>44922</v>
      </c>
      <c r="J1052" s="18" t="s">
        <v>142</v>
      </c>
      <c r="K1052" s="3" t="s">
        <v>166</v>
      </c>
    </row>
    <row r="1053" spans="1:47" x14ac:dyDescent="0.2">
      <c r="A1053" s="29">
        <v>1055.99999999993</v>
      </c>
      <c r="B1053" s="77">
        <v>553</v>
      </c>
      <c r="C1053" s="3">
        <v>22.1052</v>
      </c>
      <c r="D1053" s="78" t="s">
        <v>168</v>
      </c>
      <c r="E1053" s="17" t="s">
        <v>169</v>
      </c>
      <c r="F1053" s="3" t="s">
        <v>170</v>
      </c>
      <c r="G1053" s="17"/>
      <c r="H1053" s="17"/>
      <c r="I1053" s="68">
        <v>44922</v>
      </c>
      <c r="J1053" s="18" t="s">
        <v>142</v>
      </c>
      <c r="K1053" s="3" t="s">
        <v>166</v>
      </c>
    </row>
    <row r="1054" spans="1:47" x14ac:dyDescent="0.2">
      <c r="A1054" s="3">
        <v>1056.99999999993</v>
      </c>
      <c r="B1054" s="77">
        <v>554</v>
      </c>
      <c r="C1054" s="3">
        <v>22.1053</v>
      </c>
      <c r="D1054" s="78" t="s">
        <v>168</v>
      </c>
      <c r="E1054" s="17" t="s">
        <v>169</v>
      </c>
      <c r="F1054" s="3" t="s">
        <v>170</v>
      </c>
      <c r="G1054" s="17"/>
      <c r="H1054" s="17"/>
      <c r="I1054" s="68">
        <v>44922</v>
      </c>
      <c r="J1054" s="18" t="s">
        <v>142</v>
      </c>
      <c r="K1054" s="3" t="s">
        <v>166</v>
      </c>
    </row>
    <row r="1055" spans="1:47" x14ac:dyDescent="0.2">
      <c r="A1055" s="29">
        <v>1057.99999999993</v>
      </c>
      <c r="B1055" s="77">
        <v>555</v>
      </c>
      <c r="C1055" s="3">
        <v>22.105399999999999</v>
      </c>
      <c r="D1055" s="78" t="s">
        <v>168</v>
      </c>
      <c r="E1055" s="17" t="s">
        <v>169</v>
      </c>
      <c r="F1055" s="3" t="s">
        <v>170</v>
      </c>
      <c r="G1055" s="17"/>
      <c r="H1055" s="17"/>
      <c r="I1055" s="68">
        <v>44924</v>
      </c>
      <c r="J1055" s="18" t="s">
        <v>142</v>
      </c>
      <c r="K1055" s="3" t="s">
        <v>166</v>
      </c>
    </row>
    <row r="1056" spans="1:47" x14ac:dyDescent="0.2">
      <c r="A1056" s="29">
        <v>1058.99999999993</v>
      </c>
      <c r="B1056" s="77">
        <v>557</v>
      </c>
      <c r="C1056" s="3">
        <v>22.105499999999999</v>
      </c>
      <c r="D1056" s="78" t="s">
        <v>168</v>
      </c>
      <c r="E1056" s="17" t="s">
        <v>169</v>
      </c>
      <c r="F1056" s="3" t="s">
        <v>170</v>
      </c>
      <c r="G1056" s="17"/>
      <c r="H1056" s="17"/>
      <c r="I1056" s="68">
        <v>44924</v>
      </c>
      <c r="J1056" s="18" t="s">
        <v>142</v>
      </c>
      <c r="K1056" s="3" t="s">
        <v>166</v>
      </c>
    </row>
    <row r="1057" spans="1:47" x14ac:dyDescent="0.2">
      <c r="A1057" s="3">
        <v>1059.99999999993</v>
      </c>
      <c r="B1057" s="77">
        <v>558</v>
      </c>
      <c r="C1057" s="3">
        <v>22.105599999999999</v>
      </c>
      <c r="D1057" s="78" t="s">
        <v>168</v>
      </c>
      <c r="E1057" s="17" t="s">
        <v>169</v>
      </c>
      <c r="F1057" s="3" t="s">
        <v>170</v>
      </c>
      <c r="G1057" s="17"/>
      <c r="H1057" s="17"/>
      <c r="I1057" s="68">
        <v>44924</v>
      </c>
      <c r="J1057" s="18" t="s">
        <v>142</v>
      </c>
      <c r="K1057" s="3" t="s">
        <v>166</v>
      </c>
    </row>
    <row r="1058" spans="1:47" x14ac:dyDescent="0.2">
      <c r="A1058" s="29">
        <v>1060.99999999993</v>
      </c>
      <c r="B1058" s="77">
        <v>559</v>
      </c>
      <c r="C1058" s="3">
        <v>22.105699999999999</v>
      </c>
      <c r="D1058" s="78" t="s">
        <v>168</v>
      </c>
      <c r="E1058" s="17" t="s">
        <v>169</v>
      </c>
      <c r="F1058" s="3" t="s">
        <v>170</v>
      </c>
      <c r="G1058" s="17"/>
      <c r="H1058" s="17"/>
      <c r="I1058" s="68">
        <v>44926</v>
      </c>
      <c r="J1058" s="18" t="s">
        <v>142</v>
      </c>
      <c r="K1058" s="3" t="s">
        <v>166</v>
      </c>
    </row>
    <row r="1059" spans="1:47" x14ac:dyDescent="0.2">
      <c r="A1059" s="29">
        <v>1061.99999999993</v>
      </c>
      <c r="B1059" s="77">
        <v>490</v>
      </c>
      <c r="C1059" s="3">
        <v>22.105799999999999</v>
      </c>
      <c r="D1059" s="78" t="s">
        <v>168</v>
      </c>
      <c r="E1059" s="17" t="s">
        <v>169</v>
      </c>
      <c r="F1059" s="17" t="s">
        <v>170</v>
      </c>
      <c r="H1059" s="3" t="s">
        <v>29</v>
      </c>
      <c r="I1059" s="68">
        <v>44852</v>
      </c>
      <c r="J1059" s="17" t="s">
        <v>142</v>
      </c>
      <c r="K1059" s="17" t="s">
        <v>204</v>
      </c>
      <c r="L1059"/>
      <c r="M1059" s="102"/>
      <c r="N1059" s="117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 t="s">
        <v>220</v>
      </c>
      <c r="AU1059"/>
    </row>
    <row r="1060" spans="1:47" x14ac:dyDescent="0.2">
      <c r="A1060" s="3">
        <v>1062.99999999993</v>
      </c>
      <c r="B1060" s="77">
        <v>509</v>
      </c>
      <c r="C1060" s="3">
        <v>22.105899999999998</v>
      </c>
      <c r="D1060" s="78" t="s">
        <v>168</v>
      </c>
      <c r="E1060" s="17" t="s">
        <v>169</v>
      </c>
      <c r="F1060" s="3" t="s">
        <v>170</v>
      </c>
      <c r="G1060" s="17"/>
      <c r="H1060" s="17"/>
      <c r="I1060" s="68">
        <v>44864</v>
      </c>
      <c r="J1060" s="17" t="s">
        <v>142</v>
      </c>
      <c r="K1060" s="17" t="s">
        <v>204</v>
      </c>
      <c r="L1060"/>
      <c r="M1060"/>
      <c r="N1060" s="117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 t="s">
        <v>220</v>
      </c>
      <c r="AU1060"/>
    </row>
    <row r="1061" spans="1:47" ht="17" customHeight="1" x14ac:dyDescent="0.2">
      <c r="A1061" s="29">
        <v>1063.99999999993</v>
      </c>
      <c r="B1061" s="77">
        <v>517</v>
      </c>
      <c r="C1061" s="5" t="s">
        <v>488</v>
      </c>
      <c r="D1061" s="78" t="s">
        <v>168</v>
      </c>
      <c r="E1061" s="17" t="s">
        <v>169</v>
      </c>
      <c r="F1061" s="3" t="s">
        <v>170</v>
      </c>
      <c r="G1061" s="17"/>
      <c r="H1061" s="17"/>
      <c r="I1061" s="68">
        <v>44881</v>
      </c>
      <c r="J1061" s="17" t="s">
        <v>142</v>
      </c>
      <c r="K1061" s="17" t="s">
        <v>204</v>
      </c>
      <c r="L1061"/>
      <c r="M1061"/>
      <c r="N1061" s="117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 t="s">
        <v>220</v>
      </c>
      <c r="AU1061"/>
    </row>
    <row r="1062" spans="1:47" x14ac:dyDescent="0.2">
      <c r="A1062" s="29">
        <v>1064.99999999993</v>
      </c>
      <c r="B1062" s="77">
        <v>526</v>
      </c>
      <c r="C1062" s="3">
        <v>22.106100000000001</v>
      </c>
      <c r="D1062" s="78" t="s">
        <v>168</v>
      </c>
      <c r="E1062" s="17" t="s">
        <v>169</v>
      </c>
      <c r="F1062" s="3" t="s">
        <v>170</v>
      </c>
      <c r="G1062" s="17"/>
      <c r="H1062" s="17"/>
      <c r="I1062" s="68">
        <v>44887</v>
      </c>
      <c r="J1062" s="17" t="s">
        <v>142</v>
      </c>
      <c r="K1062" s="17" t="s">
        <v>204</v>
      </c>
      <c r="L1062"/>
      <c r="M1062"/>
      <c r="N1062" s="117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 t="s">
        <v>220</v>
      </c>
      <c r="AU1062"/>
    </row>
    <row r="1063" spans="1:47" x14ac:dyDescent="0.2">
      <c r="A1063" s="3">
        <v>1065.99999999993</v>
      </c>
      <c r="B1063" s="77">
        <v>527</v>
      </c>
      <c r="C1063" s="3">
        <v>22.106200000000001</v>
      </c>
      <c r="D1063" s="78" t="s">
        <v>168</v>
      </c>
      <c r="E1063" s="17" t="s">
        <v>169</v>
      </c>
      <c r="F1063" s="3" t="s">
        <v>170</v>
      </c>
      <c r="G1063" s="17"/>
      <c r="H1063" s="17"/>
      <c r="I1063" s="68">
        <v>44887</v>
      </c>
      <c r="J1063" s="17" t="s">
        <v>142</v>
      </c>
      <c r="K1063" s="17" t="s">
        <v>204</v>
      </c>
      <c r="L1063"/>
      <c r="M1063"/>
      <c r="N1063" s="117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 t="s">
        <v>220</v>
      </c>
      <c r="AU1063"/>
    </row>
    <row r="1064" spans="1:47" x14ac:dyDescent="0.2">
      <c r="A1064" s="3">
        <v>1066.99999999993</v>
      </c>
      <c r="B1064" s="77">
        <v>532</v>
      </c>
      <c r="C1064" s="3">
        <v>22.106300000000001</v>
      </c>
      <c r="D1064" s="78" t="s">
        <v>168</v>
      </c>
      <c r="E1064" s="17"/>
      <c r="F1064" s="59"/>
      <c r="G1064" s="17"/>
      <c r="H1064" s="17"/>
      <c r="I1064" s="68"/>
      <c r="J1064" s="17" t="s">
        <v>142</v>
      </c>
      <c r="K1064" s="17" t="s">
        <v>204</v>
      </c>
      <c r="L1064"/>
      <c r="M1064"/>
      <c r="N1064" s="117">
        <v>305</v>
      </c>
      <c r="O1064" s="102"/>
      <c r="P1064" s="102"/>
      <c r="Q1064" s="102"/>
      <c r="R1064" s="102"/>
      <c r="S1064" s="102"/>
      <c r="T1064" s="102"/>
      <c r="U1064" s="102"/>
      <c r="V1064" s="102"/>
      <c r="W1064" s="102"/>
      <c r="X1064">
        <v>100.66</v>
      </c>
      <c r="Y1064" s="102"/>
      <c r="Z1064">
        <v>109.3</v>
      </c>
      <c r="AA1064" s="102"/>
      <c r="AB1064" s="102"/>
      <c r="AC1064" s="102"/>
      <c r="AD1064" s="102"/>
      <c r="AE1064" s="102"/>
      <c r="AF1064" s="102"/>
      <c r="AG1064" s="102"/>
      <c r="AH1064" s="102"/>
      <c r="AI1064">
        <v>1.2190000000000001</v>
      </c>
      <c r="AJ1064">
        <v>52.6</v>
      </c>
      <c r="AK1064" t="s">
        <v>172</v>
      </c>
      <c r="AL1064"/>
      <c r="AM1064"/>
      <c r="AN1064">
        <v>139</v>
      </c>
      <c r="AO1064"/>
      <c r="AP1064"/>
      <c r="AQ1064"/>
      <c r="AR1064"/>
      <c r="AS1064"/>
      <c r="AT1064" t="s">
        <v>146</v>
      </c>
      <c r="AU1064" t="s">
        <v>146</v>
      </c>
    </row>
    <row r="1065" spans="1:47" ht="17" x14ac:dyDescent="0.2">
      <c r="A1065" s="29">
        <v>1067.99999999993</v>
      </c>
      <c r="B1065" s="77">
        <v>534</v>
      </c>
      <c r="C1065" s="3">
        <v>22.106400000000001</v>
      </c>
      <c r="D1065" s="78" t="s">
        <v>168</v>
      </c>
      <c r="E1065" s="17" t="s">
        <v>169</v>
      </c>
      <c r="F1065" s="59" t="s">
        <v>489</v>
      </c>
      <c r="G1065" s="17"/>
      <c r="H1065" s="17"/>
      <c r="I1065" s="68">
        <v>44895</v>
      </c>
      <c r="J1065" s="17" t="s">
        <v>142</v>
      </c>
      <c r="K1065" s="17" t="s">
        <v>204</v>
      </c>
      <c r="L1065"/>
      <c r="M1065"/>
      <c r="N1065" s="117">
        <v>308.2</v>
      </c>
      <c r="O1065" s="102"/>
      <c r="P1065" s="102"/>
      <c r="Q1065" s="102"/>
      <c r="R1065" s="102"/>
      <c r="S1065" s="102"/>
      <c r="T1065" s="102"/>
      <c r="U1065" s="102"/>
      <c r="V1065" s="102"/>
      <c r="W1065" s="102"/>
      <c r="X1065">
        <v>91.88</v>
      </c>
      <c r="Y1065" s="102"/>
      <c r="Z1065">
        <v>106.22</v>
      </c>
      <c r="AA1065" s="102"/>
      <c r="AB1065" s="102"/>
      <c r="AC1065" s="102"/>
      <c r="AD1065" s="102"/>
      <c r="AE1065" s="102"/>
      <c r="AF1065" s="102"/>
      <c r="AG1065" s="102"/>
      <c r="AH1065" s="102"/>
      <c r="AI1065">
        <v>1.2290000000000001</v>
      </c>
      <c r="AJ1065">
        <v>53</v>
      </c>
      <c r="AK1065" t="s">
        <v>172</v>
      </c>
      <c r="AL1065"/>
      <c r="AM1065"/>
      <c r="AN1065">
        <v>140</v>
      </c>
      <c r="AO1065"/>
      <c r="AP1065"/>
      <c r="AQ1065"/>
      <c r="AR1065"/>
      <c r="AS1065"/>
      <c r="AT1065" t="s">
        <v>146</v>
      </c>
      <c r="AU1065" t="s">
        <v>146</v>
      </c>
    </row>
    <row r="1066" spans="1:47" x14ac:dyDescent="0.2">
      <c r="A1066" s="29">
        <v>1068.99999999993</v>
      </c>
      <c r="B1066" s="77">
        <v>537</v>
      </c>
      <c r="C1066" s="3">
        <v>22.1065</v>
      </c>
      <c r="D1066" s="78" t="s">
        <v>168</v>
      </c>
      <c r="E1066" s="17" t="s">
        <v>169</v>
      </c>
      <c r="F1066" s="3" t="s">
        <v>170</v>
      </c>
      <c r="G1066" s="17"/>
      <c r="H1066" s="17"/>
      <c r="I1066" s="68">
        <v>44892</v>
      </c>
      <c r="J1066" s="17" t="s">
        <v>142</v>
      </c>
      <c r="K1066" s="17" t="s">
        <v>204</v>
      </c>
      <c r="L1066"/>
      <c r="M1066"/>
      <c r="N1066" s="117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 t="s">
        <v>220</v>
      </c>
      <c r="AU1066"/>
    </row>
    <row r="1067" spans="1:47" x14ac:dyDescent="0.2">
      <c r="A1067" s="3">
        <v>1069.99999999993</v>
      </c>
      <c r="B1067" s="77">
        <v>539</v>
      </c>
      <c r="C1067" s="3">
        <v>22.1066</v>
      </c>
      <c r="D1067" s="78" t="s">
        <v>168</v>
      </c>
      <c r="E1067" s="17" t="s">
        <v>169</v>
      </c>
      <c r="F1067" s="3" t="s">
        <v>170</v>
      </c>
      <c r="G1067" s="17"/>
      <c r="H1067" s="17"/>
      <c r="I1067" s="68">
        <v>44909</v>
      </c>
      <c r="J1067" s="17" t="s">
        <v>142</v>
      </c>
      <c r="K1067" s="17" t="s">
        <v>204</v>
      </c>
      <c r="L1067"/>
      <c r="M1067"/>
      <c r="N1067" s="11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 t="s">
        <v>220</v>
      </c>
      <c r="AU1067"/>
    </row>
    <row r="1068" spans="1:47" x14ac:dyDescent="0.2">
      <c r="A1068" s="29">
        <v>1070.99999999993</v>
      </c>
      <c r="B1068" s="77">
        <v>540</v>
      </c>
      <c r="C1068" s="3">
        <v>22.1067</v>
      </c>
      <c r="D1068" s="78" t="s">
        <v>168</v>
      </c>
      <c r="E1068" s="17" t="s">
        <v>169</v>
      </c>
      <c r="F1068" s="3" t="s">
        <v>170</v>
      </c>
      <c r="G1068" s="17"/>
      <c r="H1068" s="17"/>
      <c r="I1068" s="68">
        <v>44909</v>
      </c>
      <c r="J1068" s="17" t="s">
        <v>142</v>
      </c>
      <c r="K1068" s="17" t="s">
        <v>204</v>
      </c>
      <c r="L1068"/>
      <c r="M1068"/>
      <c r="N1068" s="117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 t="s">
        <v>220</v>
      </c>
      <c r="AU1068"/>
    </row>
    <row r="1069" spans="1:47" ht="17" x14ac:dyDescent="0.2">
      <c r="A1069" s="29">
        <v>1071.99999999993</v>
      </c>
      <c r="B1069" s="77">
        <v>542</v>
      </c>
      <c r="C1069" s="3">
        <v>22.1068</v>
      </c>
      <c r="D1069" s="78" t="s">
        <v>168</v>
      </c>
      <c r="E1069" s="17" t="s">
        <v>169</v>
      </c>
      <c r="F1069" s="59" t="s">
        <v>489</v>
      </c>
      <c r="G1069" s="17"/>
      <c r="H1069" s="17"/>
      <c r="I1069" s="68">
        <v>44909</v>
      </c>
      <c r="J1069" s="17" t="s">
        <v>142</v>
      </c>
      <c r="K1069" s="17" t="s">
        <v>204</v>
      </c>
      <c r="L1069"/>
      <c r="M1069"/>
      <c r="N1069" s="117">
        <v>318.39999999999998</v>
      </c>
      <c r="O1069" s="102"/>
      <c r="P1069" s="102"/>
      <c r="Q1069" s="102"/>
      <c r="R1069" s="102"/>
      <c r="S1069" s="102"/>
      <c r="T1069" s="102"/>
      <c r="U1069" s="102"/>
      <c r="V1069" s="102"/>
      <c r="W1069" s="102"/>
      <c r="X1069">
        <v>105.4</v>
      </c>
      <c r="Y1069" s="102"/>
      <c r="Z1069">
        <v>110.65</v>
      </c>
      <c r="AA1069" s="102"/>
      <c r="AB1069" s="102"/>
      <c r="AC1069" s="102"/>
      <c r="AD1069" s="102"/>
      <c r="AE1069" s="102"/>
      <c r="AF1069" s="102"/>
      <c r="AG1069" s="102"/>
      <c r="AH1069" s="102"/>
      <c r="AI1069">
        <v>1.28</v>
      </c>
      <c r="AJ1069">
        <v>56.3</v>
      </c>
      <c r="AK1069" t="s">
        <v>172</v>
      </c>
      <c r="AL1069"/>
      <c r="AM1069"/>
      <c r="AN1069">
        <v>153</v>
      </c>
      <c r="AO1069"/>
      <c r="AP1069"/>
      <c r="AQ1069"/>
      <c r="AR1069"/>
      <c r="AS1069"/>
      <c r="AT1069" t="s">
        <v>146</v>
      </c>
      <c r="AU1069" t="s">
        <v>146</v>
      </c>
    </row>
    <row r="1070" spans="1:47" ht="17" x14ac:dyDescent="0.2">
      <c r="A1070" s="3">
        <v>1072.99999999993</v>
      </c>
      <c r="B1070" s="77">
        <v>544</v>
      </c>
      <c r="C1070" s="3">
        <v>22.1069</v>
      </c>
      <c r="D1070" s="78" t="s">
        <v>168</v>
      </c>
      <c r="E1070" s="17" t="s">
        <v>169</v>
      </c>
      <c r="F1070" s="59" t="s">
        <v>489</v>
      </c>
      <c r="G1070" s="17"/>
      <c r="H1070" s="17"/>
      <c r="I1070" s="68">
        <v>44910</v>
      </c>
      <c r="J1070" s="17" t="s">
        <v>142</v>
      </c>
      <c r="K1070" s="17" t="s">
        <v>204</v>
      </c>
      <c r="L1070"/>
      <c r="M1070"/>
      <c r="N1070" s="117">
        <v>301.89999999999998</v>
      </c>
      <c r="O1070" s="102"/>
      <c r="P1070" s="102"/>
      <c r="Q1070" s="102"/>
      <c r="R1070" s="102"/>
      <c r="S1070" s="102"/>
      <c r="T1070" s="102"/>
      <c r="U1070" s="102"/>
      <c r="V1070" s="102"/>
      <c r="W1070" s="102"/>
      <c r="X1070">
        <v>88.16</v>
      </c>
      <c r="Y1070" s="102"/>
      <c r="Z1070">
        <v>96.94</v>
      </c>
      <c r="AA1070" s="102"/>
      <c r="AB1070" s="102"/>
      <c r="AC1070" s="102"/>
      <c r="AD1070" s="102"/>
      <c r="AE1070" s="102"/>
      <c r="AF1070" s="102"/>
      <c r="AG1070" s="102"/>
      <c r="AH1070" s="102"/>
      <c r="AI1070">
        <v>1.292</v>
      </c>
      <c r="AJ1070">
        <v>46.1</v>
      </c>
      <c r="AK1070" t="s">
        <v>172</v>
      </c>
      <c r="AL1070"/>
      <c r="AM1070"/>
      <c r="AN1070">
        <v>144</v>
      </c>
      <c r="AO1070"/>
      <c r="AP1070"/>
      <c r="AQ1070"/>
      <c r="AR1070"/>
      <c r="AS1070"/>
      <c r="AT1070" t="s">
        <v>146</v>
      </c>
      <c r="AU1070" t="s">
        <v>146</v>
      </c>
    </row>
    <row r="1071" spans="1:47" ht="17" x14ac:dyDescent="0.2">
      <c r="A1071" s="29">
        <v>1073.99999999993</v>
      </c>
      <c r="B1071" s="77">
        <v>549</v>
      </c>
      <c r="C1071" s="12" t="s">
        <v>490</v>
      </c>
      <c r="D1071" s="78" t="s">
        <v>168</v>
      </c>
      <c r="E1071" s="17" t="s">
        <v>169</v>
      </c>
      <c r="F1071" s="59" t="s">
        <v>489</v>
      </c>
      <c r="G1071" s="17"/>
      <c r="H1071" s="17"/>
      <c r="I1071" s="68">
        <v>44913</v>
      </c>
      <c r="J1071" s="17" t="s">
        <v>142</v>
      </c>
      <c r="K1071" s="17" t="s">
        <v>204</v>
      </c>
      <c r="L1071"/>
      <c r="M1071"/>
      <c r="N1071" s="117">
        <v>314.5</v>
      </c>
      <c r="O1071" s="102"/>
      <c r="P1071" s="102"/>
      <c r="Q1071" s="102"/>
      <c r="R1071" s="102"/>
      <c r="S1071" s="102"/>
      <c r="T1071" s="102"/>
      <c r="U1071" s="102"/>
      <c r="V1071" s="102"/>
      <c r="W1071" s="102"/>
      <c r="X1071">
        <v>96.65</v>
      </c>
      <c r="Y1071" s="102"/>
      <c r="Z1071">
        <v>107.83</v>
      </c>
      <c r="AA1071" s="102"/>
      <c r="AB1071" s="102"/>
      <c r="AC1071" s="102"/>
      <c r="AD1071" s="102"/>
      <c r="AE1071" s="102"/>
      <c r="AF1071" s="102"/>
      <c r="AG1071" s="102"/>
      <c r="AH1071" s="102"/>
      <c r="AI1071">
        <v>1.0760000000000001</v>
      </c>
      <c r="AJ1071">
        <v>57.2</v>
      </c>
      <c r="AK1071" t="s">
        <v>172</v>
      </c>
      <c r="AL1071"/>
      <c r="AM1071"/>
      <c r="AN1071">
        <v>152</v>
      </c>
      <c r="AO1071"/>
      <c r="AP1071"/>
      <c r="AQ1071"/>
      <c r="AR1071"/>
      <c r="AS1071"/>
      <c r="AT1071" t="s">
        <v>146</v>
      </c>
      <c r="AU1071" t="s">
        <v>146</v>
      </c>
    </row>
    <row r="1072" spans="1:47" x14ac:dyDescent="0.2">
      <c r="A1072" s="29">
        <v>1074.99999999993</v>
      </c>
      <c r="B1072" s="77">
        <v>556</v>
      </c>
      <c r="C1072" s="3">
        <v>22.107099999999999</v>
      </c>
      <c r="D1072" s="78" t="s">
        <v>168</v>
      </c>
      <c r="E1072" s="17"/>
      <c r="F1072" s="59"/>
      <c r="G1072" s="17"/>
      <c r="H1072" s="17"/>
      <c r="I1072" s="68"/>
      <c r="J1072" s="17" t="s">
        <v>142</v>
      </c>
      <c r="K1072" s="17" t="s">
        <v>204</v>
      </c>
      <c r="L1072"/>
      <c r="M1072"/>
      <c r="N1072" s="117">
        <v>318.60000000000002</v>
      </c>
      <c r="O1072" s="102"/>
      <c r="P1072" s="102"/>
      <c r="Q1072" s="102"/>
      <c r="R1072" s="102"/>
      <c r="S1072" s="102"/>
      <c r="T1072" s="102"/>
      <c r="U1072" s="102"/>
      <c r="V1072" s="102"/>
      <c r="W1072" s="102"/>
      <c r="X1072">
        <v>95.86</v>
      </c>
      <c r="Y1072" s="102"/>
      <c r="Z1072">
        <v>108.93</v>
      </c>
      <c r="AA1072" s="102"/>
      <c r="AB1072" s="102"/>
      <c r="AC1072" s="102"/>
      <c r="AD1072" s="102"/>
      <c r="AE1072" s="102"/>
      <c r="AF1072" s="102"/>
      <c r="AG1072" s="102"/>
      <c r="AH1072" s="102"/>
      <c r="AI1072">
        <v>1.036</v>
      </c>
      <c r="AJ1072">
        <v>54.9</v>
      </c>
      <c r="AK1072" t="s">
        <v>172</v>
      </c>
      <c r="AL1072"/>
      <c r="AM1072"/>
      <c r="AN1072">
        <v>155</v>
      </c>
      <c r="AO1072"/>
      <c r="AP1072"/>
      <c r="AQ1072"/>
      <c r="AR1072"/>
      <c r="AS1072"/>
      <c r="AT1072" t="s">
        <v>146</v>
      </c>
      <c r="AU1072" t="s">
        <v>146</v>
      </c>
    </row>
    <row r="1073" spans="1:47" x14ac:dyDescent="0.2">
      <c r="A1073" s="29">
        <v>1075.99999999993</v>
      </c>
      <c r="B1073" s="77">
        <v>521</v>
      </c>
      <c r="C1073" s="3">
        <v>22.107199999999999</v>
      </c>
      <c r="D1073" s="78" t="s">
        <v>168</v>
      </c>
      <c r="E1073" s="17" t="s">
        <v>169</v>
      </c>
      <c r="F1073" s="3" t="s">
        <v>170</v>
      </c>
      <c r="G1073" s="17"/>
      <c r="H1073" s="17"/>
      <c r="I1073" s="68">
        <v>44881</v>
      </c>
      <c r="J1073" s="17" t="s">
        <v>142</v>
      </c>
      <c r="K1073" s="17" t="s">
        <v>204</v>
      </c>
      <c r="L1073"/>
      <c r="M1073"/>
      <c r="N1073" s="117"/>
      <c r="O1073" s="102"/>
      <c r="P1073" s="102"/>
      <c r="Q1073" s="102"/>
      <c r="R1073" s="102"/>
      <c r="S1073" s="102"/>
      <c r="T1073" s="102"/>
      <c r="U1073" s="102"/>
      <c r="V1073" s="102"/>
      <c r="W1073" s="102"/>
      <c r="X1073">
        <v>83.27</v>
      </c>
      <c r="Y1073" s="102"/>
      <c r="Z1073">
        <v>101.94</v>
      </c>
      <c r="AA1073" s="102"/>
      <c r="AB1073" s="102"/>
      <c r="AC1073" s="102"/>
      <c r="AD1073" s="102"/>
      <c r="AE1073" s="102"/>
      <c r="AF1073" s="102"/>
      <c r="AG1073" s="102"/>
      <c r="AH1073" s="102"/>
      <c r="AI1073">
        <v>1.585</v>
      </c>
      <c r="AJ1073">
        <v>52.6</v>
      </c>
      <c r="AK1073" t="s">
        <v>173</v>
      </c>
      <c r="AL1073"/>
      <c r="AM1073"/>
      <c r="AN1073"/>
      <c r="AO1073"/>
      <c r="AP1073"/>
      <c r="AQ1073"/>
      <c r="AR1073">
        <v>57.1</v>
      </c>
      <c r="AS1073"/>
      <c r="AT1073" t="s">
        <v>146</v>
      </c>
      <c r="AU1073" t="s">
        <v>146</v>
      </c>
    </row>
    <row r="1074" spans="1:47" x14ac:dyDescent="0.2">
      <c r="A1074" s="29">
        <v>1076.99999999993</v>
      </c>
      <c r="B1074" s="77">
        <v>548</v>
      </c>
      <c r="C1074" s="3">
        <v>22.107299999999999</v>
      </c>
      <c r="D1074" s="78" t="s">
        <v>168</v>
      </c>
      <c r="E1074" s="17" t="s">
        <v>169</v>
      </c>
      <c r="F1074" s="3" t="s">
        <v>170</v>
      </c>
      <c r="G1074" s="17"/>
      <c r="H1074" s="17"/>
      <c r="I1074" s="68">
        <v>44910</v>
      </c>
      <c r="J1074" s="17" t="s">
        <v>142</v>
      </c>
      <c r="K1074" s="17" t="s">
        <v>204</v>
      </c>
      <c r="L1074"/>
      <c r="M1074"/>
      <c r="N1074" s="117">
        <v>305.60000000000002</v>
      </c>
      <c r="O1074" s="102"/>
      <c r="P1074" s="102"/>
      <c r="Q1074" s="102"/>
      <c r="R1074" s="102"/>
      <c r="S1074" s="102"/>
      <c r="T1074" s="102"/>
      <c r="U1074" s="102"/>
      <c r="V1074" s="102"/>
      <c r="W1074" s="102"/>
      <c r="X1074">
        <v>81.260000000000005</v>
      </c>
      <c r="Y1074" s="102"/>
      <c r="Z1074">
        <v>98.62</v>
      </c>
      <c r="AA1074" s="102"/>
      <c r="AB1074" s="102"/>
      <c r="AC1074" s="102"/>
      <c r="AD1074" s="102"/>
      <c r="AE1074" s="102"/>
      <c r="AF1074" s="102"/>
      <c r="AG1074" s="102"/>
      <c r="AH1074" s="102"/>
      <c r="AI1074">
        <v>1.5069999999999999</v>
      </c>
      <c r="AJ1074">
        <v>48.8</v>
      </c>
      <c r="AK1074" t="s">
        <v>173</v>
      </c>
      <c r="AL1074"/>
      <c r="AM1074">
        <v>189</v>
      </c>
      <c r="AN1074"/>
      <c r="AO1074"/>
      <c r="AP1074"/>
      <c r="AQ1074"/>
      <c r="AR1074"/>
      <c r="AS1074"/>
      <c r="AT1074" t="s">
        <v>146</v>
      </c>
      <c r="AU1074" t="s">
        <v>146</v>
      </c>
    </row>
    <row r="1075" spans="1:47" x14ac:dyDescent="0.2">
      <c r="A1075" s="3">
        <v>1077.99999999993</v>
      </c>
      <c r="B1075">
        <v>113</v>
      </c>
      <c r="C1075" s="3">
        <v>22.107399999999998</v>
      </c>
      <c r="D1075" s="31" t="s">
        <v>140</v>
      </c>
      <c r="E1075" s="3" t="s">
        <v>141</v>
      </c>
      <c r="F1075" s="3" t="s">
        <v>60</v>
      </c>
      <c r="H1075" s="3" t="s">
        <v>60</v>
      </c>
      <c r="I1075" s="32">
        <v>44783</v>
      </c>
      <c r="J1075" s="3" t="s">
        <v>142</v>
      </c>
      <c r="K1075" s="3" t="s">
        <v>166</v>
      </c>
      <c r="L1075" s="3">
        <v>204.6</v>
      </c>
      <c r="M1075" s="17"/>
      <c r="N1075" s="117">
        <v>198.6</v>
      </c>
      <c r="O1075"/>
      <c r="P1075"/>
      <c r="Q1075"/>
      <c r="R1075" s="56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>
        <v>1.907</v>
      </c>
      <c r="AJ1075"/>
      <c r="AK1075"/>
      <c r="AL1075"/>
      <c r="AM1075"/>
      <c r="AN1075"/>
      <c r="AO1075">
        <v>4.2</v>
      </c>
      <c r="AP1075"/>
      <c r="AQ1075">
        <v>147.4</v>
      </c>
      <c r="AR1075">
        <v>44</v>
      </c>
      <c r="AS1075"/>
      <c r="AT1075" t="s">
        <v>147</v>
      </c>
      <c r="AU1075"/>
    </row>
    <row r="1076" spans="1:47" x14ac:dyDescent="0.2">
      <c r="A1076" s="29">
        <v>1078.99999999993</v>
      </c>
      <c r="B1076">
        <v>130</v>
      </c>
      <c r="C1076" s="3">
        <v>22.107500000000002</v>
      </c>
      <c r="D1076" s="31" t="s">
        <v>140</v>
      </c>
      <c r="E1076" s="3" t="s">
        <v>141</v>
      </c>
      <c r="F1076" s="3" t="s">
        <v>61</v>
      </c>
      <c r="H1076" s="3" t="s">
        <v>61</v>
      </c>
      <c r="I1076" s="32">
        <v>44811</v>
      </c>
      <c r="J1076" s="3" t="s">
        <v>142</v>
      </c>
      <c r="K1076" s="3" t="s">
        <v>166</v>
      </c>
      <c r="M1076" s="17">
        <v>181</v>
      </c>
      <c r="N1076" s="117">
        <v>171</v>
      </c>
      <c r="O1076"/>
      <c r="P1076"/>
      <c r="Q1076"/>
      <c r="R1076" s="5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>
        <v>1.1919999999999999</v>
      </c>
      <c r="AJ1076"/>
      <c r="AK1076"/>
      <c r="AL1076"/>
      <c r="AM1076"/>
      <c r="AN1076"/>
      <c r="AO1076">
        <v>6</v>
      </c>
      <c r="AP1076"/>
      <c r="AQ1076">
        <v>123.5</v>
      </c>
      <c r="AR1076">
        <v>35.200000000000003</v>
      </c>
      <c r="AS1076"/>
      <c r="AT1076" t="s">
        <v>147</v>
      </c>
      <c r="AU1076"/>
    </row>
    <row r="1077" spans="1:47" x14ac:dyDescent="0.2">
      <c r="A1077" s="29">
        <v>1079.99999999993</v>
      </c>
      <c r="B1077">
        <v>165</v>
      </c>
      <c r="C1077" s="3">
        <v>22.107600000000001</v>
      </c>
      <c r="D1077" s="31" t="s">
        <v>140</v>
      </c>
      <c r="E1077" s="3" t="s">
        <v>141</v>
      </c>
      <c r="F1077" s="3" t="s">
        <v>60</v>
      </c>
      <c r="H1077" s="3" t="s">
        <v>60</v>
      </c>
      <c r="I1077" s="32">
        <v>44842</v>
      </c>
      <c r="J1077" s="3" t="s">
        <v>142</v>
      </c>
      <c r="K1077" s="3" t="s">
        <v>203</v>
      </c>
      <c r="M1077" s="17">
        <v>217.8</v>
      </c>
      <c r="N1077" s="117">
        <v>224.3</v>
      </c>
      <c r="O1077"/>
      <c r="P1077"/>
      <c r="Q1077"/>
      <c r="R1077" s="56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>
        <v>2.016</v>
      </c>
      <c r="AJ1077"/>
      <c r="AK1077"/>
      <c r="AL1077"/>
      <c r="AM1077"/>
      <c r="AN1077"/>
      <c r="AO1077">
        <v>7.5</v>
      </c>
      <c r="AP1077"/>
      <c r="AQ1077">
        <v>160.4</v>
      </c>
      <c r="AR1077">
        <v>52.8</v>
      </c>
      <c r="AS1077"/>
      <c r="AT1077" t="s">
        <v>147</v>
      </c>
      <c r="AU1077"/>
    </row>
    <row r="1078" spans="1:47" x14ac:dyDescent="0.2">
      <c r="A1078" s="3">
        <v>1080.99999999993</v>
      </c>
      <c r="B1078">
        <v>125</v>
      </c>
      <c r="C1078" s="3">
        <v>22.107700000000001</v>
      </c>
      <c r="D1078" s="31" t="s">
        <v>140</v>
      </c>
      <c r="E1078" s="3" t="s">
        <v>141</v>
      </c>
      <c r="F1078" s="3" t="s">
        <v>61</v>
      </c>
      <c r="H1078" s="3" t="s">
        <v>61</v>
      </c>
      <c r="I1078" s="32">
        <v>44801</v>
      </c>
      <c r="J1078" s="3" t="s">
        <v>142</v>
      </c>
      <c r="K1078" s="3" t="s">
        <v>166</v>
      </c>
      <c r="M1078" s="17">
        <v>182.9</v>
      </c>
      <c r="N1078" s="117">
        <v>160.4</v>
      </c>
      <c r="O1078"/>
      <c r="P1078"/>
      <c r="Q1078"/>
      <c r="R1078" s="56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>
        <v>1.282</v>
      </c>
      <c r="AJ1078"/>
      <c r="AK1078"/>
      <c r="AL1078"/>
      <c r="AM1078"/>
      <c r="AN1078"/>
      <c r="AO1078">
        <v>5.4</v>
      </c>
      <c r="AP1078"/>
      <c r="AQ1078">
        <v>113.8</v>
      </c>
      <c r="AR1078">
        <v>37.9</v>
      </c>
      <c r="AS1078"/>
      <c r="AT1078" t="s">
        <v>147</v>
      </c>
      <c r="AU1078"/>
    </row>
    <row r="1079" spans="1:47" ht="17" x14ac:dyDescent="0.2">
      <c r="A1079" s="29">
        <v>1081.99999999993</v>
      </c>
      <c r="B1079" s="53">
        <v>155</v>
      </c>
      <c r="C1079" s="3">
        <v>22.107800000000001</v>
      </c>
      <c r="D1079" s="65" t="s">
        <v>148</v>
      </c>
      <c r="F1079" s="59" t="s">
        <v>74</v>
      </c>
      <c r="I1079" s="63">
        <v>44924</v>
      </c>
      <c r="J1079" s="3" t="s">
        <v>142</v>
      </c>
      <c r="K1079" s="123" t="s">
        <v>204</v>
      </c>
      <c r="L1079"/>
      <c r="M1079" s="53">
        <v>256.89999999999998</v>
      </c>
      <c r="N1079" s="117">
        <v>276.39999999999998</v>
      </c>
      <c r="O1079" s="102"/>
      <c r="P1079" s="102"/>
      <c r="Q1079" s="102"/>
      <c r="R1079" s="102"/>
      <c r="S1079" s="102"/>
      <c r="T1079" s="102"/>
      <c r="U1079" s="102"/>
      <c r="V1079" s="102"/>
      <c r="W1079" s="102"/>
      <c r="X1079" s="102"/>
      <c r="Y1079" s="102"/>
      <c r="Z1079" s="102"/>
      <c r="AA1079" s="102"/>
      <c r="AB1079" s="102"/>
      <c r="AC1079" s="102"/>
      <c r="AD1079" s="102"/>
      <c r="AE1079" s="102"/>
      <c r="AF1079" s="102"/>
      <c r="AG1079" s="102"/>
      <c r="AH1079" s="102"/>
      <c r="AI1079">
        <v>1.528</v>
      </c>
      <c r="AJ1079"/>
      <c r="AK1079" t="s">
        <v>172</v>
      </c>
      <c r="AL1079"/>
      <c r="AM1079"/>
      <c r="AN1079"/>
      <c r="AO1079"/>
      <c r="AP1079"/>
      <c r="AQ1079"/>
      <c r="AR1079"/>
      <c r="AS1079"/>
      <c r="AT1079" t="s">
        <v>146</v>
      </c>
      <c r="AU1079" t="s">
        <v>146</v>
      </c>
    </row>
    <row r="1080" spans="1:47" ht="17" x14ac:dyDescent="0.2">
      <c r="A1080" s="29">
        <v>1082.99999999993</v>
      </c>
      <c r="B1080" s="53">
        <v>149</v>
      </c>
      <c r="C1080" s="3">
        <v>22.107900000000001</v>
      </c>
      <c r="D1080" s="65" t="s">
        <v>148</v>
      </c>
      <c r="F1080" s="59" t="s">
        <v>74</v>
      </c>
      <c r="I1080" s="63">
        <v>44922</v>
      </c>
      <c r="J1080" s="3" t="s">
        <v>142</v>
      </c>
      <c r="K1080" s="123" t="s">
        <v>204</v>
      </c>
      <c r="L1080"/>
      <c r="M1080" s="53">
        <v>220.7</v>
      </c>
      <c r="N1080" s="117">
        <v>227.6</v>
      </c>
      <c r="O1080" s="102"/>
      <c r="P1080" s="102"/>
      <c r="Q1080" s="102"/>
      <c r="R1080" s="102"/>
      <c r="S1080" s="102"/>
      <c r="T1080" s="102"/>
      <c r="U1080" s="102"/>
      <c r="V1080" s="102"/>
      <c r="W1080" s="102"/>
      <c r="X1080" s="102"/>
      <c r="Y1080" s="102"/>
      <c r="Z1080" s="102"/>
      <c r="AA1080" s="102"/>
      <c r="AB1080" s="102"/>
      <c r="AC1080" s="102"/>
      <c r="AD1080" s="102"/>
      <c r="AE1080" s="102"/>
      <c r="AF1080" s="102"/>
      <c r="AG1080" s="102"/>
      <c r="AH1080" s="102"/>
      <c r="AI1080">
        <v>1.1679999999999999</v>
      </c>
      <c r="AJ1080">
        <v>33.5</v>
      </c>
      <c r="AK1080" t="s">
        <v>172</v>
      </c>
      <c r="AL1080"/>
      <c r="AM1080"/>
      <c r="AN1080">
        <v>103</v>
      </c>
      <c r="AO1080"/>
      <c r="AP1080"/>
      <c r="AQ1080"/>
      <c r="AR1080"/>
      <c r="AS1080"/>
      <c r="AT1080" t="s">
        <v>146</v>
      </c>
      <c r="AU1080" t="s">
        <v>146</v>
      </c>
    </row>
    <row r="1081" spans="1:47" x14ac:dyDescent="0.2">
      <c r="A1081" s="29">
        <v>1083.99999999993</v>
      </c>
    </row>
    <row r="1082" spans="1:47" x14ac:dyDescent="0.2">
      <c r="A1082" s="29">
        <v>1084.99999999993</v>
      </c>
    </row>
    <row r="1083" spans="1:47" x14ac:dyDescent="0.2">
      <c r="A1083" s="3">
        <v>1085.99999999993</v>
      </c>
    </row>
    <row r="1084" spans="1:47" x14ac:dyDescent="0.2">
      <c r="A1084" s="29">
        <v>1086.99999999993</v>
      </c>
    </row>
    <row r="1085" spans="1:47" x14ac:dyDescent="0.2">
      <c r="A1085" s="29">
        <v>1087.99999999993</v>
      </c>
    </row>
    <row r="1086" spans="1:47" x14ac:dyDescent="0.2">
      <c r="A1086" s="3">
        <v>1088.99999999993</v>
      </c>
    </row>
    <row r="1087" spans="1:47" x14ac:dyDescent="0.2">
      <c r="A1087" s="29">
        <v>1089.99999999993</v>
      </c>
    </row>
    <row r="1088" spans="1:47" x14ac:dyDescent="0.2">
      <c r="A1088" s="29">
        <v>1090.99999999993</v>
      </c>
    </row>
  </sheetData>
  <autoFilter ref="A1:AU1088" xr:uid="{00000000-0009-0000-0000-000003000000}">
    <sortState xmlns:xlrd2="http://schemas.microsoft.com/office/spreadsheetml/2017/richdata2" ref="A2:AU977">
      <sortCondition ref="A1:A977"/>
    </sortState>
  </autoFilter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2023</vt:lpstr>
      <vt:lpstr>Data 2021</vt:lpstr>
      <vt:lpstr>Data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Wyffels</dc:creator>
  <cp:lastModifiedBy>Jennifer Wyffels</cp:lastModifiedBy>
  <dcterms:created xsi:type="dcterms:W3CDTF">2023-03-01T22:07:25Z</dcterms:created>
  <dcterms:modified xsi:type="dcterms:W3CDTF">2023-03-08T21:47:02Z</dcterms:modified>
</cp:coreProperties>
</file>