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300" activeTab="3"/>
  </bookViews>
  <sheets>
    <sheet name="集群名称" sheetId="2" r:id="rId1"/>
    <sheet name="集群企业名单" sheetId="1" r:id="rId2"/>
    <sheet name="集群企业荣誉信息" sheetId="3" r:id="rId3"/>
    <sheet name="集群企业专利信息"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<sst xmlns="http://schemas.openxmlformats.org/spreadsheetml/2006/main" count="18667" uniqueCount="5168">
  <si>
    <t>集群编号</t>
  </si>
  <si>
    <t>企业数量</t>
  </si>
  <si>
    <t>集群名称</t>
  </si>
  <si>
    <t>所属省份</t>
  </si>
  <si>
    <t>所属地市/区</t>
  </si>
  <si>
    <t>集群构成（排名前三小类）</t>
  </si>
  <si>
    <t>高端新能源车整车制造集群</t>
  </si>
  <si>
    <t>天津市</t>
  </si>
  <si>
    <t>汽车零部件及配件制造、汽车车身、挂车制造、配电开关控制设备制造</t>
  </si>
  <si>
    <t>企业名称</t>
  </si>
  <si>
    <t>登记状态</t>
  </si>
  <si>
    <t>成立日期</t>
  </si>
  <si>
    <t>统一社会信用代码</t>
  </si>
  <si>
    <t>企业地址</t>
  </si>
  <si>
    <t>所属城市</t>
  </si>
  <si>
    <t>所属区县</t>
  </si>
  <si>
    <t>企业机构类型</t>
  </si>
  <si>
    <t>纳税人识别号</t>
  </si>
  <si>
    <t>参保人数</t>
  </si>
  <si>
    <t>参保人数所属年报</t>
  </si>
  <si>
    <t>国标行业门类</t>
  </si>
  <si>
    <t>国标行业大类</t>
  </si>
  <si>
    <t>国标行业中类</t>
  </si>
  <si>
    <t>国标行业小类</t>
  </si>
  <si>
    <t>企业规模</t>
  </si>
  <si>
    <t>经营范围</t>
  </si>
  <si>
    <t>最新年报营业收入</t>
  </si>
  <si>
    <t>经度</t>
  </si>
  <si>
    <t>纬度</t>
  </si>
  <si>
    <t>天津市南开区雄鹰散热器厂</t>
  </si>
  <si>
    <t>存续</t>
  </si>
  <si>
    <t>2001-09-05</t>
  </si>
  <si>
    <t>-</t>
  </si>
  <si>
    <t>天津市南开区密云一支路335号</t>
  </si>
  <si>
    <t>南开区</t>
  </si>
  <si>
    <t>个体工商户</t>
  </si>
  <si>
    <t>制造业</t>
  </si>
  <si>
    <t>汽车制造业</t>
  </si>
  <si>
    <t>汽车车身、挂车制造</t>
  </si>
  <si>
    <t>天津市夏威汽车配件综合加工厂</t>
  </si>
  <si>
    <t>注销</t>
  </si>
  <si>
    <t>1997-06-09</t>
  </si>
  <si>
    <t>西青区杨柳青17街一经路立交桥北</t>
  </si>
  <si>
    <t>西青区</t>
  </si>
  <si>
    <t>集体所有制</t>
  </si>
  <si>
    <t>XS(微型)</t>
  </si>
  <si>
    <t>汽车配件（铝制品、冲压件）;建筑小五金、电气焊。</t>
  </si>
  <si>
    <t>天津市国脉工贸有限公司</t>
  </si>
  <si>
    <t>2001-05-29</t>
  </si>
  <si>
    <t>河西区越秀路7号202室</t>
  </si>
  <si>
    <t>河西区</t>
  </si>
  <si>
    <t>有限责任公司</t>
  </si>
  <si>
    <t>汽车配件、摩托车配件制造;五金工具、金属制品、电气设备、机电产品（小轿车除外）、仪器仪表批发兼零售。（国家有专项、专营规定的按规定执行）</t>
  </si>
  <si>
    <t>天津市散热器厂</t>
  </si>
  <si>
    <t>1981-08-20</t>
  </si>
  <si>
    <t>北辰区京津公路柳滩北</t>
  </si>
  <si>
    <t>北辰区</t>
  </si>
  <si>
    <t>M(中型)</t>
  </si>
  <si>
    <t>汽车配件制造.内燃机、拖拉机配件、汽车货运。</t>
  </si>
  <si>
    <t>天津友联汽车零部件有限公司</t>
  </si>
  <si>
    <t>2012-06-25</t>
  </si>
  <si>
    <t>91120112598723931H</t>
  </si>
  <si>
    <t>天津市津南区双港镇达港路3号</t>
  </si>
  <si>
    <t>津南区</t>
  </si>
  <si>
    <t>1</t>
  </si>
  <si>
    <t>2024年报</t>
  </si>
  <si>
    <t>汽车零部件及配件制造</t>
  </si>
  <si>
    <t>汽车零部件、无纺布制造、销售；塑料制品、橡胶制品、冲压制品批发兼零售。（以上经营范围涉及行业许可的凭许可证件，在有效期限内经营，国家有专项专营规定的按规定办理。）</t>
  </si>
  <si>
    <t>天津市闽东汽车销售有限公司</t>
  </si>
  <si>
    <t>迁出</t>
  </si>
  <si>
    <t>2001-06-26</t>
  </si>
  <si>
    <t>91120110MA0677077F</t>
  </si>
  <si>
    <t>东丽区卫国道东</t>
  </si>
  <si>
    <t>东丽区</t>
  </si>
  <si>
    <t>S(小型)</t>
  </si>
  <si>
    <t>机电产品、汽车配件、汽车装俱与装饰、农业机械批发兼零售、代购代销；汽车修理。（经营范围中涉及国家有专项、专营规定的按规定执行）</t>
  </si>
  <si>
    <t>天津市强迪汽车零部件有限公司</t>
  </si>
  <si>
    <t>1998-10-21</t>
  </si>
  <si>
    <t>91120116MA06E6187U</t>
  </si>
  <si>
    <t>南开区雅安道资阳路1号A座D单元</t>
  </si>
  <si>
    <t>技术开发、咨询、服务、转让（环境科学和劳动保护新技术及产品）；汽车配件制造。</t>
  </si>
  <si>
    <t>天津市津府工程机械有限公司</t>
  </si>
  <si>
    <t>1997-05-30</t>
  </si>
  <si>
    <t>911201136007725222</t>
  </si>
  <si>
    <t>北辰区北仓镇王秦庄村南</t>
  </si>
  <si>
    <t>0</t>
  </si>
  <si>
    <t>批发和零售业</t>
  </si>
  <si>
    <t>批发业</t>
  </si>
  <si>
    <t>机械设备、五金产品及电子产品批发</t>
  </si>
  <si>
    <t>其他机械设备及电子产品批发</t>
  </si>
  <si>
    <t>工程机械及配件、五金、交电、汽车配件、仪器仪表、建筑材料零售兼批发；工程机械维修及技术咨询、工程机械配件加工制造。（国家有专营、专项规定的按专营、专项规定办理）</t>
  </si>
  <si>
    <t>天津市通南五金电器制品厂</t>
  </si>
  <si>
    <t>1993-05-29</t>
  </si>
  <si>
    <t>西青区杨柳青营建路53号</t>
  </si>
  <si>
    <t>全民所有制</t>
  </si>
  <si>
    <t>电器元件、建筑外窗、汽车配件加工、制造;钢压延加工;服装、鞋帽、箱包、球类、五金配件加工。（国家有专项专营规定的按规定执行涉及行业许可的凭许可证或批准文件经营）</t>
  </si>
  <si>
    <t>天津市京津内燃机配件厂</t>
  </si>
  <si>
    <t>吊销（2002-10-30）</t>
  </si>
  <si>
    <t>1996-09-02</t>
  </si>
  <si>
    <t>天穆（制锁五厂内）</t>
  </si>
  <si>
    <t>非公司私营企业</t>
  </si>
  <si>
    <t>汽车内燃机配件。</t>
  </si>
  <si>
    <t>天津市河东区中联五金工具机械厂</t>
  </si>
  <si>
    <t>1993-11-02</t>
  </si>
  <si>
    <t>河东区龙潭路16号</t>
  </si>
  <si>
    <t>河东区</t>
  </si>
  <si>
    <t>集体分支机构（非法人）</t>
  </si>
  <si>
    <t>汽车刮水器、机加工。</t>
  </si>
  <si>
    <t>天津市专用电机厂</t>
  </si>
  <si>
    <t>1981-08-24</t>
  </si>
  <si>
    <t>91120000MA06B9146P</t>
  </si>
  <si>
    <t>东丽区张贵庄路</t>
  </si>
  <si>
    <t>专用设备制造业</t>
  </si>
  <si>
    <t>电子和电工机械专用设备制造</t>
  </si>
  <si>
    <t>电工机械专用设备制造</t>
  </si>
  <si>
    <t>经营经国家批准的电机、电机配件、机电联体的一般机电产品及相关配件的出口和生产电机及机电联体的一般机电产品所需的原材料、辅料、机械设备、机电产品及配件、仪器仪表、技术进口业务；杠万能刨、水泵及零部件加工、制造、汽车货运（以上经营范围内国家有专营专项规定的按规定办理）。</t>
  </si>
  <si>
    <t>天津市华夏车辆制造有限公司</t>
  </si>
  <si>
    <t>1996-12-09</t>
  </si>
  <si>
    <t>91120111239336577X</t>
  </si>
  <si>
    <t>西青区中北镇政府南（存在多址信息）</t>
  </si>
  <si>
    <t>58</t>
  </si>
  <si>
    <t>汽车整车制造</t>
  </si>
  <si>
    <t>汽柴油车整车制造</t>
  </si>
  <si>
    <t>许可项目：道路机动车辆生产。（依法须经批准的项目，经相关部门批准后方可开展经营活动，具体经营项目以相关部门批准文件或许可证件为准）一般项目：技术服务、技术开发、技术咨询、技术交流、技术转让、技术推广；汽车零部件研发；汽车零部件及配件制造；汽车零配件零售；新能源汽车整车销售；道路货物运输站经营；模具制造；模具销售；包装服务；非居住房地产租赁；运输货物打包服务；普通机械设备安装服务。（除依法须经批准的项目外，凭营业执照依法自主开展经营活动）</t>
  </si>
  <si>
    <t>天津三峰客车配件制造厂</t>
  </si>
  <si>
    <t>1992-12-24</t>
  </si>
  <si>
    <t>西青区中北镇西姜井村</t>
  </si>
  <si>
    <t>联营</t>
  </si>
  <si>
    <t>汽车配件制造、冲压件加工;汽车配件零售。（国家有专项专营规定的按规定执行涉及行业许可的凭许可证或批准文件经营）</t>
  </si>
  <si>
    <t>天津市天鹏汽车配件厂</t>
  </si>
  <si>
    <t>吊销（2006-11-20）</t>
  </si>
  <si>
    <t>1997-12-17</t>
  </si>
  <si>
    <t>红桥区邵公庄建设里3条4号</t>
  </si>
  <si>
    <t>红桥区</t>
  </si>
  <si>
    <t>汽车配件、紧固件、复印机配件制造、加工。（国家有专项规定的除外）</t>
  </si>
  <si>
    <t>天津市华夏车辆制造有限公司第一分公司</t>
  </si>
  <si>
    <t>注销（2024-01-17）</t>
  </si>
  <si>
    <t>2022-07-11</t>
  </si>
  <si>
    <t>91120111MA8201PF8H</t>
  </si>
  <si>
    <t>天津市西青区中北镇中北工业园曦霞路1号1厂房</t>
  </si>
  <si>
    <t>有限责任公司分公司</t>
  </si>
  <si>
    <t>一般项目：汽车零配件零售；汽车零部件研发；汽车零部件及配件制造；非居住房地产租赁；运输货物打包服务；信息咨询服务（不含许可类信息咨询服务）；技术服务、技术开发、技术咨询、技术交流、技术转让、技术推广。（除依法须经批准的项目外，凭营业执照依法自主开展经营活动）</t>
  </si>
  <si>
    <t>天津伊利萨尔新能源汽车有限公司</t>
  </si>
  <si>
    <t>2014-11-26</t>
  </si>
  <si>
    <t>911201163007013940</t>
  </si>
  <si>
    <t>天津市华苑产业区华天道8号海泰信息广场C座1209室</t>
  </si>
  <si>
    <t>滨海新区</t>
  </si>
  <si>
    <t>新能源车整车制造</t>
  </si>
  <si>
    <t>汽车销售；科学研究和技术服务业；商务服务业；以下限分支机构经营：汽车制造。（依法须经批准的项目，经相关部门批准后方可开展经营活动）</t>
  </si>
  <si>
    <t>天津丽淮新能源科技有限公司</t>
  </si>
  <si>
    <t>注销（2021-10-25）</t>
  </si>
  <si>
    <t>2020-12-18</t>
  </si>
  <si>
    <t>91120112MA077F563P</t>
  </si>
  <si>
    <t>天津市津南区双港镇双港工业园区丽港园11号218-3</t>
  </si>
  <si>
    <t>有限责任公司（自然人独资）</t>
  </si>
  <si>
    <t>一般项目：新兴能源技术研发；新能源原动设备销售；新能源汽车生产测试设备销售；新能源原动设备制造；生物质能技术服务；信息技术咨询服务；信息安全设备销售；信息系统集成服务；网络与信息安全软件开发。（除依法须经批准的项目外，凭营业执照依法自主开展经营活动）。</t>
  </si>
  <si>
    <t>天津大天电动车有限公司</t>
  </si>
  <si>
    <t>吊销（2017-06-16）</t>
  </si>
  <si>
    <t>2002-09-23</t>
  </si>
  <si>
    <t>9112011174138622XU</t>
  </si>
  <si>
    <t>西青经济开发区大寺工业园海泽路5号</t>
  </si>
  <si>
    <t>改装汽车制造</t>
  </si>
  <si>
    <t>生产、销售电动自行车、助力自行车、自行车及其配件（应先取得生产许可证和环保证后才能生产）；货物进出口（国家法律、行政法规另有规定的除外）。（国家有专项专营规定的按规定执行涉及行业许可的凭许可证或批准文件经营）</t>
  </si>
  <si>
    <t>天津市河西区色域改装汽车制造工作室</t>
  </si>
  <si>
    <t>2023-08-04</t>
  </si>
  <si>
    <t>92120103MA827K4U7H</t>
  </si>
  <si>
    <t>天津市河西区陈塘庄街道洞庭路20号色域改装计划</t>
  </si>
  <si>
    <t>一般项目：机动车修理和维护；喷涂加工；汽车拖车、求援、清障服务；轮胎销售；洗车服务；日用百货销售；二手日用百货销售；五金产品零售；汽车轮毂制造。（除依法须经批准的项目外，凭营业执照依法自主开展经营活动）</t>
  </si>
  <si>
    <t>天津客车装配厂轻型客车分厂</t>
  </si>
  <si>
    <t>1996-04-18</t>
  </si>
  <si>
    <t>南开区红旗路218号</t>
  </si>
  <si>
    <t>汽车客车装配。（C-3725）橡胶零件加工。</t>
  </si>
  <si>
    <t>天津科美轻工制品有限公司天津分公司</t>
  </si>
  <si>
    <t>吊销（2008-12-31）</t>
  </si>
  <si>
    <t>2000-06-26</t>
  </si>
  <si>
    <t>天津市津南区白万路白塘口</t>
  </si>
  <si>
    <t>港、澳、台投资企业分支机构</t>
  </si>
  <si>
    <t>生产塑料建材、原料改性造粒、塑料制品***</t>
  </si>
  <si>
    <t>天津市车辆改装厂</t>
  </si>
  <si>
    <t>1981-08-05</t>
  </si>
  <si>
    <t>91120104103383307H</t>
  </si>
  <si>
    <t>南开区咸阳路77号</t>
  </si>
  <si>
    <t>5</t>
  </si>
  <si>
    <t>低速汽车制造</t>
  </si>
  <si>
    <t>汽车配件制造；机械配件加工；自有房屋租赁。（国家有专营专项规定的按专营专项规定办理）</t>
  </si>
  <si>
    <t>天津扫地王专用汽车有限公司</t>
  </si>
  <si>
    <t>1993-09-09</t>
  </si>
  <si>
    <t>91120110600575676E</t>
  </si>
  <si>
    <t>天津市东丽区金钟河大街赵沽里村</t>
  </si>
  <si>
    <t>有限责任公司（中外合资）</t>
  </si>
  <si>
    <t>环卫专用汽车制造、各种特殊用车改装、各种环保机械产品的生产和销售及相关的道路清扫</t>
  </si>
  <si>
    <t>天津市河西区小童电动车维修部</t>
  </si>
  <si>
    <t>2015-12-07</t>
  </si>
  <si>
    <t>92120103MA060GWK32</t>
  </si>
  <si>
    <t>河西区体院南富源里19门101-104</t>
  </si>
  <si>
    <t>电车制造</t>
  </si>
  <si>
    <t>电动车维修，电动车及其配件零售，电动车电池零售；五金产品零售；租赁服务（不含许可类租赁服务）；摩托车及零配件零售。（依法须经批准的项目，经相关部门批准后方可开展经营活动）</t>
  </si>
  <si>
    <t>天津市奥美赛异型电驱车辆有限公司北辰分公司</t>
  </si>
  <si>
    <t>注销（2019-05-05）</t>
  </si>
  <si>
    <t>2015-09-23</t>
  </si>
  <si>
    <t>91120113MA05N91910</t>
  </si>
  <si>
    <t>天津市北辰区天津医药医疗器械工业园青光分园新津霸公路旁</t>
  </si>
  <si>
    <t>电动自行车、自行车、童车制造、批发兼零售;自行车、电动车配件批发兼零售;从事国家法律法规允许经营的进出口业务。（依法须经批准的项目,经相关部门批准后方可开展经营活动）</t>
  </si>
  <si>
    <t>天津市泰达电动车有限公司南开分公司</t>
  </si>
  <si>
    <t>注销（2021-12-29）</t>
  </si>
  <si>
    <t>2001-06-21</t>
  </si>
  <si>
    <t>南开区金坪路10号2-4（南开工业园）</t>
  </si>
  <si>
    <t>电动车辆及配件的开发、研制、生产、销售。（国家有专项专营规定的按行业审批范围及时限执行）</t>
  </si>
  <si>
    <t>天津市博瑞特电动车有限公司第一分公司</t>
  </si>
  <si>
    <t>注销（2018-06-19）</t>
  </si>
  <si>
    <t>2009-07-20</t>
  </si>
  <si>
    <t>911201106906754263</t>
  </si>
  <si>
    <t>东丽区先锋东路37号</t>
  </si>
  <si>
    <t>蓄电池类车、电动观览车、电动清扫车及其各类车配件制造；机电一体化环保产品的开发与应用、维修；燃料电池车及机电一体化技术开发咨询服务；机电产品、五金、化工（易燃易爆危险品除外）、建筑装饰材料、电工电料批发兼零售。（涉及国家有专项专营规定的，按规定执行；涉及行业许可的，凭许可证或批准文件经营）</t>
  </si>
  <si>
    <t>杭州潇兰电动车有限公司天津分公司</t>
  </si>
  <si>
    <t>吊销（2005-10-15）</t>
  </si>
  <si>
    <t>2003-11-19</t>
  </si>
  <si>
    <t>津南区双港镇李楼村（天然气厂旁）</t>
  </si>
  <si>
    <t>电动自行车组装、制造、加工;电动自行车及配件批发兼零售。</t>
  </si>
  <si>
    <t>天津市美嘉观光车辆有限公司</t>
  </si>
  <si>
    <t>2003-07-11</t>
  </si>
  <si>
    <t>91120110752206378Y</t>
  </si>
  <si>
    <t>河东区津塘路157号内</t>
  </si>
  <si>
    <t>内燃、电动观光车辆的设计、制造及各类车配件制造；机电一体化环保产品的开发与应用、维修；燃料电池车及机电一体化技术开发咨询服务、房屋租赁；批发和零售业；货物进出口业务；企业管理服务、会议服务。（依法须经批准的项目，经相关部门批准后方可开展经营活动）</t>
  </si>
  <si>
    <t>天津市特嘉盈工贸有限公司</t>
  </si>
  <si>
    <t>2002-03-05</t>
  </si>
  <si>
    <t>91120102712945432W</t>
  </si>
  <si>
    <t>河东区津塘路172号</t>
  </si>
  <si>
    <t>五金产品批发</t>
  </si>
  <si>
    <t>许可项目：特种设备制造；特种设备设计；特种设备安装改造修理。（依法须经批准的项目，经相关部门批准后方可开展经营活动，具体经营项目以相关部门批准文件或许可证件为准）一般项目：特种设备销售；特种设备出租；电车销售；非公路休闲车及零配件制造；非公路休闲车及零配件销售；技术服务、技术开发、技术咨询、技术交流、技术转让、技术推广；信息技术咨询服务；游览景区管理；五金产品批发；五金产品零售。（除依法须经批准的项目外，凭营业执照依法自主开展经营活动）</t>
  </si>
  <si>
    <t>天津华狮汽车仪表有限公司</t>
  </si>
  <si>
    <t>1995-12-19</t>
  </si>
  <si>
    <t>91120102600895071H</t>
  </si>
  <si>
    <t>天津市河东区复兴庄南横街27号</t>
  </si>
  <si>
    <t>L(大型)</t>
  </si>
  <si>
    <t>生产、销售汽车零部件并提供售后服务</t>
  </si>
  <si>
    <t>天津爱三汽车附件有限公司</t>
  </si>
  <si>
    <t>1995-12-25</t>
  </si>
  <si>
    <t>天津市南开区汾水道10号</t>
  </si>
  <si>
    <t>有限责任公司（外商合资）</t>
  </si>
  <si>
    <t>生产和销售化油器和其它汽车部件及产品的售后服务业务</t>
  </si>
  <si>
    <t>天津新志汽车设备有限公司</t>
  </si>
  <si>
    <t>吊销（2006-02-14）</t>
  </si>
  <si>
    <t>1998-04-11</t>
  </si>
  <si>
    <t>天津市西青区杨柳青镇前桑园</t>
  </si>
  <si>
    <t>有限责任公司（外国自然人独资）</t>
  </si>
  <si>
    <t>生产、销售汽车零部件及相关产品</t>
  </si>
  <si>
    <t>天津市奥美赛异型电驱车辆有限公司</t>
  </si>
  <si>
    <t>注销（2023-10-23）</t>
  </si>
  <si>
    <t>2010-12-30</t>
  </si>
  <si>
    <t>91120111566130074D</t>
  </si>
  <si>
    <t>天津市西青区泰和都市工业园大明道与罗孚路交口80米处</t>
  </si>
  <si>
    <t>工业用异型车、中老年代步车、电动三轮车、电动自行车、自行车、童车制造、批发兼零售；自行车、电动车配件批发兼零售；货物及技术进出口。（依法须经批准的项目，经相关部门批准后方可开展经营活动）</t>
  </si>
  <si>
    <t>天津汽车车轮有限公司</t>
  </si>
  <si>
    <t>注销（2014-07-14）</t>
  </si>
  <si>
    <t>1998-10-08</t>
  </si>
  <si>
    <t>西青区杨柳青新华路71号</t>
  </si>
  <si>
    <t>汽车钢、铝车轮和其它车轮、汽车零部件、汽车冲压件的制造。（国家有专项专营规定按规定执行）</t>
  </si>
  <si>
    <t>天津天宇机电有限公司</t>
  </si>
  <si>
    <t>1997-09-05</t>
  </si>
  <si>
    <t>911201056009132683</t>
  </si>
  <si>
    <t>天津市河北区中山路汇园里1号楼7门</t>
  </si>
  <si>
    <t>河北区</t>
  </si>
  <si>
    <t>有限责任公司（台港澳自然人独资）</t>
  </si>
  <si>
    <t>摩托车、汽车铝铸件;冷冻干燥设备;脱模剂的生产、销售</t>
  </si>
  <si>
    <t>天津市河北汽车配件厂</t>
  </si>
  <si>
    <t>注销（2021-03-18）</t>
  </si>
  <si>
    <t>1981-09-14</t>
  </si>
  <si>
    <t>南口路12号</t>
  </si>
  <si>
    <t>汽车配件、日用电器线束制造。</t>
  </si>
  <si>
    <t>天津启津汽车灯具模具有限公司</t>
  </si>
  <si>
    <t>1995-06-25</t>
  </si>
  <si>
    <t>91120111600888242U</t>
  </si>
  <si>
    <t>西青区杨柳青镇前园</t>
  </si>
  <si>
    <t>有限责任公司（台港澳与境内合资）</t>
  </si>
  <si>
    <t>生产和销售汽车灯具、模具</t>
  </si>
  <si>
    <t>天津市时达特汽车电器有限公司</t>
  </si>
  <si>
    <t>吊销（2010-12-27）</t>
  </si>
  <si>
    <t>2004-06-09</t>
  </si>
  <si>
    <t>91120102761273927J</t>
  </si>
  <si>
    <t>天津市河东区江都路33号帅达科技园</t>
  </si>
  <si>
    <t>生产、销售汽车起动机及相关的技术开发研制与服务</t>
  </si>
  <si>
    <t>天津市津北金环汽车配件厂</t>
  </si>
  <si>
    <t>1996-10-24</t>
  </si>
  <si>
    <t>北辰区千里堤</t>
  </si>
  <si>
    <t>汽车配件制造、机加工、冲压件加工、压铸件加工。</t>
  </si>
  <si>
    <t>天津一汽夏利汽车股份有限公司汽车制造分公司</t>
  </si>
  <si>
    <t>1997-12-10</t>
  </si>
  <si>
    <t>91120000MA067268XX</t>
  </si>
  <si>
    <t>西青区杨柳青马庄</t>
  </si>
  <si>
    <t>股份有限公司分公司（上市）</t>
  </si>
  <si>
    <t>轿车、汽车零部件的制造;商业的批发及零售（以上范围内国家有专营专项规定的按规定办理）。</t>
  </si>
  <si>
    <t>天津远泰机电产品有限公司</t>
  </si>
  <si>
    <t>吊销（2008-01-15）</t>
  </si>
  <si>
    <t>1993-05-28</t>
  </si>
  <si>
    <t>911201046005174330</t>
  </si>
  <si>
    <t>天津市南开区渭水道平利路4号</t>
  </si>
  <si>
    <t>有限责任公司（台港澳法人独资）</t>
  </si>
  <si>
    <t>生产、销售、加工制作汽车配件及售后咨询服务</t>
  </si>
  <si>
    <t>贤东模雅机电（天津）有限公司</t>
  </si>
  <si>
    <t>吊销（2011-12-07）</t>
  </si>
  <si>
    <t>2009-01-21</t>
  </si>
  <si>
    <t>91120113681896542R</t>
  </si>
  <si>
    <t>天津市北辰区津围公路东</t>
  </si>
  <si>
    <t>加工、生产、销售汽车配件、电子部件及提供相关的技术咨询服务</t>
  </si>
  <si>
    <t>天津市天族汽车配件有限公司</t>
  </si>
  <si>
    <t>注销（2018-05-16）</t>
  </si>
  <si>
    <t>2017-07-19</t>
  </si>
  <si>
    <t>91120112MA05TP7J8N</t>
  </si>
  <si>
    <t>天津市津南区津南经济开发区（西区）香港街3号2号楼310-28</t>
  </si>
  <si>
    <t>汽车配件、汽车电器的加工、制造、销售。（依法须经批准的项目,经相关部门批准后方可开展经营活动）</t>
  </si>
  <si>
    <t>普刚汽车部件（天津）有限公司</t>
  </si>
  <si>
    <t>2007-05-17</t>
  </si>
  <si>
    <t>911201137972965065</t>
  </si>
  <si>
    <t>天津市北辰科技园区（宜兴埠）</t>
  </si>
  <si>
    <t>开发、生产、销售汽车零部件及相关技术咨询服务</t>
  </si>
  <si>
    <t>天津津东汽车配件有限公司</t>
  </si>
  <si>
    <t>吊销（1995-09-02）</t>
  </si>
  <si>
    <t>1993-04-24</t>
  </si>
  <si>
    <t>天津市武清县泗村店乡西</t>
  </si>
  <si>
    <t>武清区</t>
  </si>
  <si>
    <t>生产和销售汽车稳压器及电器配件</t>
  </si>
  <si>
    <t>天津梅丽达铝铸件有限公司</t>
  </si>
  <si>
    <t>吊销（1996-01-24）</t>
  </si>
  <si>
    <t>1993-10-25</t>
  </si>
  <si>
    <t>天津市东丽区荒草坨乡于明庄村</t>
  </si>
  <si>
    <t>生产、销售汽车铝铸件和其它铝铸件配件</t>
  </si>
  <si>
    <t>天津市顺浩工贸有限公司</t>
  </si>
  <si>
    <t>吊销（2001-12-28）</t>
  </si>
  <si>
    <t>1999-07-19</t>
  </si>
  <si>
    <t>天津市南开区咸阳路62号</t>
  </si>
  <si>
    <t>120104712930468</t>
  </si>
  <si>
    <t>加工、制造:汽车配件;批发兼零售:五金交电（除消防器材）、百货、化工原料（不得经营易燃易爆易制毒化学危险品）、金属材料;建筑五金加工。（国家专项规定办理）</t>
  </si>
  <si>
    <t>天津市兴盛荣业汽车零部件有限公司</t>
  </si>
  <si>
    <t>2009-03-04</t>
  </si>
  <si>
    <t>西青区中北镇大梁庄村北</t>
  </si>
  <si>
    <t>有限责任公司（自然人投资或控股）</t>
  </si>
  <si>
    <t>汽车零部件、水暖管材制造、销售;机械设备加工;办公用品、服饰、日用百货、建筑材料批发兼零售。（国家有专项专营规定的按规定执行,涉及行业许可的凭许可证或批准文件经营）</t>
  </si>
  <si>
    <t>天津市天常专用汽车修配厂</t>
  </si>
  <si>
    <t>1992-12-03</t>
  </si>
  <si>
    <t>北辰区朝阳路</t>
  </si>
  <si>
    <t>汽车配件加工;汽车修理;汽车（小轿车除外）及汽车配件零售。</t>
  </si>
  <si>
    <t>天津市跃达化油器制造有限公司</t>
  </si>
  <si>
    <t>吊销（2001-12-21）</t>
  </si>
  <si>
    <t>1996-07-22</t>
  </si>
  <si>
    <t>东丽区新立村镇宝元村</t>
  </si>
  <si>
    <t>汽车化油器制造. 汽车配件制造; 铆焊. 机加工</t>
  </si>
  <si>
    <t>天津市西青区泰发汽车装具加工厂</t>
  </si>
  <si>
    <t>1998-09-24</t>
  </si>
  <si>
    <t>西青区中北镇大稍直口村</t>
  </si>
  <si>
    <t>个人独资企业</t>
  </si>
  <si>
    <t>汽车装俱</t>
  </si>
  <si>
    <t>天津市正虹冲压件有限公司</t>
  </si>
  <si>
    <t>吊销（2002-10-09）</t>
  </si>
  <si>
    <t>2001-04-09</t>
  </si>
  <si>
    <t>911201117274985917</t>
  </si>
  <si>
    <t>西青区中北镇大卞庄</t>
  </si>
  <si>
    <t>制造、加工:汽车配件（发动机除外）,冲压件,电气焊加工。板金加工。（以上经营范围国家有专项、专营规定按规定执行。）</t>
  </si>
  <si>
    <t>天津市津微汽车零部件制造厂</t>
  </si>
  <si>
    <t>吊销（2010-01-20）</t>
  </si>
  <si>
    <t>2005-04-08</t>
  </si>
  <si>
    <t>西青区中北镇大卞庄村</t>
  </si>
  <si>
    <t>汽车零部件制造、批发兼零售。（国家有专项专营规定的按规定执行涉及行业许可的凭许可证或批准文件经营）</t>
  </si>
  <si>
    <t>天津市中瑞标准件有限公司</t>
  </si>
  <si>
    <t>吊销（2002-02-27）</t>
  </si>
  <si>
    <t>1995-08-28</t>
  </si>
  <si>
    <t>（红）光荣道143号</t>
  </si>
  <si>
    <t>汽车配件制造;五金、交电、化工（不含危险品及易毒品）、民用建材、百货、汽车配件零售兼批发。*</t>
  </si>
  <si>
    <t>天津市力霸轮毂制造有限公司</t>
  </si>
  <si>
    <t>吊销（2003-09-16）</t>
  </si>
  <si>
    <t>2002-01-17</t>
  </si>
  <si>
    <t>津南区双港镇北马集村</t>
  </si>
  <si>
    <t>汽车轮毂制造、加工;汽车配件批发兼零售。</t>
  </si>
  <si>
    <t>天津市东丽区汽车装饰配件厂</t>
  </si>
  <si>
    <t>吊销</t>
  </si>
  <si>
    <t>1993-03-17</t>
  </si>
  <si>
    <t>东丽区驯海路</t>
  </si>
  <si>
    <t>汽车配件制造;冲压件制造;机加工;铆焊;汽车货运。</t>
  </si>
  <si>
    <t>天津市勃兴汽车配件厂</t>
  </si>
  <si>
    <t>2000-11-02</t>
  </si>
  <si>
    <t>东丽区新立镇四合庄村</t>
  </si>
  <si>
    <t>汽车配件、摩托车配件制造;电气焊;五金交电、汽车配件、化工（易燃、易爆、易制毒化学危险品除外）零售。（涉及国家有专项专营规定的,按规定执行;涉及行业许可的,凭许可证或批准文件经营）</t>
  </si>
  <si>
    <t>天津市敬东工贸有限公司</t>
  </si>
  <si>
    <t>吊销（2004-12-02）</t>
  </si>
  <si>
    <t>1999-11-29</t>
  </si>
  <si>
    <t>天津市河北区张兴庄大道曙光路10号</t>
  </si>
  <si>
    <t>120105718243714</t>
  </si>
  <si>
    <t>汽车配件及汽车内外装饰件制造、加工;汽车、摩托车配件、润滑油、橡胶制品、五金、交电、建筑装饰材料、钢材、日用百货批发兼零售（国家有专项专营规定的按规定执行）</t>
  </si>
  <si>
    <t>天津亨通汽车制冷器件有限公司</t>
  </si>
  <si>
    <t>吊销（1998-07-27）</t>
  </si>
  <si>
    <t>1992-01-06</t>
  </si>
  <si>
    <t>天津市河西区解放南路大任庄</t>
  </si>
  <si>
    <t>生产、销售汽车空调器零、部件;发动机怠速控制器;汽车内、外装饰件及汽车空调系统设计、检测、技术咨询、维修服务项目、新产品的开发</t>
  </si>
  <si>
    <t>天津市液压机械配件厂</t>
  </si>
  <si>
    <t>吊销（2010-11-09）</t>
  </si>
  <si>
    <t>1982-03-08</t>
  </si>
  <si>
    <t>东丽区徐庄村西侧</t>
  </si>
  <si>
    <t>汽车配件制造（喷油器体总成）。液压系统配件制造、曲轴、油泵、电器修理、塑料制品、扳金、铆焊加工。</t>
  </si>
  <si>
    <t>天津明路电子有限公司</t>
  </si>
  <si>
    <t>吊销（1997-12-16）</t>
  </si>
  <si>
    <t>1995-09-29</t>
  </si>
  <si>
    <t>天津市东丽区程林街增兴窑村</t>
  </si>
  <si>
    <t>生产、销售汽车用放大器及电子附件</t>
  </si>
  <si>
    <t>鹏达盛（天津）轻工企业发展有限公司</t>
  </si>
  <si>
    <t>吊销（1997-09-30）</t>
  </si>
  <si>
    <t>1995-12-13</t>
  </si>
  <si>
    <t>天津市和平区马场道丽华里6号</t>
  </si>
  <si>
    <t>和平区</t>
  </si>
  <si>
    <t>开发、生产、销售汽车装具、配件、机械电子仪器仪表、医疗器械及相关技术咨询服务</t>
  </si>
  <si>
    <t>天津昌和机械设备有限公司</t>
  </si>
  <si>
    <t>吊销（1997-12-04）</t>
  </si>
  <si>
    <t>1993-11-01</t>
  </si>
  <si>
    <t>天津市南开区靶档道87号</t>
  </si>
  <si>
    <t>生产、销售汽车零部件及配套电动工具</t>
  </si>
  <si>
    <t>天津浩林汽车配件有限公司</t>
  </si>
  <si>
    <t>注销（2018-11-07）</t>
  </si>
  <si>
    <t>1992-01-22</t>
  </si>
  <si>
    <t>天津市河西区微山路南（双林农场院内）</t>
  </si>
  <si>
    <t>生产、销售汽车前灯灯泡，加工、组装车灯总成、稳压器、闪光灯及其它汽车电器类配件，提供相关的技术服务</t>
  </si>
  <si>
    <t>天津莫斯科车辆零部件有限公司</t>
  </si>
  <si>
    <t>1993-08-03</t>
  </si>
  <si>
    <t>天津市河东区张贵庄招远路3号</t>
  </si>
  <si>
    <t>生产、销售LATA系列汽车油泵、对俄罗斯和东欧制造的汽车提供换装服务及开发研制相关机械配件产品</t>
  </si>
  <si>
    <t>天津现代汽配有限公司</t>
  </si>
  <si>
    <t>1994-12-12</t>
  </si>
  <si>
    <t>天津市西青区八里台立交桥下</t>
  </si>
  <si>
    <t>生产、销售汽车部、辅配件及相关的维修技术服务</t>
  </si>
  <si>
    <t>天津宇轮装具有限公司</t>
  </si>
  <si>
    <t>吊销（2000-12-04）</t>
  </si>
  <si>
    <t>1993-09-04</t>
  </si>
  <si>
    <t>天津市红桥区光荣道30号</t>
  </si>
  <si>
    <t>生产、销售高级汽车座套产品及相关的汽车装具</t>
  </si>
  <si>
    <t>天津市西青区振明汽车装俱厂</t>
  </si>
  <si>
    <t>1994-05-23</t>
  </si>
  <si>
    <t>西青区中北斜乡西马村</t>
  </si>
  <si>
    <t>汽车装俱汽车配件</t>
  </si>
  <si>
    <t>天津市红利发汽车配件厂</t>
  </si>
  <si>
    <t>1996-10-09</t>
  </si>
  <si>
    <t>河西区泰山路6号</t>
  </si>
  <si>
    <t>汽车配件制造、加工、自产自销。。</t>
  </si>
  <si>
    <t>天津市河西区利发汽车拉杆厂</t>
  </si>
  <si>
    <t>1994-08-17</t>
  </si>
  <si>
    <t>河西区洞庭路43号</t>
  </si>
  <si>
    <t>机动车拉线、手制动拉杆、制动器部件、金属制品制造、加工。轻便三轮车组装、销售。</t>
  </si>
  <si>
    <t>天津市顺屹导油器厂</t>
  </si>
  <si>
    <t>1996-07-01</t>
  </si>
  <si>
    <t>河西区厦门路32号4门</t>
  </si>
  <si>
    <t>导油器制造、加工、自产自销。百货、五金、日用杂品、箱包、皮革制品、橡胶制品、塑料制品零售兼批发、代购代销 。</t>
  </si>
  <si>
    <t>天津市北辰区华晨服装厂</t>
  </si>
  <si>
    <t>1994-06-21</t>
  </si>
  <si>
    <t>北辰区宜兴埠影剧院旁</t>
  </si>
  <si>
    <t>服装。</t>
  </si>
  <si>
    <t>天津津英汽车配件有限公司</t>
  </si>
  <si>
    <t>1992-09-28</t>
  </si>
  <si>
    <t>天津市西青区第一石油化工厂南侧</t>
  </si>
  <si>
    <t>生产、销售夏利轿车冷风扇叶及其它汽车配件</t>
  </si>
  <si>
    <t>上海丰和东杰汽车装饰件有限公司天津分公司</t>
  </si>
  <si>
    <t>2004-06-16</t>
  </si>
  <si>
    <t>91120112761298614A</t>
  </si>
  <si>
    <t>天津市津南经济开发区（东区）</t>
  </si>
  <si>
    <t>外商投资企业分公司</t>
  </si>
  <si>
    <t>设计、制造汽车用各种内外装饰件,销售本公司生产的产品并提供相关售后服务</t>
  </si>
  <si>
    <t>天津普林斯三成机电有限公司</t>
  </si>
  <si>
    <t>1993-12-29</t>
  </si>
  <si>
    <t>天津市河西区体院南环湖中路</t>
  </si>
  <si>
    <t>生产、销售汽车零部件、带锯及配套品并提供相关的咨询服务</t>
  </si>
  <si>
    <t>天津市北辰区华龙汽车配件经营部</t>
  </si>
  <si>
    <t>1994-04-07</t>
  </si>
  <si>
    <t>北辰区韩家墅村</t>
  </si>
  <si>
    <t>汽车配件。油脂、汽车装具、汽车货运。</t>
  </si>
  <si>
    <t>天津维克特瑞机电有限公司</t>
  </si>
  <si>
    <t>1995-12-08</t>
  </si>
  <si>
    <t>天津市红桥区西关外大街119号</t>
  </si>
  <si>
    <t>生产、销售汽车零部件及与之相关的咨询服务</t>
  </si>
  <si>
    <t>中国人民解放军运输工程学院汽车配件厂</t>
  </si>
  <si>
    <t>1993-07-29</t>
  </si>
  <si>
    <t>河东区程林庄路东局子一号</t>
  </si>
  <si>
    <t>汽车配件制造。机床附件制造;机加工。</t>
  </si>
  <si>
    <t>永清永泰汽车部件有限公司天津分公司</t>
  </si>
  <si>
    <t>注销（2017-07-28）</t>
  </si>
  <si>
    <t>2015-02-12</t>
  </si>
  <si>
    <t>911201133006463567</t>
  </si>
  <si>
    <t>天津市北辰区大张庄镇张辛公路666号</t>
  </si>
  <si>
    <t>汽车配件、五金零部件、塑料制品加工;销售金属材料、建筑材料。（依法须经批准的项目,经相关部门批准后方可开展经营活动）</t>
  </si>
  <si>
    <t>天津开发区现代汽车电器有限公司</t>
  </si>
  <si>
    <t>吊销（2000-11-09）</t>
  </si>
  <si>
    <t>1996-09-25</t>
  </si>
  <si>
    <t>天津开发区洞庭路欣园商厦206室</t>
  </si>
  <si>
    <t>汽车电源、电器、超硬金钢石工具生产及维修;汽车配件、金属材料钢材除外、橡塑制品、家用电器、纺织品、五金、交电、化工商品、建材、办公设备、工艺售兼批发;摄影、彩扩办公服务。</t>
  </si>
  <si>
    <t>天津市利顺微型汽车配件厂</t>
  </si>
  <si>
    <t>1995-07-28</t>
  </si>
  <si>
    <t>北辰区京津公路425号工人俱乐部对过</t>
  </si>
  <si>
    <t>汽车配件。</t>
  </si>
  <si>
    <t>天津客车装配厂汽车配件加工厂</t>
  </si>
  <si>
    <t>1981-01-05</t>
  </si>
  <si>
    <t>南开区红旗路152号（客车装配厂内）</t>
  </si>
  <si>
    <t>汽车配件制造。（5627）铁木家俱制造;劳动服务;以下限分支经营:润滑油脂、化工、五金、建筑材料、有色金属材料;钢材（零售）;电机修理。</t>
  </si>
  <si>
    <t>天津泉永机电有限公司</t>
  </si>
  <si>
    <t>1998-06-01</t>
  </si>
  <si>
    <t>天津市河北区北站外刘家花园大街3号</t>
  </si>
  <si>
    <t>生产、销售汽车安全带零部件及相关的咨询服务</t>
  </si>
  <si>
    <t>天津市北辰区凯达金属制品加工厂</t>
  </si>
  <si>
    <t>1993-01-11</t>
  </si>
  <si>
    <t>北辰区周庄村</t>
  </si>
  <si>
    <t>汽车配件制造。（5627）小五金熔炼加工、五金加工。</t>
  </si>
  <si>
    <t>天津东联丰田汽车服务有限公司分公司</t>
  </si>
  <si>
    <t>注销（2024-09-02）</t>
  </si>
  <si>
    <t>1999-02-11</t>
  </si>
  <si>
    <t>天津市河东区张贵庄路77号</t>
  </si>
  <si>
    <t>汽车信息咨询服务，汽车检测以及汽车配件和汽车专用工具的生产与销售</t>
  </si>
  <si>
    <t>天津市河西区求实汽车配件厂</t>
  </si>
  <si>
    <t>1996-03-08</t>
  </si>
  <si>
    <t>河西区福建路市场8-10号</t>
  </si>
  <si>
    <t>天津市美程工贸有限公司</t>
  </si>
  <si>
    <t>1994-09-29</t>
  </si>
  <si>
    <t>河西区解放南路汽配城A区107号</t>
  </si>
  <si>
    <t>汽车配件制造、加工、自产自销,电器设备按装、修理,室内外装饰服务。机电产品（汽车除外）、五金交电、橡胶制品、百货批发兼零售（国家有专项经营规定按规定执行）。</t>
  </si>
  <si>
    <t>天津市明达汽车齿轮制品有限公司</t>
  </si>
  <si>
    <t>1996-07-17</t>
  </si>
  <si>
    <t>河西区西南楼六段2排72号</t>
  </si>
  <si>
    <t>汽车配件加工、制造、自产自销。</t>
  </si>
  <si>
    <t>天津市北辰津环汽车配件厂</t>
  </si>
  <si>
    <t>1996-09-20</t>
  </si>
  <si>
    <t>北辰区天穆镇吴咀村</t>
  </si>
  <si>
    <t>橡胶件.汽车塑料配件、汽车内饰件。</t>
  </si>
  <si>
    <t>天津市北辰区三镜汽配加工厂</t>
  </si>
  <si>
    <t>1997-06-25</t>
  </si>
  <si>
    <t>北辰区柳滩东</t>
  </si>
  <si>
    <t>汽车配件制造;机床修理。</t>
  </si>
  <si>
    <t>天津市西青区明星汽车软轴厂</t>
  </si>
  <si>
    <t>1996-09-03</t>
  </si>
  <si>
    <t>天津市西青区李七庄南（二构件厂内）</t>
  </si>
  <si>
    <t>汽车摩托车软轴拉线橡胶件（软轴拉线用零部件）</t>
  </si>
  <si>
    <t>天津市腾宇汽车零配件厂</t>
  </si>
  <si>
    <t>1994-10-14</t>
  </si>
  <si>
    <t>北辰区京津公路382号（利华机械修配厂内）</t>
  </si>
  <si>
    <t>汽车塑料件、内外装饰件。汽车零配件。</t>
  </si>
  <si>
    <t>天津市永光汽车配件厂</t>
  </si>
  <si>
    <t>1995-11-02</t>
  </si>
  <si>
    <t>北辰区北医道7号</t>
  </si>
  <si>
    <t>汽车配件</t>
  </si>
  <si>
    <t>天津华日汽车配件有限公司</t>
  </si>
  <si>
    <t>1992-02-29</t>
  </si>
  <si>
    <t>天津市东丽区大毕庄乡新中村内</t>
  </si>
  <si>
    <t>生产、销售大发汽车前摆臂、夏利汽车半轴及摇臂、制车蹄、夏利汽车连杆和汽车灯</t>
  </si>
  <si>
    <t>天津福祥汽车零部件实业有限公司</t>
  </si>
  <si>
    <t>1992-10-06</t>
  </si>
  <si>
    <t>天津市河北区江都路17号</t>
  </si>
  <si>
    <t>设计、制造和销售汽车装饰件、零配件及配套的电子产品</t>
  </si>
  <si>
    <t>天津新泉机电有限公司</t>
  </si>
  <si>
    <t>1994-10-28</t>
  </si>
  <si>
    <t>天津市南开区小稍口荠园西道（天津津华无线电厂内）</t>
  </si>
  <si>
    <t>生产、销售汽车零部件、钢带及与之相关的咨询服务</t>
  </si>
  <si>
    <t>天津裕通机械有限公司</t>
  </si>
  <si>
    <t>吊销（1995-08-04）</t>
  </si>
  <si>
    <t>1994-04-09</t>
  </si>
  <si>
    <t>天津市和平区河北路河北里15号</t>
  </si>
  <si>
    <t>生产、销售汽车零配件、橡塑制品及相关的技术咨询服务</t>
  </si>
  <si>
    <t>天津华丰汽车装饰有限公司钢板弹簧厂</t>
  </si>
  <si>
    <t>1996-01-06</t>
  </si>
  <si>
    <t>天津市红桥区西于庄小辛街86号</t>
  </si>
  <si>
    <t>外商投资企业分支机构</t>
  </si>
  <si>
    <t>生产、销售汽车配件***</t>
  </si>
  <si>
    <t>天津辉虎环保设备有限公司</t>
  </si>
  <si>
    <t>2000-03-27</t>
  </si>
  <si>
    <t>天津市津南开发区</t>
  </si>
  <si>
    <t>生产、销售汽车尾气净化器、柴油过滤器、触媒转化器</t>
  </si>
  <si>
    <t>江苏准提机械制造有限公司天津分公司</t>
  </si>
  <si>
    <t>2007-11-14</t>
  </si>
  <si>
    <t>911201166688094678</t>
  </si>
  <si>
    <t>天津新产业园区华苑产业区华天道8号海泰信息广场D座1110室</t>
  </si>
  <si>
    <t>从事本公司经营范围内的咨询联络***</t>
  </si>
  <si>
    <t>天津市河西区海河汽车配件厂</t>
  </si>
  <si>
    <t>1995-02-16</t>
  </si>
  <si>
    <t>河西区解放南路水产养殖场院内</t>
  </si>
  <si>
    <t>居民服务、修理和其他服务业</t>
  </si>
  <si>
    <t>机动车、电子产品和日用产品修理业</t>
  </si>
  <si>
    <t>汽车、摩托车等修理与维护</t>
  </si>
  <si>
    <t>汽车配件加工。</t>
  </si>
  <si>
    <t>天津市北辰区红福汽车制动器厂</t>
  </si>
  <si>
    <t>1998-03-16</t>
  </si>
  <si>
    <t>天津市北辰区红光农场经销公司内</t>
  </si>
  <si>
    <t>汽车配件（加工汽车制动器）</t>
  </si>
  <si>
    <t>天津市和平区车益友车务服务中心</t>
  </si>
  <si>
    <t>注销（2019-10-14）</t>
  </si>
  <si>
    <t>2017-10-10</t>
  </si>
  <si>
    <t>92120101MA05WUTH17</t>
  </si>
  <si>
    <t>天津市和平区南市街福安大街新文化花园新秀居1-1-503</t>
  </si>
  <si>
    <t>汽车车务服务;汽车租赁;汽车救援;商务信息咨询。（依法须经批准的项目,经相关部门批准后方可开展经营活动）</t>
  </si>
  <si>
    <t>丰田汽车技术中心（中国）有限公司</t>
  </si>
  <si>
    <t>1998-02-17</t>
  </si>
  <si>
    <t>911201167004182647</t>
  </si>
  <si>
    <t>天津市南开区新技术产业园区华苑产业区C8-2</t>
  </si>
  <si>
    <t>有限责任公司（外国法人独资）</t>
  </si>
  <si>
    <t>331</t>
  </si>
  <si>
    <t>2023年报</t>
  </si>
  <si>
    <t>一般项目：技术服务、技术开发、技术咨询、技术交流、技术转让、技术推广；汽车零配件批发；货物进出口；企业管理咨询；信息咨询服务（不含许可类信息咨询服务）；安全咨询服务；翻译服务；办公设备租赁服务；计算机及通讯设备租赁；租赁服务（不含许可类租赁服务）；机械设备租赁；非居住房地产租赁；业务培训（不含教育培训、职业技能培训等需取得许可的培训）；国内货物运输代理；国际货物运输代理；普通货物仓储服务（不含危险化学品等需许可审批的项目）【分支机构经营】；装卸搬运；包装服务；物联网应用服务；数据处理和存储支持服务。（除依法须经批准的项目外，凭营业执照依法自主开展经营活动）许可项目：道路货物运输（不含危险货物）。（依法须经批准的项目，经相关部门批准后方可开展经营活动，具体经营项目以相关部门批准文件或许可证件为准）（不得投资《外商投资准入负面清单》中禁止外商投资的领域）</t>
  </si>
  <si>
    <t>天津亚星世纪实业股份有限公司</t>
  </si>
  <si>
    <t>2000-01-26</t>
  </si>
  <si>
    <t>91120112718269244P</t>
  </si>
  <si>
    <t>天津市津南区双港镇慧科路2号</t>
  </si>
  <si>
    <t>股份有限公司</t>
  </si>
  <si>
    <t>汽车水箱、汽车配件制造；汽车零部件性能检测；自营产品的进出口业务；普通货运（危险品除外）。（依法须经批准的项目，经相关部门批准后方可开展经营活动）</t>
  </si>
  <si>
    <t>天津津丰汽车底盘部件有限公司</t>
  </si>
  <si>
    <t>1997-07-29</t>
  </si>
  <si>
    <t>91120110600911967G</t>
  </si>
  <si>
    <t>天津市东丽区津塘公路张贵庄立交桥顾庄旁</t>
  </si>
  <si>
    <t>11</t>
  </si>
  <si>
    <t>汽车转向机、传动轴及相关零部件生产、加工、销售及售后服务；市场管理服务；自有房屋租赁、机械设备租赁（特种设备除外）；代收水电费；劳务服务（派遣除外）。（依法须经批准的项目，经相关部门批准后方可开展经营活动）</t>
  </si>
  <si>
    <t>松美可（天津）汽车配件有限公司</t>
  </si>
  <si>
    <t>2003-04-15</t>
  </si>
  <si>
    <t>91120111746699276X</t>
  </si>
  <si>
    <t>天津市西青经济技术开发区宏源道7号</t>
  </si>
  <si>
    <t>250</t>
  </si>
  <si>
    <t>生产、销售汽车零部件、缓冲装置、塑料磁石</t>
  </si>
  <si>
    <t>天津星原工业科技有限公司</t>
  </si>
  <si>
    <t>2014-01-21</t>
  </si>
  <si>
    <t>91120113091554403U</t>
  </si>
  <si>
    <t>天津市北辰区天津北辰经济技术开发区高端园兴河路9号</t>
  </si>
  <si>
    <t>116</t>
  </si>
  <si>
    <t>一般项目：技术服务、技术开发、技术咨询、技术交流、技术转让、技术推广；汽车零部件及配件制造；电动机制造；塑料制品制造；模具制造；金属结构制造；五金产品制造；仪器仪表制造；通用设备制造（不含特种设备制造）；电子元器件与机电组件设备制造；塑料制品销售；模具销售；金属结构销售；金属材料销售；仪器仪表销售；汽车零配件批发；五金产品批发；计算机软硬件及辅助设备批发；汽车零配件零售；五金产品零售；计算机软硬件及辅助设备零售；仪器仪表修理；电线、电缆经营；五金产品研发；电子元器件与机电组件设备销售；企业管理；货物进出口；技术进出口；进出口代理；非居住房地产租赁；居民日常生活服务；普通机械设备安装服务。（除依法须经批准的项目外，凭营业执照依法自主开展经营活动）许可项目：道路货物运输（不含危险货物）。（依法须经批准的项目，经相关部门批准后方可开展经营活动，具体经营项目以相关部门批准文件或许可证件为准）</t>
  </si>
  <si>
    <t>皑尔电动汽车动力总成（天津）有限公司</t>
  </si>
  <si>
    <t>2022-02-14</t>
  </si>
  <si>
    <t>91120193MA07J0KJX7</t>
  </si>
  <si>
    <t>天津市滨海高新区华苑产业区（环外）海泰创新五路1号2号厂房</t>
  </si>
  <si>
    <t>78</t>
  </si>
  <si>
    <t>一般项目：汽车零部件及配件制造；电机及其控制系统研发；电机制造；汽车零部件研发；汽车零配件零售；汽车零配件批发；电气设备修理；技术服务、技术开发、技术咨询、技术交流、技术转让、技术推广；货物进出口；技术进出口；贸易经纪；非居住房地产租赁。（除依法须经批准的项目外，凭营业执照依法自主开展经营活动）（不得投资《外商投资准入负面清单》中禁止外商投资的领域）</t>
  </si>
  <si>
    <t>梦达驰汽车系统（天津）有限公司</t>
  </si>
  <si>
    <t>2012-08-28</t>
  </si>
  <si>
    <t>911202225987326277</t>
  </si>
  <si>
    <t>天津新技术产业园区武清开发区开源道北侧</t>
  </si>
  <si>
    <t>257</t>
  </si>
  <si>
    <t>开发、生产、加工、销售汽车用电控机械变速器、发动机塑料油底盘、发动机排放控制装置、汽车内外塑料饰件及配套生产过程的自动控制系统装配设备，精密注塑模具、检具、夹具；上述产品及其生产所需设备、原辅材料的批发、零售、进出口（以上商品进出口不涉及国营贸易、进出口配额许可证，出口配额招标、出口许可证等商品，其他专项规定管理的商品按照国家有关规定办理）；并提供相关的技术咨询和售后服务。（依法须经批准的项目，经相关部门批准后方可开展经营活动）</t>
  </si>
  <si>
    <t>天津泓德汽车玻璃有限公司</t>
  </si>
  <si>
    <t>2015-05-08</t>
  </si>
  <si>
    <t>9112011132858293XN</t>
  </si>
  <si>
    <t>天津市西青区张家窝镇安福道13号</t>
  </si>
  <si>
    <t>有限责任公司（法人独资）</t>
  </si>
  <si>
    <t>2435</t>
  </si>
  <si>
    <t>汽车玻璃及其零配件生产、设计、技术研发、销售。（依法须经批准的项目，经相关部门批准后方可开展经营活动）</t>
  </si>
  <si>
    <t>19.71亿元(2021年)</t>
  </si>
  <si>
    <t>天津惠德汽车进气系统股份有限公司</t>
  </si>
  <si>
    <t>2006-04-06</t>
  </si>
  <si>
    <t>91120116786368607T</t>
  </si>
  <si>
    <t>天津中北工业园区红运路19号</t>
  </si>
  <si>
    <t>10</t>
  </si>
  <si>
    <t>机电一体化技术开发；汽车进气歧管制造；货物及技术的进出口（法律及行政法规另有规定的除外）；塑料制品、五金交电批发兼零售；普通货运；汽车零部件销售。（依法须经批准的项目，经相关部门批准后方可开展经营活动）</t>
  </si>
  <si>
    <t>富维本特勒汽车零部件（天津）有限公司</t>
  </si>
  <si>
    <t>2018-04-26</t>
  </si>
  <si>
    <t>91120000MA06BMA816</t>
  </si>
  <si>
    <t>天津市北辰区天津北辰经济技术开发区高端园兴河路与永信道交口（存在多址信息）</t>
  </si>
  <si>
    <t>236</t>
  </si>
  <si>
    <t>汽车冲压结构件、铝成型结构件及底盘系统的设计、开发、测试、制造、销售；并提供相关技术咨询、技术服务和技术转让。（依法须经批准的项目，经相关部门批准后方可开展经营活动）</t>
  </si>
  <si>
    <t>天津锐意泰克汽车电子有限公司</t>
  </si>
  <si>
    <t>2009-03-16</t>
  </si>
  <si>
    <t>91120111684730564B</t>
  </si>
  <si>
    <t>天津西青汽车工业区（中北工业区）开源路6号</t>
  </si>
  <si>
    <t>3</t>
  </si>
  <si>
    <t>汽车电子控制系统及部件的制造、销售及相关技术开发；汽车零部件（不含发动机）的制造、销售及相关技术开发；房屋租赁；场地租赁。（依法须经批准的项目，经相关部门批准后方可开展经营活动）</t>
  </si>
  <si>
    <t>华博罗（天津）工业有限公司</t>
  </si>
  <si>
    <t>1995-04-17</t>
  </si>
  <si>
    <t>91120113600543746N</t>
  </si>
  <si>
    <t>天津北辰经济技术开发区双原道10号</t>
  </si>
  <si>
    <t>267</t>
  </si>
  <si>
    <t>生产、销售汽车、摩托车配件（行业管理产品除外）、压铸产品、模具；油箱、发动机及配件、园林机械及配件批发、零售、进出口。（以上商品进出口不涉及国营贸易、进出口配额许可证、出口配额招标、出口许可证等商品，其他专项规定管理的商品按照国家有关规定办理）（依法须经批准的项目，经相关部门批准后方可开展经营活动）</t>
  </si>
  <si>
    <t>天津市汽车底盘部件总厂</t>
  </si>
  <si>
    <t>1994-10-22</t>
  </si>
  <si>
    <t>91120110103730022N</t>
  </si>
  <si>
    <t>天津市东丽区顾庄村</t>
  </si>
  <si>
    <t>汽车配件制造；非汽车类传动轴、汽车配件、农机配件制造及加工；机械设备租赁；劳务服务（派遣除外）。（依法须经批准的项目，经相关部门批准后方可开展经营活动）</t>
  </si>
  <si>
    <t>天津三樱飞跃汽车部件有限公司</t>
  </si>
  <si>
    <t>2011-08-08</t>
  </si>
  <si>
    <t>911201115813019007</t>
  </si>
  <si>
    <t>天津市西青区大寺镇储盈道12号</t>
  </si>
  <si>
    <t>77</t>
  </si>
  <si>
    <t>汽车部件、机械设备、夹具、模具的生产、加工、研发、批发、进出口（不涉及国营贸易管理商品，涉及配额、许可证管理商品的按国家有关规定办理申请）；提供相关技术咨询服务。（不得投资《外商投资准入负面清单》中禁止外商投资的领域）（依法须经批准的项目，经相关部门批准后方可开展经营活动）</t>
  </si>
  <si>
    <t>天津科世得润汽车部件有限公司</t>
  </si>
  <si>
    <t>2020-04-15</t>
  </si>
  <si>
    <t>91120111MA0707Q67H</t>
  </si>
  <si>
    <t>天津市西青区中北镇开源路9号A区</t>
  </si>
  <si>
    <t>有限责任公司（外商投资企业法人独资）</t>
  </si>
  <si>
    <t>61</t>
  </si>
  <si>
    <t>一般项目：汽车零部件及配件制造；汽车零配件批发；汽车零部件研发。（除依法须经批准的项目外，凭营业执照依法自主开展经营活动）。许可项目：货物进出口。（依法须经批准的项目，经相关部门批准后方可开展经营活动，具体经营项目以相关部门批准文件或许可证件为准）。</t>
  </si>
  <si>
    <t>天津丰田汽车锻造部件有限公司</t>
  </si>
  <si>
    <t>1997-02-27</t>
  </si>
  <si>
    <t>91120110600907474F</t>
  </si>
  <si>
    <t>天津市东丽区先锋东路79号</t>
  </si>
  <si>
    <t>291</t>
  </si>
  <si>
    <t>一般项目：汽车零部件及配件制造；汽车零部件研发；汽车零配件批发；汽车零配件零售；模具制造；模具销售；信息技术咨询服务；劳务服务（不含劳务派遣）。（除依法须经批准的项目外，凭营业执照依法自主开展经营活动）（不得投资《外商投资准入负面清单》中禁止外商投资的领域）。</t>
  </si>
  <si>
    <t>天津电装电机有限公司</t>
  </si>
  <si>
    <t>9112011060089591XP</t>
  </si>
  <si>
    <t>天津市东丽经济开发区六经路3号</t>
  </si>
  <si>
    <t>有限责任公司（外商投资、非独资）</t>
  </si>
  <si>
    <t>1223</t>
  </si>
  <si>
    <t>一般项目：电机制造；汽车零部件及配件制造；发电机及发电机组制造；电子元器件制造；金属链条及其他金属制品制造；电池制造；汽车零配件批发；汽车零配件零售；新能源汽车电附件销售；发电机及发电机组销售；电子元器件批发；电子元器件零售；金属链条及其他金属制品销售；电池销售；软件开发；软件销售；模具销售；信息咨询服务（不含许可类信息咨询服务）；技术服务、技术开发、技术咨询、技术交流、技术转让、技术推广（以上不含人体干细胞技术开发和应用；不含人体基因诊断与治疗技术开发和应用）；货物进出口。（除依法须经批准的项目外，凭营业执照依法自主开展经营活动）许可项目：发电业务、输电业务、供（配）电业务。（依法须经批准的项目，经相关部门批准后方可开展经营活动，具体经营项目以相关部门批准文件或许可证件为准）（不得投资《外商投资准入负面清单》中禁止外商投资的领域）</t>
  </si>
  <si>
    <t>利富高（天津）精密树脂制品有限公司</t>
  </si>
  <si>
    <t>2010-01-06</t>
  </si>
  <si>
    <t>91120116697438052N</t>
  </si>
  <si>
    <t>天津新技术产业园区华苑产业区（环外）海泰华科五路5号</t>
  </si>
  <si>
    <t>有限责任公司（港澳台法人独资）</t>
  </si>
  <si>
    <t>123</t>
  </si>
  <si>
    <t>汽车摩托车零配件、家用电器零配件、办公设备零配件、厨卫具零配件及非金属制品模具的研发、制造、生产、销售及相关技术咨询服务；前述产品相关制品及机械设备的批发、零售、进出口；佣金代理（拍卖除外）。（以上商品进出口不涉及国营贸易、进出口配额许可证、出口配额招标、出口许可证等商品，其他专项规定管理的商品按照国家有关规定办理）（不得投资《外商投资准入负面清单》中禁止外商投资的领域）</t>
  </si>
  <si>
    <t>爱德克斯（天津）汽车零部件有限公司</t>
  </si>
  <si>
    <t>2004-02-27</t>
  </si>
  <si>
    <t>911201137581175950</t>
  </si>
  <si>
    <t>天津新技术产业园区北辰科技工业园华盛道26号</t>
  </si>
  <si>
    <t>868</t>
  </si>
  <si>
    <t>一般项目：汽车零部件及配件制造；技术服务、技术开发、技术咨询、技术交流、技术转让、技术推广；汽车零部件批发；汽车零配件零售；模具销售；贸易经纪；非居住房地产租赁。（除依法须经批准的项目外，凭营业执照依法自主开展经营活动）。许可项目：货物进出口。（依法须经批准的项目，经相关部门批准后方可开展经营活动，具体经营项目以相关部门批准文件或许可证件为准）（不得投资外商投资准入负面清单中禁止外商投资的领域）</t>
  </si>
  <si>
    <t>天津津河电工有限公司</t>
  </si>
  <si>
    <t>1996-03-29</t>
  </si>
  <si>
    <t>91120111600899371G</t>
  </si>
  <si>
    <t>天津市西青区中北工业园（南园）海光路13号</t>
  </si>
  <si>
    <t>249</t>
  </si>
  <si>
    <t>一般项目:汽车零部件及配件制造；机械零件、零部件销售；模具销售；机械设备销售；技术服务、技术开发、技术咨询、技术交流、技术转让、技术推广；机械设备租赁；非居住房地产租赁；通用设备修理；机械零件、零部件加工；货物进出口。（不得投资《外商投资准入负面清单》中禁止外商投资的领域）（除依法须经批准的项目外，凭营业执照依法自主开展经营活动）</t>
  </si>
  <si>
    <t>天津丰津汽车传动部件有限公司</t>
  </si>
  <si>
    <t>91120110600896015H</t>
  </si>
  <si>
    <t>天津市东丽区先锋东路81号</t>
  </si>
  <si>
    <t>630</t>
  </si>
  <si>
    <t>生产、销售等速万向节和其它汽车零部件；产品的售后服务</t>
  </si>
  <si>
    <t>天津鹤立汽车零部件有限公司</t>
  </si>
  <si>
    <t>2012-10-12</t>
  </si>
  <si>
    <t>911201100552593944</t>
  </si>
  <si>
    <t>天津市北辰区天津北辰经济技术开发区兴河路与永合道交口欧盟装备产业园</t>
  </si>
  <si>
    <t>124</t>
  </si>
  <si>
    <t>汽车零部件及配件制造；模具设计、制造；仓储（危险品除外）；机械加工。（依法须经批准的项目，经相关部门批准后方可开展经营活动）</t>
  </si>
  <si>
    <t>天津三五汽车部件有限公司</t>
  </si>
  <si>
    <t>2003-04-08</t>
  </si>
  <si>
    <t>911201107466872088</t>
  </si>
  <si>
    <t>天津市东丽经济开发区五纬路</t>
  </si>
  <si>
    <t>405</t>
  </si>
  <si>
    <t>汽车部件制造、开发、设计、批发零售及进出口；生产上述产品所使用的机械设备、模具制造、租赁、销售及进出口。（依法须经批准的项目，经相关部门批准后方可开展经营活动）</t>
  </si>
  <si>
    <t>一汽丰田发动机（天津）有限公司</t>
  </si>
  <si>
    <t>1996-05-16</t>
  </si>
  <si>
    <t>91120111600900467K</t>
  </si>
  <si>
    <t>天津市西青区杨柳青西青道266号（存在多址信息）</t>
  </si>
  <si>
    <t>1538</t>
  </si>
  <si>
    <t>汽车用发动机、铸件和其它零部件及其组件的设计、开发、制造、在国内外市场的销售及售后服务</t>
  </si>
  <si>
    <t>天津双协机械工业有限公司</t>
  </si>
  <si>
    <t>2002-02-01</t>
  </si>
  <si>
    <t>91120111735442862U</t>
  </si>
  <si>
    <t>天津市西青区中北镇京福线与泽杨道交口西侧150米</t>
  </si>
  <si>
    <t>335</t>
  </si>
  <si>
    <t>一般项目：汽车零部件及配件制造；汽车零部件研发；汽车零配件零售；紧固件销售；金属表面处理及热处理加工；模具制造；模具销售；机械设备研发；机械电气设备制造；机械电气设备销售；技术服务、技术开发、技术咨询、技术交流、技术转让、技术推广；非居住房地产租赁；劳务服务（不含劳务派遣）；锻件及粉末冶金制品制造；锻件及粉末冶金制品销售。（除依法须经批准的项目外，凭营业执照依法自主开展经营活动）许可项目：货物进出口。（不得投资《外商投资准入负面清单》中禁止外商投资的领域）（依法须经批准的项目，经相关部门批准后方可开展经营活动，具体经营项目以相关部门批准文件或许可证件为准）。</t>
  </si>
  <si>
    <t>天津丰田合成有限公司</t>
  </si>
  <si>
    <t>1995-12-22</t>
  </si>
  <si>
    <t>91120110600895696P</t>
  </si>
  <si>
    <t>天津市东丽区经济开发小区丽北路</t>
  </si>
  <si>
    <t>486</t>
  </si>
  <si>
    <t>一般项目：汽车零部件及配件制造；汽车零部件研发；塑料制品制造；塑料包装箱及容器制造；皮革制品制造；汽车零配件批发；汽车零配件零售；塑料制品销售；皮革制品销售；皮革销售；技术服务、技术开发、技术咨询、技术交流、技术转让、技术推广（除人体干细胞、基因诊断与治疗技术开发和应用）。（除依法须经批准的项目外，凭营业执照依法自主开展经营活动）（不得投资《外商投资准入负面清单》中禁止外商投资的领域）</t>
  </si>
  <si>
    <t>丰田合成星光（天津）汽车部品有限公司</t>
  </si>
  <si>
    <t>1994-01-08</t>
  </si>
  <si>
    <t>911201116005794230</t>
  </si>
  <si>
    <t>天津市西青区中北镇中北工业园天和路6号</t>
  </si>
  <si>
    <t>260</t>
  </si>
  <si>
    <t>生产、销售汽车用部件；生产、销售交通工具用、工业、家电及建筑用橡胶和塑料产品以及与上述相关的模具、设备和附带产品；并提供上述产品相关的技术服务、技术设计、技术开发与技术咨询。（依法须经批准的项目，经相关部门批准后方可开展经营活动）</t>
  </si>
  <si>
    <t>捷太格特汽车部件（天津）有限公司</t>
  </si>
  <si>
    <t>91120111752201577H</t>
  </si>
  <si>
    <t>天津市西青经济开发区兴华二支路</t>
  </si>
  <si>
    <t>200</t>
  </si>
  <si>
    <t>生产、制造、销售汽车部件；仓储、自有厂房租赁；汽车零部件技术服务、技术咨询。（不得投资《外商投资准入负面清单》中禁止外商投资的领域）（依法须经批准的项目，经相关部门批准后方可开展经营活动）</t>
  </si>
  <si>
    <t>天津环渤海汽车车身制造有限公司</t>
  </si>
  <si>
    <t>2004-04-30</t>
  </si>
  <si>
    <t>911201117612643851</t>
  </si>
  <si>
    <t>天津市西青区西青道曹庄子车站对面</t>
  </si>
  <si>
    <t>42</t>
  </si>
  <si>
    <t>汽车车身及底盘附件的制造、加工；汽车专用钢材的销售及剪切加工；道路货物运输；仓储服务。（依法须经批准的项目，经相关部门批准后方可开展经营活动）</t>
  </si>
  <si>
    <t>天津爱帝力亚汽车部件有限公司</t>
  </si>
  <si>
    <t>91120111668804623N</t>
  </si>
  <si>
    <t>天津市西青经济开发区赛达二支路20号</t>
  </si>
  <si>
    <t>17</t>
  </si>
  <si>
    <t>汽车零部件及发动机零部件、汽车零部件专用生产设备、环保节能设备、工装工位器具的设计、制造、销售；机电设备销售、维修；房屋租赁。（依法须经批准的项目，经相关部门批准后方可开展经营活动）</t>
  </si>
  <si>
    <t>天津三国有限公司</t>
  </si>
  <si>
    <t>1994-01-25</t>
  </si>
  <si>
    <t>911201116005315859</t>
  </si>
  <si>
    <t>天津市西青经济技术开发区兴华二支路5号</t>
  </si>
  <si>
    <t>193</t>
  </si>
  <si>
    <t>一般项目：汽车零部件及配件制造；微特电机及组件制造；新能源汽车电附件销售；电子元器件制造；电镀加工；金属表面处理及热处理加工；摩托车零配件制造；通用设备制造（不含特种设备制造）；喷涂加工；模具制造；新材料技术研发。（不得投资《外商投资准入负面清单》中禁止外商投资的领域）（依法须经批准的项目，经相关部门批准后方可开展经营活动，具体经营项目以相关部门批准文件或许可证件为准）</t>
  </si>
  <si>
    <t>天津博慧汽车部件有限公司</t>
  </si>
  <si>
    <t>2018-08-22</t>
  </si>
  <si>
    <t>91120111MA06ED7N7N</t>
  </si>
  <si>
    <t>天津市西青区中北镇盛源路3号</t>
  </si>
  <si>
    <t>一般项目：汽车零部件研发；汽车零部件及配件制造；汽车销售；汽车零配件批发；汽车零配件零售；润滑油加工、制造（不含危险化学品）；润滑油销售；成品油仓储（不含危险化学品）；成品油批发（不含危险化学品）；五金产品批发；五金产品零售；轮胎销售；电池销售；新能源汽车废旧动力蓄电池回收及梯次利用（不含危险废物经营）；新能源汽车整车销售；新能源汽车换电设施销售；非居住房地产租赁；普通货物仓储服务（不含危险化学品等需许可审批的项目）；专用化学产品销售（不含危险化学品）；互联网销售（除销售需要许可的商品）；软件开发；充电桩销售；机动车充电销售；会议及展览服务；信息咨询服务（不含许可类信息咨询服务）；信息系统集成服务；企业管理咨询。（除依法须经批准的项目外，凭营业执照依法自主开展经营活动）</t>
  </si>
  <si>
    <t>天津普天单向器有限公司</t>
  </si>
  <si>
    <t>2007-04-04</t>
  </si>
  <si>
    <t>911201136603102239</t>
  </si>
  <si>
    <t>北辰区小淀镇刘安庄村</t>
  </si>
  <si>
    <t>246</t>
  </si>
  <si>
    <t>汽车零部件、摩托车零部件制造；金属材料、机电产品销售；从事国家法律、法规允许经营的进出口业务。（国家有专营、专项规定的按专营、专项规定办理）</t>
  </si>
  <si>
    <t>申友（天津）汽车零部件有限公司</t>
  </si>
  <si>
    <t>2016-12-15</t>
  </si>
  <si>
    <t>91120000MA05MDMN5G</t>
  </si>
  <si>
    <t>天津市北辰区双街镇双辰东路29号</t>
  </si>
  <si>
    <t>汽车零部件（汽车电子装置、电子控制以及新能源汽车关键零部件、能量型动力电池除外）、摩托车零部件、机电设备、电子产品、模具、工装夹具制造、加工；模具材料、五金交电、仪器仪表批发兼零售；计算机软件、机电产品技术开发、转让、咨询、服务；从事上述产品的进出口业务。（依法须经批准的项目，经相关部门批准后方可开展经营活动）</t>
  </si>
  <si>
    <t>北方新兴（天津）汽车部件有限公司</t>
  </si>
  <si>
    <t>2013-03-14</t>
  </si>
  <si>
    <t>91120111064009864U</t>
  </si>
  <si>
    <t>天津市西青经济开发区大寺高新技术产业园储华道3号</t>
  </si>
  <si>
    <t>4</t>
  </si>
  <si>
    <t>一般项目：汽车零部件及配件制造；机动车修理和维护；新能源汽车整车销售；汽车新车销售；汽车零配件批发；汽车零配件零售；汽车装饰用品销售；洗车服务；项目策划与公关服务；会议及展览服务；汽车租赁；非居住房地产租赁；二手车经纪；信息咨询服务（不含许可类信息咨询服务）；普通货物仓储服务（不含危险化学品等需许可审批的项目）；装卸搬运；商务代理代办服务；机械设备租赁；国内货物运输代理；摩托车及零配件零售；摩托车及零配件批发；机械设备销售；二手车经销；物业管理；市场营销策划。（除依法须经批准的项目外，凭营业执照依法自主开展经营活动）。</t>
  </si>
  <si>
    <t>4381.93万元(2023年)</t>
  </si>
  <si>
    <t>天津永焕汽车配件有限公司</t>
  </si>
  <si>
    <t>2016-09-20</t>
  </si>
  <si>
    <t>91120000MA05L2BA3X</t>
  </si>
  <si>
    <t>天津市津南区津南经济开发区（东区）祥水路17号</t>
  </si>
  <si>
    <t>汽车零部件、汽车制动系统配件、转向系统配件、冷锻件、精密配件、螺丝、螺母、紧固件、重型机械配件、半导体装置、五金零部件生产、加工、批发、零售、进出口；以上产品相关技术的开发、咨询及售后服务；数字机床自动化加工；冲压件加工。（依法须经批准的项目，经相关部门批准后方可开展经营活动）</t>
  </si>
  <si>
    <t>天津市益中汽车安全带有限公司</t>
  </si>
  <si>
    <t>1981-09-01</t>
  </si>
  <si>
    <t>911201011031131714</t>
  </si>
  <si>
    <t>天津市西青区大寺镇大寺工业园鸿泽路5号</t>
  </si>
  <si>
    <t>一般项目：汽车零部件及配件制造；货物进出口。（除依法须经批准的项目外，凭营业执照依法自主开展经营活动）许可项目：道路货物运输（不含危险货物）。（依法须经批准的项目，经相关部门批准后方可开展经营活动，具体经营项目以相关部门批准文件或许可证件为准）</t>
  </si>
  <si>
    <t>天津安骏挂车制造有限公司</t>
  </si>
  <si>
    <t>1995-09-25</t>
  </si>
  <si>
    <t>91120110600891767G</t>
  </si>
  <si>
    <t>天津市东丽开发区四纬路13号</t>
  </si>
  <si>
    <t>87</t>
  </si>
  <si>
    <t>许可项目：道路机动车辆生产；危险化学品包装物及容器生产。（依法须经批准的项目，经相关部门批准后方可开展经营活动，具体经营项目以相关部门批准文件或许可证件为准）一般项目：特种设备销售；金属结构制造；金属结构销售；地质勘查专用设备制造；地质勘查专用设备销售；普通货物仓储服务（不含危险化学品等需许可审批的项目）；专用设备制造（不含许可类专业设备制造）；机械设备销售；机械电气设备制造；机械电气设备销售；机械零件、零部件加工；机械零件、零部件销售；生活垃圾处理装备制造；生活垃圾处理装备销售；普通机械设备安装服务；技术服务、技术开发、技术咨询、技术交流、技术转让、技术推广。（除依法须经批准的项目外，凭营业执照依法自主开展经营活动）</t>
  </si>
  <si>
    <t>1300.00万元(2023年)</t>
  </si>
  <si>
    <t>天津铁鹰车辆装备有限公司</t>
  </si>
  <si>
    <t>2016-08-23</t>
  </si>
  <si>
    <t>91120113MA05KRF0X9</t>
  </si>
  <si>
    <t>天津市北辰区宜兴埠镇津围公路六街工业园</t>
  </si>
  <si>
    <t>许可项目：民用航空器（发动机、螺旋桨）生产；通用航空服务。（依法须经批准的项目，经相关部门批准后方可开展经营活动，具体经营项目以相关部门批准文件或许可证件为准）一般项目：汽车销售；汽车零部件及配件制造；机械零件、零部件销售；特种设备销售；民用航空材料销售；航空运营支持服务；智能无人飞行器制造；智能无人飞行器销售；环境应急技术装备制造；环境应急技术装备销售；电子测量仪器销售；电子测量仪器制造；专用仪器制造；光学仪器制造。（除依法须经批准的项目外，凭营业执照依法自主开展经营活动）</t>
  </si>
  <si>
    <t>天津大兴汽车配件有限公司</t>
  </si>
  <si>
    <t>2005-08-25</t>
  </si>
  <si>
    <t>911201117773298849</t>
  </si>
  <si>
    <t>天津市西青经济开发区赛达汇亚工业园16号</t>
  </si>
  <si>
    <t>56</t>
  </si>
  <si>
    <t>生产、加工、销售汽车减震器、减震器零部件、刹车管及其他汽车零部件（以上经营范围涉及行业许可的凭许可证件，在有效期限内经营，国家有专项专营规定的按规定办理）</t>
  </si>
  <si>
    <t>天津恒福赛汽车部件有限公司</t>
  </si>
  <si>
    <t>2022-04-06</t>
  </si>
  <si>
    <t>91120110MA7KUBXR2U</t>
  </si>
  <si>
    <t>天津市东丽区华明街道华丰路1号普洛斯东丽华明产业园a2厂房</t>
  </si>
  <si>
    <t>120</t>
  </si>
  <si>
    <t>一般项目：汽车零部件及配件制造；模具制造；模具销售；专业设计服务；塑料制品销售；塑料制品制造；橡胶制品制造；机械设备销售；通用设备制造（不含特种设备制造）；包装专用设备制造；金属成形机床制造；新材料技术研发；道路货物运输站经营；非居住房地产租赁。（除依法须经批准的项目外，凭营业执照依法自主开展经营活动）</t>
  </si>
  <si>
    <t>天津杰作实业有限公司</t>
  </si>
  <si>
    <t>2014-09-24</t>
  </si>
  <si>
    <t>91120116300506679D</t>
  </si>
  <si>
    <t>天津滨海高新区华苑产业区海泰华科三路1号1号楼-1-203-1</t>
  </si>
  <si>
    <t>制造业；科学研究和技术服务业；批发和零售业；货物及技术的进出口业务；信息传输、软件和技术服务业；汽车租赁；汽车租赁；房地产经纪；教育信息咨询。（依法须经批准的项目，经相关部门批准后方可开展经营活动）</t>
  </si>
  <si>
    <t>天津远达滤清器股份有限公司</t>
  </si>
  <si>
    <t>2006-04-24</t>
  </si>
  <si>
    <t>91120000786381940U</t>
  </si>
  <si>
    <t>北辰区延吉道东段南侧（鸿仓工业区内）</t>
  </si>
  <si>
    <t>汽车滤清器、汽车零部件及配件、橡塑件、各种滤材加工、制造、销售；机电产品、五金配件销售；从事国家法律法规允许经营的进出口业务；润滑油及化工产品（危险品及易制毒品除外）销售；模具设计、加工、制造；机械配件、机械设备的生产、销售；纸制品、废纸箱、废钢材收购及销售。（依法须经批准的项目，经相关部门批准后方可开展经营活动）</t>
  </si>
  <si>
    <t>通天汽车桥（天津）有限公司</t>
  </si>
  <si>
    <t>2016-06-30</t>
  </si>
  <si>
    <t>91120116MA05KADT8N</t>
  </si>
  <si>
    <t>天津市华苑产业区鑫茂科技园G座五层A5单元</t>
  </si>
  <si>
    <t>光电一体化技术开发、咨询、服务、转让；机械设备、电热设备、化工产品（危险品、易燃易爆品、易制毒品除外）、汽车配件批发兼零售；以下限分支机构经营：风力发电机组零件、汽车零部件制造；机械配件加工。（依法须经批准的项目，经相关部门批准后方可开展经营活动）</t>
  </si>
  <si>
    <t>沃可汽车部件（天津）有限公司</t>
  </si>
  <si>
    <t>2018-09-07</t>
  </si>
  <si>
    <t>91120000MA06ERB7XM</t>
  </si>
  <si>
    <t>天津市西青经济技术开发区盛达三支路25号</t>
  </si>
  <si>
    <t>汽车零部件、模具、夹具、机械零部件制造、技术开发、批发、零售、进出口、佣金代理（拍卖除外）；并提供相关技术服务；塑料制品、塑料原材料加工、销售；铁道用钢材、铁路专用设备及器材、配件制造、技术服务。（依法须经批准的项目，经相关部门批准后方可开展经营活动）（不得投资《外商投资准入负面清单》中禁止外商投资的领域）</t>
  </si>
  <si>
    <t>鼎星汽车配件（天津）有限公司</t>
  </si>
  <si>
    <t>2011-01-06</t>
  </si>
  <si>
    <t>91120111566129954P</t>
  </si>
  <si>
    <t>天津市西青区津港大道31号</t>
  </si>
  <si>
    <t>汽车零部件生产、加工、销售；自有房屋租赁（国家限制、禁止外商投资的产品除外）。</t>
  </si>
  <si>
    <t>井上（天津）汽车部件有限公司</t>
  </si>
  <si>
    <t>2006-12-20</t>
  </si>
  <si>
    <t>91120111794994958B</t>
  </si>
  <si>
    <t>天津市西青经济开发区赛达二支路2号</t>
  </si>
  <si>
    <t>41</t>
  </si>
  <si>
    <t>生产、销售汽车电子装置、汽车零部件、各种汽车零部件的表面处理、加工（国家有专项规定的按规定办理）</t>
  </si>
  <si>
    <t>天津大中汽车零部件有限公司</t>
  </si>
  <si>
    <t>2004-12-15</t>
  </si>
  <si>
    <t>91120113767638579R</t>
  </si>
  <si>
    <t>天津市北辰区天津高端装备制造产业园永进道</t>
  </si>
  <si>
    <t>汽车零部件、橡塑制品、冲压件制造加工；机械设备、化工原料（危险化学品、易制毒品除外）、五金工具、磨具、磨料、密封胶、胶粘制品批发兼零售；从事国家法律、法规允许经营的进出口业务。（依法须经批准的项目，经相关部门批准后方可开展经营活动）</t>
  </si>
  <si>
    <t>天津诺威汽车电气有限公司</t>
  </si>
  <si>
    <t>2004-11-23</t>
  </si>
  <si>
    <t>91120111767619749W</t>
  </si>
  <si>
    <t>天津市西青经济开发区中北工业园星光路</t>
  </si>
  <si>
    <t>设计、制造、销售汽车电子产品、电器元件、汽车零部件及相关的技术咨询服务和售后产品维修服务</t>
  </si>
  <si>
    <t>天津日拓汽车电装有限公司</t>
  </si>
  <si>
    <t>2005-01-06</t>
  </si>
  <si>
    <t>91120104770602614W</t>
  </si>
  <si>
    <t>天津市南开区红日南路42号202室（科技园）</t>
  </si>
  <si>
    <t>汽车电子装备及线束制造；新材料、环境保护技术及产品的开发、咨询、服务、转让；计算机、软件及辅助设备零售兼批发；从事国家法律法规允许的进出口业务。（以上经营范围涉及行业许可的凭许可证件，在有效期限内经营，国家有专项专营规定的按规定办理）</t>
  </si>
  <si>
    <t>天津中发华冠机械有限公司</t>
  </si>
  <si>
    <t>1994-09-15</t>
  </si>
  <si>
    <t>9112010360058496X2</t>
  </si>
  <si>
    <t>天津市河西区郁江道65号</t>
  </si>
  <si>
    <t>128</t>
  </si>
  <si>
    <t>设计、生产、销售各类软轴、拉线及汽车机械零配件（依法须经批准的项目，经相关部门批准后方可开展经营活动）。（不得投资《外商投资准入负面清单》中禁止外商投资的领域）（依法须经批准的项目，经相关部门批准后方可开展经营活动）</t>
  </si>
  <si>
    <t>天津高能顺兴实业发展有限公司</t>
  </si>
  <si>
    <t>2015-08-19</t>
  </si>
  <si>
    <t>911201163515693892</t>
  </si>
  <si>
    <t>天津滨海高新区华苑产业区工华道壹号D座2门1101、1102、1103、1104、1105（天津清联网络孵化器有限公司托管第1075号）</t>
  </si>
  <si>
    <t>批发和零售业；商务信息咨询；货物及技术进出口业务；以下限分支机构经营：汽车零部件制造。（依法须经批准的项目，经相关部门批准后方可开展经营活动）</t>
  </si>
  <si>
    <t>北斗（天津）夹具装备有限公司</t>
  </si>
  <si>
    <t>2002-07-25</t>
  </si>
  <si>
    <t>91120111738493040N</t>
  </si>
  <si>
    <t>天津市西青经济开发区大寺工业园津荣道17号</t>
  </si>
  <si>
    <t>183</t>
  </si>
  <si>
    <t>汽车焊接、装配夹具、检具及其相关的电气控制系统的设计、制造、安装、销售；汽车制造用的专用机器（搬送、涂敷、控制、电装、折边等机械）的制造、维修及进出口和批发、零售业务（以上商品进出口不涉及国营贸易、进出口配额许可证、出口配额招标、出口许可证等商品，其他专项规定管理的商品按照国家有关规定办理）；劳务服务；工业设计服务；专业设计服务。（不得投资《外商投资准入负面清单》中禁止外商投资的领域）（依法须经批准的项目，经相关部门批准后方可开展经营活动）</t>
  </si>
  <si>
    <t>天津市先达汽车工贸公司</t>
  </si>
  <si>
    <t>1993-04-15</t>
  </si>
  <si>
    <t>911201111038393279</t>
  </si>
  <si>
    <t>西青区杨柳青镇前桑园村</t>
  </si>
  <si>
    <t>汽车配件制造、加工、机械加工、五金、交电；经营本企业自产产品及技术的出口业务和本企业所需的机械设备、零配件、原辅材料及技术的进口业务；金属表面热处理。（国家限定公司经营或禁止进出口的商品及技术除外，国家有专项规定的按规定办理）</t>
  </si>
  <si>
    <t>天津市环球汽车配件有限公司</t>
  </si>
  <si>
    <t>1998-10-15</t>
  </si>
  <si>
    <t>91120111700599202A</t>
  </si>
  <si>
    <t>天津市西青区中北工业园阜盛道20号</t>
  </si>
  <si>
    <t>16</t>
  </si>
  <si>
    <t>加工: 金属冲压件、塑料件、机加工、电气焊、金属制品；制造、加工：模具；货物及技术进出口；自有厂房租赁；机电设备批发兼零售。（依法须经批准的项目，经相关部门批准后方可开展经营活动）</t>
  </si>
  <si>
    <t>3467.00万元(2023年)</t>
  </si>
  <si>
    <t>天津大创汽车零部件有限公司</t>
  </si>
  <si>
    <t>2019-01-29</t>
  </si>
  <si>
    <t>91120110MA06J6PYXU</t>
  </si>
  <si>
    <t>天津滨海高新区华苑产业区（环外）海泰华科八路6号二层E区205</t>
  </si>
  <si>
    <t>新能源汽车零部件及配件制造、销售及相关产品技术研发。（依法须经批准的项目，经相关部门批准后方可开展经营活动）</t>
  </si>
  <si>
    <t>天津海化汽车塑料制品有限公司</t>
  </si>
  <si>
    <t>2009-06-12</t>
  </si>
  <si>
    <t>91120111687748057B</t>
  </si>
  <si>
    <t>天津市西青区杨柳青镇柳口路与津静公路交口西侧盛达道6号院内1楼1号</t>
  </si>
  <si>
    <t>20</t>
  </si>
  <si>
    <t>许可项目：道路货物运输（不含危险货物）。（依法须经批准的项目，经相关部门批准后方可开展经营活动，具体经营项目以相关部门批准文件或许可证件为准）一般项目：塑料制品制造；塑料制品销售；新型建筑材料制造（不含危险化学品）；建筑用钢筋产品销售；租赁服务（不含许可类租赁服务）；新材料技术研发；消防技术服务；技术服务、技术开发、技术咨询、技术交流、技术转让、技术推广；汽车零部件及配件制造；塑料包装箱及容器制造；橡胶制品制造；模具制造；软件开发；电工仪器仪表销售；电子元器件批发；劳动保护用品销售；化工产品销售（不含许可类化工产品）；电子元器件与机电组件设备销售。（除依法须经批准的项目外，凭营业执照依法自主开展经营活动）</t>
  </si>
  <si>
    <t>天津威斯康太阳能汽车空调有限公司</t>
  </si>
  <si>
    <t>2012-03-23</t>
  </si>
  <si>
    <t>91120116592913611G</t>
  </si>
  <si>
    <t>华苑产业区（环外）海泰发展五道16号B-2号楼-1-601</t>
  </si>
  <si>
    <t>新能源技术开发、咨询、服务、转让；汽车配件、汽车用空调设备批发兼零售。（以上经营范围涉及行业许可的凭许可证件，在有效期限内经营，国家有专项专营规定的按规定办理。）</t>
  </si>
  <si>
    <t>盛永机电（天津）有限公司</t>
  </si>
  <si>
    <t>2004-06-18</t>
  </si>
  <si>
    <t>91120113761289750M</t>
  </si>
  <si>
    <t>天津市北辰科技园区宜兴埠工业园</t>
  </si>
  <si>
    <t>59</t>
  </si>
  <si>
    <t>开发、生产、销售汽车零部件、板金冲压件；加热器组装、销售；喷涂加工及相关技术咨询服务；普通货运。（依法须经批准的项目，经相关部门批准后方可开展经营活动）</t>
  </si>
  <si>
    <t>天津天汽模汽车部件有限公司</t>
  </si>
  <si>
    <t>2005-03-18</t>
  </si>
  <si>
    <t>91120113770632290A</t>
  </si>
  <si>
    <t>北辰区青光镇韩家墅村</t>
  </si>
  <si>
    <t>49</t>
  </si>
  <si>
    <t>一般项目：汽车零部件及配件制造；汽车零配件批发；专业设计服务；技术服务、技术开发、技术咨询、技术交流、技术转让、技术推广；专用设备制造（不含许可类专业设备制造）；模具制造；模具销售；金属材料制造；金属材料销售；非居住房地产租赁；机械设备租赁；普通货物仓储服务（不含危险化学品等需许可审批的项目）；劳务服务（不含劳务派遣）。（除依法须经批准的项目外，凭营业执照依法自主开展经营活动）许可项目：道路货物运输（不含危险货物）。（依法须经批准的项目，经相关部门批准后方可开展经营活动，具体经营项目以相关部门批准文件或许可证件为准）</t>
  </si>
  <si>
    <t>5327.68万元(2024年)</t>
  </si>
  <si>
    <t>天津市万华车料有限公司</t>
  </si>
  <si>
    <t>2000-03-06</t>
  </si>
  <si>
    <t>911201137182784745</t>
  </si>
  <si>
    <t>北辰区双口镇工业园区</t>
  </si>
  <si>
    <t>24</t>
  </si>
  <si>
    <t>一般项目：自行车制造；建筑装饰、水暖管道零件及其他建筑用金属制品制造；金属链条及其他金属制品制造；纸制品制造；日用杂品制造；橡胶制品制造；电镀加工；有色金属压延加工；金属表面处理及热处理加工；宠物食品及用品批发；自行车及零配件批发。（除依法须经批准的项目外，凭营业执照依法自主开展经营活动）。许可项目：货物进出口；道路货物运输（不含危险货物）；包装装潢印刷品印刷。（依法须经批准的项目，经相关部门批准后方可开展经营活动，具体经营项目以相关部门批准文件或许可证件为准）。</t>
  </si>
  <si>
    <t>天津国华塑胶有限公司</t>
  </si>
  <si>
    <t>1993-11-21</t>
  </si>
  <si>
    <t>91120105600577719E</t>
  </si>
  <si>
    <t>天津市河北区建昌道街杜鹃道166号</t>
  </si>
  <si>
    <t>有限责任公司（港澳台投资、非独资）</t>
  </si>
  <si>
    <t>100</t>
  </si>
  <si>
    <t>一般项目：塑料制品制造；非居住房地产租赁。（除依法须经批准的项目外，凭营业执照依法自主开展经营活动）（不得投资《外商投资准入负面清单》中禁止外商投资的领域）</t>
  </si>
  <si>
    <t>天津锦城汽车电装有限公司</t>
  </si>
  <si>
    <t>911201113285829134</t>
  </si>
  <si>
    <t>天津市北辰区天津北辰经济技术开发区医药医疗器械工业园京福公路东侧优谷新科园186号</t>
  </si>
  <si>
    <t>33</t>
  </si>
  <si>
    <t>汽车零部件、汽车电子产品生产、技术开发、技术咨询、技术服务、技术转让、销售；机电一体化技术研发。（依法须经批准的项目，经相关部门批准后方可开展经营活动）</t>
  </si>
  <si>
    <t>天津昆文汽车电子有限公司</t>
  </si>
  <si>
    <t>2023-01-11</t>
  </si>
  <si>
    <t>91120116MAC7PC91X4</t>
  </si>
  <si>
    <t>天津经济技术开发区微电子工业区微五路1号</t>
  </si>
  <si>
    <t>125</t>
  </si>
  <si>
    <t>许可项目：检验检测服务。（依法须经批准的项目，经相关部门批准后方可开展经营活动，具体经营项目以相关部门批准文件或许可证件为准）一般项目：汽车零部件研发；汽车零部件及配件制造；汽车零配件零售；汽车零配件批发；电子元器件制造；电子元器件批发；电子元器件零售；技术服务、技术开发、技术咨询、技术交流、技术转让、技术推广；工业设计服务；塑料制品制造；塑料制品销售；金属制品销售；金属材料销售；机械设备销售；模具制造；模具销售；货物进出口。（除依法须经批准的项目外，凭营业执照依法自主开展经营活动）</t>
  </si>
  <si>
    <t>天津市兴盛达液压配件有限公司</t>
  </si>
  <si>
    <t>1995-01-25</t>
  </si>
  <si>
    <t>91120111600750059K</t>
  </si>
  <si>
    <t>西青区中北工业园星光路3号</t>
  </si>
  <si>
    <t>汽车配件（五大总成除外）、摩托车配件、机械、塑料制品、木制品、装饰装修材料、畜牧养殖设备、臭氧设备制造、加工；节能设备、环保设备、发电设备、传动设备、供热设备研发、生产、销售；五金交电、摩托车（五大总成除外）、自行车、家用电器、文教用品、建筑材料、水暖零件、运动器械、保健用品（医疗器械除外）、清洁用品、洗浴用品、内衣、电子产品、办公用品、计算机软硬件及外围设备、通讯器材、电讯器材、电线电缆、电动工具、照相器材、音响设备、酒店设备、仪器仪表、陶瓷制品、卫生洁具、橡塑制品、化工原料及产品（危险化学品及易制毒化学品除外）、印刷机械、办公设备、日用百货、包装材料、工艺礼品（除金银）、玩具、金属材料、制冷设备、压缩机及配件批发兼零售；计算机软件研发；机电一体化设备安装；房屋租赁。（依法须经批准的项目，经相关部门批准后方可开展经营活动）</t>
  </si>
  <si>
    <t>天津澳海汽车部品有限公司</t>
  </si>
  <si>
    <t>2021-04-29</t>
  </si>
  <si>
    <t>91120000MA07B66D44</t>
  </si>
  <si>
    <t>天津经济技术开发区微电子工业区微四路19号1号楼</t>
  </si>
  <si>
    <t>7</t>
  </si>
  <si>
    <t>一般项目：汽车零部件及配件制造；汽车零部件研发。（除依法须经批准的项目外，凭营业执照依法自主开展经营活动）。（不得投资《外商投资准入负面清单》中禁止外商投资的领域）</t>
  </si>
  <si>
    <t>天津新明汽车部件有限公司</t>
  </si>
  <si>
    <t>2011-08-09</t>
  </si>
  <si>
    <t>91120110578312430P</t>
  </si>
  <si>
    <t>天津市东丽区四纬路28号1号楼307</t>
  </si>
  <si>
    <t>2</t>
  </si>
  <si>
    <t>一般项目：专用设备制造（不含许可类专业设备制造）；工业工程设计服务；机械电气设备制造；专用设备修理；通用设备制造（不含特种设备制造）；通用零部件制造；通用设备修理；密封件制造；输配电及控制设备制造；智能物料搬运装备销售；物料搬运装备销售；商业、饮食、服务专用设备销售；密封件销售；机械零件、零部件销售；智能输配电及控制设备销售；机械设备销售；货物进出口；技术进出口；机械电气设备销售；计算机软硬件及辅助设备批发。（除依法须经批准的项目外，凭营业执照依法自主开展经营活动）（不得投资《外商投资准入负面清单》中禁止外商投资的领域）</t>
  </si>
  <si>
    <t>天津市神驰汽车零部件有限公司</t>
  </si>
  <si>
    <t>2001-09-19</t>
  </si>
  <si>
    <t>9112011173037942XW</t>
  </si>
  <si>
    <t>天津市西青区中北镇津杨公路与万卉路交口西南侧天阔园公建2号楼9号</t>
  </si>
  <si>
    <t>一般项目：汽车零配件零售；汽车零配件批发；汽车零部件研发；机械设备研发；技术服务、技术开发、技术咨询、技术交流、技术转让、技术推广。（除依法须经批准的项目外，凭营业执照依法自主开展经营活动）</t>
  </si>
  <si>
    <t>天津广瑞达汽车电子有限公司</t>
  </si>
  <si>
    <t>2018-07-17</t>
  </si>
  <si>
    <t>91120111MA06DLGD9H</t>
  </si>
  <si>
    <t>天津西青学府工业区慧学道1号2号楼1门303</t>
  </si>
  <si>
    <t>一般项目：新能源汽车生产测试设备销售；技术服务、技术开发、技术咨询、技术交流、技术转让、技术推广；机械设备研发；信息咨询服务（不含许可类信息咨询服务）；汽车零配件零售；汽车零配件批发；储能技术服务；信息技术咨询服务；计量技术服务；人工智能公共数据平台；电子元器件与机电组件设备销售；标准化服务。（除依法须经批准的项目外，凭营业执照依法自主开展经营活动）</t>
  </si>
  <si>
    <t>天津东方金工表面涂层有限公司</t>
  </si>
  <si>
    <t>2007-12-26</t>
  </si>
  <si>
    <t>911201136688171763</t>
  </si>
  <si>
    <t>天津市北辰区双街镇双源科技园龙汇路10号</t>
  </si>
  <si>
    <t>一般项目：金属表面处理及热处理加工；模具制造；机床功能部件及附件制造；工业设计服务；技术服务、技术开发、技术咨询、技术交流、技术转让、技术推广；汽车零配件批发；摩托车及零配件批发。（除依法须经批准的项目外，凭营业执照依法自主开展经营活动）（不得投资《外商投资准入负面清单》中禁止外商投资的领域）</t>
  </si>
  <si>
    <t>天津杰特汽车三元催化器有限公司</t>
  </si>
  <si>
    <t>2007-08-21</t>
  </si>
  <si>
    <t>911201126661043751</t>
  </si>
  <si>
    <t>天津市西青经济技术开发区宏源道4号钲泰高科基地一号厂房-1,2-501</t>
  </si>
  <si>
    <t>46</t>
  </si>
  <si>
    <t>一般项目：汽车零部件及配件制造；贵金属冶炼；汽车零配件批发；金属切割及焊接设备制造；金属切割及焊接设备销售；模具制造；模具销售；技术服务、技术开发、技术咨询、技术交流、技术转让、技术推广。（除依法须经批准的项目外，凭营业执照依法自主开展经营活动）许可项目：技术进出口；货物进出口。（依法须经批准的项目，经相关部门批准后方可开展经营活动，具体经营项目以相关部门批准文件或许可证件为准）</t>
  </si>
  <si>
    <t>天津万德汽车部件有限公司</t>
  </si>
  <si>
    <t>2016-06-24</t>
  </si>
  <si>
    <t>91120111MA05K8EG2Q</t>
  </si>
  <si>
    <t>天津市西青区杨柳青镇工业区盛达道18号-4号</t>
  </si>
  <si>
    <t>25</t>
  </si>
  <si>
    <t>一般项目：塑料制品制造；塑料制品销售；汽车零部件及配件制造；模具制造；模具销售；橡胶制品制造；橡胶制品销售；五金产品制造；五金产品零售；工程塑料及合成树脂销售；技术服务、技术开发、技术咨询、技术交流、技术转让、技术推广；软件开发；信息咨询服务（不含许可类信息咨询服务）；农业机械制造；农业机械销售；农林牧副渔业专业机械的制造；农、林、牧、副、渔业专业机械的销售；货物进出口；技术进出口；农作物种子经营（仅限不再分装的包装种子）；农用薄膜销售。（除依法须经批准的项目外，凭营业执照依法自主开展经营活动）</t>
  </si>
  <si>
    <t>2338.20万元(2023年)</t>
  </si>
  <si>
    <t>纯德（天津）汽车部品有限公司</t>
  </si>
  <si>
    <t>2010-02-23</t>
  </si>
  <si>
    <t>91120110550374672L</t>
  </si>
  <si>
    <t>天津市东丽区开发区一经路与先锋东路交口（天津市利华化纤棉有限公司院内）</t>
  </si>
  <si>
    <t>汽车零部件加工、制造、销售；汽车零部件辅助材料、电子零部件、胶带胶膜、毛毡制品、纸制品、注塑、吸塑产品、金属制品加工、销售；化工产品（危险品及易制毒品除外）销售；经营国家法律法规允许的货物进出口业务。（涉及国家有专项专营规定的，按规定执行；涉及行业许可的，凭许可证或批准文件经营）</t>
  </si>
  <si>
    <t>奥新海（天津）汽车零部件有限公司</t>
  </si>
  <si>
    <t>2017-09-07</t>
  </si>
  <si>
    <t>91120111MA05W5TG56</t>
  </si>
  <si>
    <t>天津市西青区精武镇吴庄子裕华道3号-3</t>
  </si>
  <si>
    <t>汽车零部件冲压加工、制造、销售；汽车模具、板材设计、技术开发、制造、销售；塑料制品、保温材料、铸件制造、加工；机械加工；道路货物运输。（依法须经批准的项目，经相关部门批准后方可开展经营活动）</t>
  </si>
  <si>
    <t>天津博众汽车部件有限公司</t>
  </si>
  <si>
    <t>2017-03-20</t>
  </si>
  <si>
    <t>91120116MA05P3Y881</t>
  </si>
  <si>
    <t>天津经济技术开发区一汽-大众华北基地达功路22号</t>
  </si>
  <si>
    <t>宁河区</t>
  </si>
  <si>
    <t>6</t>
  </si>
  <si>
    <t>一般项目：普通货物仓储服务（不含危险化学品等需许可审批的项目）；装卸搬运；金属制品修理；生产线管理服务；汽车零配件零售；汽车零配件批发；物业管理；专业保洁、清洗、消毒服务；二手车经销；二手车经纪；运输设备租赁服务；劳务服务（不含劳务派遣）；物料搬运装备销售；工业设计服务；信息咨询服务（不含许可类信息咨询服务）；信息技术咨询服务；安全咨询服务；城市绿化管理；园林绿化工程施工。（除依法须经批准的项目外，凭营业执照依法自主开展经营活动）许可项目：道路旅客运输经营；道路货物运输（不含危险货物）。（依法须经批准的项目，经相关部门批准后方可开展经营活动，具体经营项目以相关部门批准文件或许可证件为准）</t>
  </si>
  <si>
    <t>天津富松汽车零部件有限公司</t>
  </si>
  <si>
    <t>2003-01-27</t>
  </si>
  <si>
    <t>91120111712860498F</t>
  </si>
  <si>
    <t>天津市西青区杨柳青镇精成路3号</t>
  </si>
  <si>
    <t>29</t>
  </si>
  <si>
    <t>汽车零部件、汽车散热器及配件、汽车装饰件、塑料制品、包装制品、铸件制品的制造、加工；机加工；电器开关设备制造及安装；电气焊加工；仓储服务（不含危险品储存）、劳务服务、货物进出口（国家法律、行政法规有规定的除外）、普通货运（凭许可证有效期限经营）。（国家有专项专营规定的按规定执行，涉及行业许可的凭许可证或批准文件经营）</t>
  </si>
  <si>
    <t>天津昊辰通达汽车检具有限公司</t>
  </si>
  <si>
    <t>2008-07-30</t>
  </si>
  <si>
    <t>91120113675992618B</t>
  </si>
  <si>
    <t>天津市北辰区天津滨海高新区北辰科技园刘安庄分园佳美道2号</t>
  </si>
  <si>
    <t>50</t>
  </si>
  <si>
    <t>一般项目：汽车零部件及配件制造；模具制造；专用设备制造（不含许可类专业设备制造）；机械零件、零部件加工；工业机器人制造；通用设备制造（不含特种设备制造）；非金属矿物材料成型机械制造；工业机器人安装、维修；普通机械设备安装服务；机械设备租赁；机械电气设备制造；机械电气设备销售；汽车零部件研发；机械零件、零部件销售；电子元器件制造；电子元器件批发；电力电子元器件制造；电力电子元器件销售；金属制品销售；金属材料销售；技术服务、技术开发、技术咨询、技术交流、技术转让、技术推广；计量技术服务；通用零部件制造；劳务服务（不含劳务派遣）；电气设备销售；机械设备销售；机械设备研发；电子、机械设备维护（不含特种设备）。（除依法须经批准的项目外，凭营业执照依法自主开展经营活动）许可项目：道路货物运输（不含危险货物）；电气安装服务。（依法须经批准的项目，经相关部门批准后方可开展经营活动，具体经营项目以相关部门批准文件或许可证件为准）</t>
  </si>
  <si>
    <t>天津市华迪汽车散热器有限公司</t>
  </si>
  <si>
    <t>2006-08-01</t>
  </si>
  <si>
    <t>91120111789380345P</t>
  </si>
  <si>
    <t>天津市西青区李七庄街天祥工业园区祥遵路1号-2（存在多址信息）</t>
  </si>
  <si>
    <t>12</t>
  </si>
  <si>
    <t>制造、销售汽车散热器及零部件、注塑件；汽车、汽车散热器技术咨询服务；模具、金属制品加工；房屋租赁。（依法须经批准的项目，经相关部门批准后方可开展经营活动）</t>
  </si>
  <si>
    <t>天津市津田汽车部件有限公司</t>
  </si>
  <si>
    <t>2003-01-20</t>
  </si>
  <si>
    <t>91120113746650050T</t>
  </si>
  <si>
    <t>天津中北工业园区</t>
  </si>
  <si>
    <t>66</t>
  </si>
  <si>
    <t>汽车配件、模具、冲压制品；塑料制品加工；；机械加工；五金电料销售；货物进出口（国家法律、行政法规有限制规定的除外）。（国家有专项专营规定的按规定执行，涉及行业许可的凭许可证或批准文件经营）</t>
  </si>
  <si>
    <t>天津聚成汽车部件有限公司</t>
  </si>
  <si>
    <t>2004-07-20</t>
  </si>
  <si>
    <t>91120111764311853W</t>
  </si>
  <si>
    <t>天津市西青区中北镇中北工业园三星路17号、19号</t>
  </si>
  <si>
    <t>81</t>
  </si>
  <si>
    <t>一般项目：汽车零部件及配件制造；汽车零配件零售；汽车零配件批发；汽车零部件研发；橡塑制品制造；塑料制品制造；模具制造；橡塑制品销售；塑料制品销售；金属材料销售；金属制品销售；钢压延加工；非居住房地产租赁。（除依法须经批准的项目外，凭营业执照依法自主开展经营活动）。许可项目：道路货物运输。（不含危险货物）（依法须经批准的项目，经相关部门批准后方可开展经营活动，具体经营项目以相关部门批准文件或许可证件为准）。</t>
  </si>
  <si>
    <t>天津大韩汽车配件有限公司</t>
  </si>
  <si>
    <t>2007-03-20</t>
  </si>
  <si>
    <t>911201137972866744</t>
  </si>
  <si>
    <t>天津市北辰区双街镇双街村东904库</t>
  </si>
  <si>
    <t>23</t>
  </si>
  <si>
    <t>开发、生产、加工、销售五金件和新型机电产品、汽车零部件及相关产品的技术咨询服务</t>
  </si>
  <si>
    <t>天津玉士汽车部件有限公司</t>
  </si>
  <si>
    <t>2012-12-26</t>
  </si>
  <si>
    <t>91120111058734808X</t>
  </si>
  <si>
    <t>天津西青学府工业区学府中路2号</t>
  </si>
  <si>
    <t>汽车部件（五大总成除外）、汽车空调、电子元件、塑料制品、针纺织品制造、加工、批发兼零售；汽车（小轿车除外）、建筑材料、五金交电批发兼零售；房屋租赁；物业服务；汽车技术开发。（依法须经批准的项目，经相关部门批准后方可开展经营活动）</t>
  </si>
  <si>
    <t>天津信诺达汽车线束有限公司</t>
  </si>
  <si>
    <t>2018-04-04</t>
  </si>
  <si>
    <t>91120111MA06B3G617</t>
  </si>
  <si>
    <t>天津市西青区张家窝镇丰泽道7号院内车间-202</t>
  </si>
  <si>
    <t>39</t>
  </si>
  <si>
    <t>汽车线束制造、技术开发、技术服务、技术转让；电子元器件制造；五金交电、计算机及配件批发兼零售。（依法须经批准的项目，经相关部门批准后方可开展经营活动）</t>
  </si>
  <si>
    <t>维智汽车电子（天津）有限公司</t>
  </si>
  <si>
    <t>2017-10-24</t>
  </si>
  <si>
    <t>91120110MA05X8DN4E</t>
  </si>
  <si>
    <t>天津市东丽区华明高新技术产业区弘程道15号-418</t>
  </si>
  <si>
    <t>一般项目：汽车装饰用品制造；技术服务、技术开发、技术咨询、技术交流、技术转让、技术推广。（除依法须经批准的项目外，凭营业执照依法自主开展经营活动）</t>
  </si>
  <si>
    <t>天津华天汽车配件有限公司</t>
  </si>
  <si>
    <t>2011-09-14</t>
  </si>
  <si>
    <t>911201115783479324</t>
  </si>
  <si>
    <t>西青经济开发区大寺工业园津兴道12号</t>
  </si>
  <si>
    <t>汽车配件（五大总成除外）、汽车及农业设备用充气减震器、电子产品、切割产品、模具零部件、金属制品、木制品、塑料制品生产、销售；五金交电、机电设备（小轿车除外）、日用百货、办公用品、建筑材料、化工产品（危险品及易制毒品除外）批发兼零售；货物及技术进出口（国家法律、法规禁止的除外）；工程机械设备维修；软件和信息技术服务业；租赁和商务服务业。（依法须经批准的项目，经相关部门批准后方可开展经营活动）</t>
  </si>
  <si>
    <t>天津市津维津城实业有限公司</t>
  </si>
  <si>
    <t>1992-05-13</t>
  </si>
  <si>
    <t>911201031033285351</t>
  </si>
  <si>
    <t>天津市河西区解放南路南头</t>
  </si>
  <si>
    <t>许可项目：食品销售。（依法须经批准的项目，经相关部门批准后方可开展经营活动，具体经营项目以相关部门批准文件或许可证件为准）一般项目：汽车零配件批发；汽车零配件零售；非居住房地产租赁；商务代理代办服务；物业管理；停车场服务；集中式快速充电站；摩托车及零配件零售；摩托车及零配件批发。（除依法须经批准的项目外，凭营业执照依法自主开展经营活动）。</t>
  </si>
  <si>
    <t>天津晨嘉汽车零部件有限公司</t>
  </si>
  <si>
    <t>2017-10-11</t>
  </si>
  <si>
    <t>91120111MA05WW0Y1T</t>
  </si>
  <si>
    <t>天津市西青经济技术开发区赛达五支路5号A3厂房</t>
  </si>
  <si>
    <t>19</t>
  </si>
  <si>
    <t>汽车零部件、电子元器件制造；橡塑制品、纸制品、发泡制品、金属制品批发兼零售；劳务服务。（依法须经批准的项目，经相关部门批准后方可开展经营活动）</t>
  </si>
  <si>
    <t>天津旭景津川汽车配件有限公司</t>
  </si>
  <si>
    <t>2007-08-02</t>
  </si>
  <si>
    <t>91120111663089245N</t>
  </si>
  <si>
    <t>天津市西青区柳口路46号</t>
  </si>
  <si>
    <t>一般项目：汽车零部件及配件制造；汽车零配件零售；模具销售；模具制造；机床功能部件及附件制造；机床功能部件及附件销售；非居住房地产租赁。（除依法须经批准的项目外，凭营业执照依法自主开展经营活动）。许可项目：货物进出口。（依法须经批准的项目，经相关部门批准后方可开展经营活动，具体经营项目以相关部门批准文件或许可证件为准）。</t>
  </si>
  <si>
    <t>天津敏驰汽车部品有限公司</t>
  </si>
  <si>
    <t>2012-07-05</t>
  </si>
  <si>
    <t>9112011159871826XH</t>
  </si>
  <si>
    <t>天津市北辰科技园区华信道8号</t>
  </si>
  <si>
    <t>18</t>
  </si>
  <si>
    <t>汽车零部件、橡塑制品、冲压制品、模具制造、加工；机械设备、化工原料（危险化学品、易制毒品除外）、五金工具、密封胶、胶粘制品批发兼零售；汽车及其零部件的技术咨询，技术服务。（以上经营范围涉及行业许可的凭许可证件，在有效期限内经营，国家有专项专营规定的按规定办理。）</t>
  </si>
  <si>
    <t>天津福赛汽车部件有限公司</t>
  </si>
  <si>
    <t>2018-01-15</t>
  </si>
  <si>
    <t>91120113MA069LPQ0N</t>
  </si>
  <si>
    <t>天津市北辰区宜兴埠镇工业园区景观路46号</t>
  </si>
  <si>
    <t>汽车零部件、模具技术开发、设计、制造、销售；塑胶产品制造、销售；机械设备制造、销售；新材料技术开发；普通货运；自有厂房租赁。（依法须经批准的项目，经相关部门批准后方可开展经营活动）</t>
  </si>
  <si>
    <t>天津市协远汽车部品有限公司</t>
  </si>
  <si>
    <t>2017-09-30</t>
  </si>
  <si>
    <t>91120111MA05WRY653</t>
  </si>
  <si>
    <t>天津市西青经济技术开发区兴华四支路12号A区</t>
  </si>
  <si>
    <t>汽车零部件制造、加工、技术开发、批发兼零售；塑料制品、橡胶制品、金属制品制造、加工、批发兼零售；注塑和冲压模具、自动化设备、机电设备、工装夹具技术开发、制造、批发兼零售；金属材料、塑料原料、五金配件批发兼零售。（依法须经批准的项目，经相关部门批准后方可开展经营活动）</t>
  </si>
  <si>
    <t>天津市赛奥美德工贸有限公司</t>
  </si>
  <si>
    <t>2005-07-15</t>
  </si>
  <si>
    <t>91120111777327635D</t>
  </si>
  <si>
    <t>西青区杨柳青镇柳堤路北段西侧</t>
  </si>
  <si>
    <t>36</t>
  </si>
  <si>
    <t>一般项目：汽车零部件及配件制造；塑料制品销售；塑料制品制造；模具制造；模具销售；建筑材料销售；五金产品零售；金属材料销售；日用百货销售；日用品销售；残疾人座车销售；残疾人座车制造；非居住房地产租赁；劳务服务（不含劳务派遣）。（除依法须经批准的项目外，凭营业执照依法自主开展经营活动）许可项目：道路货物运输（不含危险货物）。（依法须经批准的项目，经相关部门批准后方可开展经营活动，具体经营项目以相关部门批准文件或许可证件为准）</t>
  </si>
  <si>
    <t>天津汽车锻造有限公司</t>
  </si>
  <si>
    <t>1981-08-10</t>
  </si>
  <si>
    <t>911201051030705467</t>
  </si>
  <si>
    <t>天津市河北区新开河街中环福境7号3门301号</t>
  </si>
  <si>
    <t>30</t>
  </si>
  <si>
    <t>汽车配件、农机具制造、锻件加工（以上经营范围限分支机构经营）；货物及技术进出口业务。（依法须经批准的项目，经相关部门批准后方可开展经营活动）</t>
  </si>
  <si>
    <t>天津电达汽车部件有限公司</t>
  </si>
  <si>
    <t>2018-05-23</t>
  </si>
  <si>
    <t>91120111MA06C98J92</t>
  </si>
  <si>
    <t>天津市西青区张家窝镇福保路1号福保产业园（一区）2-1-705</t>
  </si>
  <si>
    <t>一般项目：汽车零部件及配件制造；汽车零配件零售；汽车零配件批发；智能车载设备制造；技术服务、技术开发、技术咨询、技术交流、技术转让、技术推广；软件开发；电机制造；电机及其控制系统研发；机械电气设备制造；电气机械设备销售；人工智能行业应用系统集成服务；人工智能应用软件开发；人工智能硬件销售；计算机软硬件及外围设备制造；计算机软硬件及辅助设备批发；物联网设备制造；物联网设备销售；电子元器件零售；电子元器件批发。（除依法须经批准的项目外，凭营业执照依法自主开展经营活动）。许可项目：技术进出口；货物进出口。（依法须经批准的项目，经相关部门批准后方可开展经营活动，具体经营项目以相关部门批准文件或许可证件为准）。</t>
  </si>
  <si>
    <t>天津市先众汽车零部件有限公司</t>
  </si>
  <si>
    <t>1998-04-01</t>
  </si>
  <si>
    <t>911201116007907473</t>
  </si>
  <si>
    <t>天津中北工业园区梁鸿路22号</t>
  </si>
  <si>
    <t>汽车零部件加工、制造；化学镀表面处理、阳极氧化表面处理；新材料、计算机软硬件开发销售、计算机网络系统集成；计算机及外围设备、通讯器材、机电一体化技术开发销售；办公用品、五交化、建材销售。（依法须经批准的项目，经相关部门批准后方可开展经营活动）</t>
  </si>
  <si>
    <t>晶安（天津）汽车零部件有限公司</t>
  </si>
  <si>
    <t>2023-07-10</t>
  </si>
  <si>
    <t>91120113MACPYFWA3J</t>
  </si>
  <si>
    <t>天津市北辰区天津北辰经济技术开发区高端园山河路与永合道交口西北侧50米</t>
  </si>
  <si>
    <t>一般项目：汽车零部件及配件制造；通用零部件制造；模具制造；金属切割及焊接设备制造；电子元器件制造；塑料制品制造；钢压延加工；机械零件、零部件加工；有色金属压延加工；木材加工；机械零件、零部件销售；金属材料销售；模具销售；金属切割及焊接设备销售；电子元器件与机电组件设备销售；木材销售；橡胶制品销售；塑料制品销售；办公用品销售；汽车零配件批发；汽车零配件零售；汽车零部件研发；新兴能源技术研发；技术服务、技术开发、技术咨询、技术交流、技术转让、技术推广；总质量4.5吨及以下普通货运车辆道路货物运输（除网络货运和危险货物）；普通货物仓储服务（不含危险化学品等需许可审批的项目）。（除依法须经批准的项目外，凭营业执照依法自主开展经营活动）许可项目：道路货物运输（不含危险货物）。（依法须经批准的项目，经相关部门批准后方可开展经营活动，具体经营项目以相关部门批准文件或许可证件为准）</t>
  </si>
  <si>
    <t>天津日马精密锻压有限公司</t>
  </si>
  <si>
    <t>2003-06-03</t>
  </si>
  <si>
    <t>9112011174912710X9</t>
  </si>
  <si>
    <t>天津市西青区中北镇中北工业园（南园）红霞路3号-19号厂房</t>
  </si>
  <si>
    <t>一般项目：汽车零部件及配件制造；通用零部件制造；建筑装饰、水暖管道零件及其他建筑用金属制品制造；金属工具制造；绘图、计算及测量仪器制造；模具制造；电子元器件制造；黑色金属铸造；机械零件、零部件加工；金属切削加工服务；专用设备修理；通用设备修理；金属材料销售；缝制机械销售；汽车零部件研发；通用设备制造（不含特种设备制造）；机械电气设备制造；电气设备修理；机械设备销售。（除依法须经批准的项目外，凭营业执照依法自主开展经营活动）许可项目：道路货物运输（不含危险货物）（不得投资《外商投资准入负面清单》中禁止外商投资的领域）。（依法须经批准的项目，经相关部门批准后方可开展经营活动，具体经营项目以相关部门批准文件或许可证件为准）</t>
  </si>
  <si>
    <t>天津市拓达车辆配件有限公司</t>
  </si>
  <si>
    <t>2014-10-22</t>
  </si>
  <si>
    <t>911201133004381358</t>
  </si>
  <si>
    <t>天津市北辰区天津北辰经济技术开发区医药医疗器械工业园腾旺道26号（天津新伟动力科技有限公司院内）</t>
  </si>
  <si>
    <t>217</t>
  </si>
  <si>
    <t>摩托车配件、电动自行车配件、电动三轮车配件、助力车配件（燃油车除外）及轮毂、电动汽车电机、电动自行车电机加工、制造、销售；从事国家法律法规允许经营的进出口业务；普通货运。（依法须经批准的项目，经相关部门批准后方可开展经营活动）</t>
  </si>
  <si>
    <t>天津鑫泓汽车零部件有限公司</t>
  </si>
  <si>
    <t>2017-11-08</t>
  </si>
  <si>
    <t>91120113MA05XMGB3A</t>
  </si>
  <si>
    <t>天津市北辰区天津北辰经济技术开发区高端园永丰道10号</t>
  </si>
  <si>
    <t>一般项目：汽车零部件及配件制造；非金属矿物制品制造；其他专用仪器制造；塑料制品制造；技术服务、技术开发、技术咨询、技术交流、技术转让、技术推广；机械设备研发；新能源汽车生产测试设备销售；电子产品销售；塑料制品销售；日用木制品销售；包装材料及制品销售；橡胶制品销售；化工产品销售（不含许可类化工产品）；五金产品批发；电子元器件批发；电线、电缆经营。（除依法须经批准的项目外，凭营业执照依法自主开展经营活动）。许可项目：道路货物运输（不含危险货物）；电线、电缆制造。（依法须经批准的项目，经相关部门批准后方可开展经营活动，具体经营项目以相关部门批准文件或许可证件为准）。</t>
  </si>
  <si>
    <t>天津小出钢管有限公司</t>
  </si>
  <si>
    <t>2007-11-29</t>
  </si>
  <si>
    <t>91120111668808149U</t>
  </si>
  <si>
    <t>天津市西青经济开发区天祥工业园祥玖路8号</t>
  </si>
  <si>
    <t>53</t>
  </si>
  <si>
    <t>一般项目：汽车零部件及配件制造；汽车零部件研发；金属切削加工服务；金属材料销售；模具销售；货物进出口；技术进出口；信息咨询服务（不含许可类信息咨询服务）。（不得投资《外商投资准入负面清单》中禁止外商投资的领域）（除依法须经批准的项目外，凭营业执照依法自主开展经营活动）</t>
  </si>
  <si>
    <t>天津众恒汽车减震器有限公司</t>
  </si>
  <si>
    <t>2012-11-16</t>
  </si>
  <si>
    <t>911201115961468353</t>
  </si>
  <si>
    <t>天津市西青区中北工业园梁鸿路10号</t>
  </si>
  <si>
    <t>38</t>
  </si>
  <si>
    <t>汽车零部件制造、加工；批发和零售业；会议及展览展示服务。（依法须经批准的项目，经相关部门批准后方可开展经营活动）</t>
  </si>
  <si>
    <t>天津爱碧克空调配件有限公司</t>
  </si>
  <si>
    <t>2007-11-01</t>
  </si>
  <si>
    <t>9112011166613630XB</t>
  </si>
  <si>
    <t>天津市西青经济开发区天祥工业园祥遵路8号</t>
  </si>
  <si>
    <t>生产、销售汽车空调配件</t>
  </si>
  <si>
    <t>天津市神州汽车零部件有限公司</t>
  </si>
  <si>
    <t>2004-01-13</t>
  </si>
  <si>
    <t>91120102758107012C</t>
  </si>
  <si>
    <t>天津市东丽经济开发区六经路12号23号楼-1-101</t>
  </si>
  <si>
    <t>一般项目：汽车零部件及配件制造；汽车零部件研发；机械设备研发；电机及其控制系统研发；模具制造；机械零件、零部件加工；汽车零配件批发；汽车零配件零售；机械零件、零部件销售；模具销售；五金产品批发；五金产品零售；非居住房地产租赁；货物进出口。（除依法须经批准的项目外，凭营业执照依法自主开展经营活动）</t>
  </si>
  <si>
    <t>天津华恒汽车部件有限公司</t>
  </si>
  <si>
    <t>2005-05-18</t>
  </si>
  <si>
    <t>91120111773619614X</t>
  </si>
  <si>
    <t>西青区中北镇中北斜村</t>
  </si>
  <si>
    <t>一般项目：模具制造；模具销售；汽车零部件研发；汽车零部件及配件制造；机械零件、零部件加工；机械零件、零部件销售；通用零部件制造；塑料制品制造；塑料包装箱及容器制造；塑料制品销售；金属制品研发；金属链条及其他金属制品制造；安全、消防用金属制品制造；有色金属合金制造；有色金属压延加工；其他电子器件制造；货物进出口。（除依法须经批准的项目外，凭营业执照依法自主开展经营活动）</t>
  </si>
  <si>
    <t>天津市精华汽车零部件制造有限公司</t>
  </si>
  <si>
    <t>2017-09-14</t>
  </si>
  <si>
    <t>91120110MA05WC0M98</t>
  </si>
  <si>
    <t>天津市东丽开发区先锋东路99号北院厂房</t>
  </si>
  <si>
    <t>22</t>
  </si>
  <si>
    <t>一般项目：汽车零部件及配件制造；金属链条及其他金属制品制造；通用零部件制造；机械零件、零部件加工；汽车零配件零售；汽车零配件批发；机械零件、零部件销售；金属制品销售；金属链条及其他金属制品销售；汽车零部件研发；技术服务、技术开发、技术咨询、技术交流、技术转让、技术推广；机械设备租赁；非居住房地产租赁。（除依法须经批准的项目外，凭营业执照依法自主开展经营活动）许可项目：道路货物运输（不含危险货物）。（依法须经批准的项目，经相关部门批准后方可开展经营活动，具体经营项目以相关部门批准文件或许可证件为准）</t>
  </si>
  <si>
    <t>天津市玺格汽车零部件制造有限公司</t>
  </si>
  <si>
    <t>2007-06-15</t>
  </si>
  <si>
    <t>91120104663059310E</t>
  </si>
  <si>
    <t>天津市河西区解放南路与湘江道交口铂津湾南苑配套18-81号底商101</t>
  </si>
  <si>
    <t>一般项目：汽车零部件及配件制造；汽车零部件再制造；高性能纤维及复合材料制造；玻璃纤维增强塑料制品制造；模具制造；汽车零部件研发；新材料技术研发；碳纤维再生利用技术研发；玻璃纤维增强塑料制品销售；玻璃纤维及制品销售；模具销售；汽车零配件批发；汽车零配件零售；货物进出口。（除依法须经批准的项目外，凭营业执照依法自主开展经营活动）。</t>
  </si>
  <si>
    <t>天津先众汽车部件有限公司</t>
  </si>
  <si>
    <t>2019-01-28</t>
  </si>
  <si>
    <t>91120113MA06J71YXH</t>
  </si>
  <si>
    <t>天津市北辰区天津北辰经济技术开发区科技园环东发展区景丽路38号</t>
  </si>
  <si>
    <t>汽车零部件、机械零部件、电子元器件、航空器座椅部件、航天器结构零部件 、舰艇船舶用显示器面板制造、加工、销售、技术开发、咨询服务；普通货运。（依法须经批准的项目，经相关部门批准后方可开展经营活动）</t>
  </si>
  <si>
    <t>天津市宝群汽车零部件有限公司</t>
  </si>
  <si>
    <t>2011-02-22</t>
  </si>
  <si>
    <t>911201115693126746</t>
  </si>
  <si>
    <t>西青区杨柳青镇柳口路南端西侧</t>
  </si>
  <si>
    <t>55</t>
  </si>
  <si>
    <t>许可项目：道路货物运输（不含危险货物）。（依法须经批准的项目，经相关部门批准后方可开展经营活动，具体经营项目以相关部门批准文件或许可证件为准）一般项目：汽车零部件及配件制造；机械零件、零部件加工；五金产品制造；金属表面处理及热处理加工；模具制造；塑料制品制造；通用设备制造（不含特种设备制造）。（除依法须经批准的项目外，凭营业执照依法自主开展经营活动）</t>
  </si>
  <si>
    <t>天津市和平汽车装具厂</t>
  </si>
  <si>
    <t>1980-03-01</t>
  </si>
  <si>
    <t>9112010110312994X8</t>
  </si>
  <si>
    <t>和平区昆明路66号</t>
  </si>
  <si>
    <t>汽车装具；商业、物资供销业。</t>
  </si>
  <si>
    <t>天津瑞格尔汽车用品有限公司</t>
  </si>
  <si>
    <t>2006-12-07</t>
  </si>
  <si>
    <t>911201137949959934</t>
  </si>
  <si>
    <t>北辰区宜兴埠津围公路（壳牌加油站东）</t>
  </si>
  <si>
    <t>有限责任公司（港澳台自然人独资）</t>
  </si>
  <si>
    <t>13</t>
  </si>
  <si>
    <t>汽车椅套、车内装饰品、箱包、服装、纺织品制造、加工；从事国家法律、法规允许经营的进出口业务。（国家有专营、专项规定的按专营、专项规定办理）</t>
  </si>
  <si>
    <t>天津盛洋汽车部件厂</t>
  </si>
  <si>
    <t>1994-05-04</t>
  </si>
  <si>
    <t>911201136005820329</t>
  </si>
  <si>
    <t>天津市北辰区青光镇津霸公路北（与外环线交口）</t>
  </si>
  <si>
    <t>股份合作制</t>
  </si>
  <si>
    <t>生产和销售各类汽车用门锁总成、锁芯总成、车身附件、汽车电器件及相关产品的开发和售后服务；从事国家法律法规允许经营的进出口业务。（以上经营范围涉及行业许可的凭许可证件，在有效期限内经营，国家有专项专营规定的按规定办理）</t>
  </si>
  <si>
    <t>天津市全兴汽车装饰工贸公司</t>
  </si>
  <si>
    <t>1993-05-27</t>
  </si>
  <si>
    <t>91120104103453416G</t>
  </si>
  <si>
    <t>南开区长江道67号</t>
  </si>
  <si>
    <t>汽车装具制造；日用杂品、汽车配件、百货、五金、交电、化工（剧毒品、化学危险品、易制毒品除外）、自有房屋租赁。（国家有专营专项规定的按专营专项规定办理）</t>
  </si>
  <si>
    <t>天津市荣昌汽车灯具有限公司</t>
  </si>
  <si>
    <t>2005-09-21</t>
  </si>
  <si>
    <t>911201117803056053</t>
  </si>
  <si>
    <t>天津市西青区杨柳青镇柳口路与津静公路交口勤成路6号-1</t>
  </si>
  <si>
    <t>一般项目：汽车零部件及配件制造；塑料制品制造；有色金属合金制造；货物进出口。（除依法须经批准的项目外，凭营业执照依法自主开展经营活动）许可项目：道路货物运输（不含危险货物）。（依法须经批准的项目，经相关部门批准后方可开展经营活动，具体经营项目以相关部门批准文件或许可证件为准）</t>
  </si>
  <si>
    <t>天津三国牧野机械有限公司</t>
  </si>
  <si>
    <t>2003-10-22</t>
  </si>
  <si>
    <t>91120111754804064C</t>
  </si>
  <si>
    <t>天津市西青经济开发区天直工业园8号</t>
  </si>
  <si>
    <t>制造、销售汽车、摩托车化油器、电子燃油喷射系统、精冲模、精密型腔模、模具标准件；饮料及食品灌装设备；福祉机械及机加工机械零部件，并提供相关的售后服务</t>
  </si>
  <si>
    <t>天津市赛奥德汽车零部件有限公司</t>
  </si>
  <si>
    <t>2003-09-16</t>
  </si>
  <si>
    <t>91120111752243080X</t>
  </si>
  <si>
    <t>天津市西青区中北镇京福公路578号B区2号</t>
  </si>
  <si>
    <t>40</t>
  </si>
  <si>
    <t>一般项目：汽车零部件及配件制造；机械设备租赁；劳务服务（不含劳务派遣）；橡胶制品制造；塑料制品制造；模具制造；机械零件、零部件加工；气压动力机械及元件销售；金属加工机械制造；钢压延加工；金属工具制造；金属表面处理及热处理加工；金属材料销售；建筑材料销售；化工产品销售（不含许可类化工产品）；玻璃纤维增强塑料制品制造；塑料制品销售；非居住房地产租赁。（除依法须经批准的项目外，凭营业执照依法自主开展经营活动）</t>
  </si>
  <si>
    <t>德曼（天津）精密零件有限公司</t>
  </si>
  <si>
    <t>2005-03-08</t>
  </si>
  <si>
    <t>911201137706099206</t>
  </si>
  <si>
    <t>天津市北辰区天津北辰经济技术开发区科技园景明路10号</t>
  </si>
  <si>
    <t>26</t>
  </si>
  <si>
    <t>开发、生产、销售园林机械及其配件、弹性元件、各类精密模具、夹具、冲压件、弹簧、塑料制品；热处理加工及提供相关的技术咨询服务。（国家有专营、专项规定的按专营、专项规定办理）</t>
  </si>
  <si>
    <t>天津伍幸化成汽车配件有限公司</t>
  </si>
  <si>
    <t>2008-06-19</t>
  </si>
  <si>
    <t>911201116737480723</t>
  </si>
  <si>
    <t>天津市西青区西营门街津静公路6号王顶堤商贸城A1座2层GYF77号</t>
  </si>
  <si>
    <t>一般项目：金属制品销售；汽车零配件批发；塑料制品销售；日用品销售；企业管理咨询；信息咨询服务（不含许可类信息咨询服务）；技术服务、技术开发、技术咨询、技术交流、技术转让、技术推广；货物进出口。（除依法须经批准的项目外，凭营业执照依法自主开展经营活动）</t>
  </si>
  <si>
    <t>天津精丰机械有限公司</t>
  </si>
  <si>
    <t>2009-04-09</t>
  </si>
  <si>
    <t>91120113684745512Q</t>
  </si>
  <si>
    <t>天津市北辰区双街镇双江道南龙淮路1号</t>
  </si>
  <si>
    <t>生产和销售汽车零部件、电子零部件、内饰件、冲压件、数控机床、弯管机、裁管机、油压机械、空压机械、工作母机；与自产产品及同类商品的进出口、零售（以上商品进出口不涉及国营贸易、进出口配额许可证、出口配额招标、出口许可证等商品，其他专项规定管理的商品按国家有关规定办理）；自有房屋租赁。（依法须经批准的项目，经相关部门批准后方可开展经营活动）</t>
  </si>
  <si>
    <t>天津英联汽车饰件有限公司</t>
  </si>
  <si>
    <t>2023-03-06</t>
  </si>
  <si>
    <t>91120110MACCYMK96B</t>
  </si>
  <si>
    <t>天津市东丽经济技术开发区二纬路22号7-4179（存在多址信息）</t>
  </si>
  <si>
    <t>144</t>
  </si>
  <si>
    <t>一般项目：模具制造；模具销售；塑料制品制造；橡胶制品销售；工程塑料及合成树脂销售；电子、机械设备维护（不含特种设备）；货物进出口；技术进出口。（除依法须经批准的项目外，凭营业执照依法自主开展经营活动）</t>
  </si>
  <si>
    <t>天津聚宸源汽车部件有限公司</t>
  </si>
  <si>
    <t>2016-05-13</t>
  </si>
  <si>
    <t>91120113MA05JRFT1M</t>
  </si>
  <si>
    <t>天津市北辰区天津北辰经济技术开发区高端装备制造产业园兴河路10号</t>
  </si>
  <si>
    <t>一般项目：汽车零部件及配件制造；金属切削加工服务；有色金属合金销售；建筑材料销售；化工产品销售（不含许可类化工产品）；塑料制品销售；橡胶制品销售；木材销售；机械设备销售；电子产品销售；非居住房地产租赁。（除依法须经批准的项目外，凭营业执照依法自主开展经营活动）。许可项目：货物进出口。（依法须经批准的项目，经相关部门批准后方可开展经营活动，具体经营项目以相关部门批准文件或许可证件为准）。</t>
  </si>
  <si>
    <t>天津隽益汽车零部件有限公司</t>
  </si>
  <si>
    <t>2014-01-13</t>
  </si>
  <si>
    <t>91120222086592309C</t>
  </si>
  <si>
    <t>天津市北辰区小淀镇温家房子工业区温东五支路8号</t>
  </si>
  <si>
    <t>15</t>
  </si>
  <si>
    <t>一般项目：汽车零部件及配件制造；汽车零部件研发；汽车零配件批发；汽车零配件零售；塑料制品制造；塑料制品销售；汽车装饰用品制造；汽车装饰用品销售；塑料加工专用设备销售；塑料加工专用设备制造；专用设备制造（不含许可类专业设备制造）；模具制造；模具销售；增材制造装备制造；增材制造装备销售；电子、机械设备维护（不含特种设备）；通用设备修理；专用设备修理；金属制品修理；橡胶制品销售；专用化学产品销售（不含危险化学品）。（除依法须经批准的项目外，凭营业执照依法自主开展经营活动）</t>
  </si>
  <si>
    <t>金达智机（天津）汽车部件有限公司</t>
  </si>
  <si>
    <t>2014-12-11</t>
  </si>
  <si>
    <t>911201133005636738</t>
  </si>
  <si>
    <t>天津市武清区陈咀镇京福公路806号</t>
  </si>
  <si>
    <t>汽车部件、金属结构件、金属门窗、机械设备制造、加工、销售、维修；汽车部件技术咨询；模具开发、制造、销售、维修。（依法须经批准的项目，经相关部门批准后方可开展经营活动）</t>
  </si>
  <si>
    <t>天津燕天新源汽车配件制造有限公司</t>
  </si>
  <si>
    <t>2018-01-23</t>
  </si>
  <si>
    <t>91120111MA069T5W4F</t>
  </si>
  <si>
    <t>天津市西青区李七庄街天祥工业区祥遵路7号-8</t>
  </si>
  <si>
    <t>一般项目：汽车零部件再制造；汽车零部件及配件制造；机械零件、零部件加工；机械零件、零部件销售；非居住房地产租赁；土地使用权租赁；机械设备租赁；物业管理。（除依法须经批准的项目外，凭营业执照依法自主开展经营活动）</t>
  </si>
  <si>
    <t>天津市津泊轴瓦有限公司</t>
  </si>
  <si>
    <t>2001-08-01</t>
  </si>
  <si>
    <t>91120111730354687N</t>
  </si>
  <si>
    <t>西青区杨柳青镇柳口路与津静公路交口西侧</t>
  </si>
  <si>
    <t>制造、加工：内燃机轴瓦、汽车配件（五大总成除外）；机加工；汽车配件、有色金属材料、金属制品、办公用品、电子产品、润滑油脂批发兼零售。（依法须经批准的项目，经相关部门批准后方可开展经营活动）</t>
  </si>
  <si>
    <t>天津市福业金属管路制品有限公司</t>
  </si>
  <si>
    <t>1997-09-17</t>
  </si>
  <si>
    <t>911201136007728803</t>
  </si>
  <si>
    <t>北辰区霍庄子镇赵庄子村西</t>
  </si>
  <si>
    <t>汽车管路、制动管、液压管路制造，PVF涂层管加工、冲压件加工。（国家有专营、专项规定的按专营、专项规定办理）</t>
  </si>
  <si>
    <t>天津柏顺汽车零部件有限公司</t>
  </si>
  <si>
    <t>2013-10-28</t>
  </si>
  <si>
    <t>911201100796342678</t>
  </si>
  <si>
    <t>天津市东丽经济开发区一纬路11号四合财富广场A座1001</t>
  </si>
  <si>
    <t>汽车零部件、模具、电子材料、机械配件、注塑、塑料材料、家用电器零部件制造、加工、销售；汽车及汽车配件技术开发、咨询、服务；从事国家法律法规允许经营的进出口业务。（依法须经批准的项目，经相关部门批准后方可开展经营活动）</t>
  </si>
  <si>
    <t>天津谊发伟业汽车部件有限责任公司</t>
  </si>
  <si>
    <t>2006-12-06</t>
  </si>
  <si>
    <t>91120111794987811R</t>
  </si>
  <si>
    <t>西青区中北工业园星光路11号</t>
  </si>
  <si>
    <t>汽车零部件、汽车装具、塑料制品、模具、金属焊网、机械设备制造、加工；冲压件加工、机加工；金属表面处理；仓储服务；房屋租赁；场地租赁。（依法须经批准的项目，经相关部门批准后方可开展经营活动）</t>
  </si>
  <si>
    <t>天津市学斌金属制品加工有限公司</t>
  </si>
  <si>
    <t>2010-08-30</t>
  </si>
  <si>
    <t>91120113559483971Q</t>
  </si>
  <si>
    <t>天津市北辰区小淀镇津围公路东侧小淀村工业区3号路31号</t>
  </si>
  <si>
    <t>一般项目：金属链条及其他金属制品制造；货物进出口；金属制品研发；金属链条及其他金属制品销售；机械零件、零部件加工；机械零件、零部件销售；汽车零配件批发；金属结构制造；模具制造；冶金专用设备制造；通用设备制造（不含特种设备制造）；机床功能部件及附件制造；金属切削机床制造；塑料制品制造；塑料加工专用设备制造；模具销售；专用设备制造（不含许可类专业设备制造）；进出口代理；化工产品销售（不含许可类化工产品）。（除依法须经批准的项目外，凭营业执照依法自主开展经营活动）许可项目：海关监管货物仓储服务（不含危险化学品、危险货物）。（依法须经批准的项目，经相关部门批准后方可开展经营活动，具体经营项目以相关部门批准文件或许可证件为准）</t>
  </si>
  <si>
    <t>天津恒瑞通达汽车部品有限公司</t>
  </si>
  <si>
    <t>2016-01-18</t>
  </si>
  <si>
    <t>91120113MA07D55427</t>
  </si>
  <si>
    <t>天津市北辰区北辰科技园区景明路1号（中津佳成汽车地毯公司院内）</t>
  </si>
  <si>
    <t>汽车零部件.汽车配件、汽车地毯制造、销售；新材料（医用材料除外）的技术开发、转让、咨询服务；从事国家法律法规允许经营的进出口业务。（依法须经批准的项目，经相关部门批准后方可开展经营活动）</t>
  </si>
  <si>
    <t>紫祥（天津）汽车零部件有限公司</t>
  </si>
  <si>
    <t>2022-07-07</t>
  </si>
  <si>
    <t>91120112MABT53LN03</t>
  </si>
  <si>
    <t>天津市津南区长青科工贸园区上海街18号C区3E0535</t>
  </si>
  <si>
    <t>一般项目：汽车零部件及配件制造；汽车零配件零售；电力电子元器件销售；喷涂加工；电子元器件批发；汽车零配件批发；电子元器件制造；塑料制品销售；塑料制品制造；技术服务、技术开发、技术咨询、技术交流、技术转让、技术推广；信息技术咨询服务。（除依法须经批准的项目外，凭营业执照依法自主开展经营活动）</t>
  </si>
  <si>
    <t>天津市巨马工贸有限公司</t>
  </si>
  <si>
    <t>2000-04-18</t>
  </si>
  <si>
    <t>91120102722950040N</t>
  </si>
  <si>
    <t>河东区八纬北路40号</t>
  </si>
  <si>
    <t>加工、制造：汽车配件、摩托车配件、工艺品、净洗液；批发兼零售：钢材、五金、交电、化工（易燃易爆易制毒品除外）、油脂、建筑材料、装饰装修材料、塑料橡胶制品、针棉纺织品、日用杂品、百货、服装、纺织机械配件；货物及技术进出口业务。（以上经营范围涉及行业许可的凭许可证件，在有效期限内经营，国家有专项专营规定的按规定办理）</t>
  </si>
  <si>
    <t>天津市精志诚拉线厂</t>
  </si>
  <si>
    <t>2003-05-12</t>
  </si>
  <si>
    <t>91120112749121584X</t>
  </si>
  <si>
    <t>天津双港工业区丽港园12号</t>
  </si>
  <si>
    <t>一般项目：金属丝绳及其制品制造；汽车零部件及配件制造；塑料制品销售；橡胶制品销售；交通设施维修；技术服务、技术开发、技术咨询、技术交流、技术转让、技术推广；信息咨询服务（不含许可类信息咨询服务）。（除依法须经批准的项目外，凭营业执照依法自主开展经营活动）。</t>
  </si>
  <si>
    <t>天津市新天耐力汽车配件有限公司</t>
  </si>
  <si>
    <t>2011-02-18</t>
  </si>
  <si>
    <t>91120112569314370M</t>
  </si>
  <si>
    <t>津南区（双港）长青科工贸园区重庆街27号</t>
  </si>
  <si>
    <t>汽车零部件、橡塑制品制造、加工、销售；自营产品及技术的进出口业务（以上经营范围涉及行业许可的凭许可证件，在有效期限内经营，国家有专营专项规定的按规定办理）。</t>
  </si>
  <si>
    <t>天津津福汽车塑料件有限公司</t>
  </si>
  <si>
    <t>911201056005777279</t>
  </si>
  <si>
    <t>天津市河北区建昌道街杜鹃道168号</t>
  </si>
  <si>
    <t>潍柴雷沃智慧农业科技股份有限公司天津分公司</t>
  </si>
  <si>
    <t>2011-08-23</t>
  </si>
  <si>
    <t>91120113581319799F</t>
  </si>
  <si>
    <t>北辰科技园区高新大道77号</t>
  </si>
  <si>
    <t>股份有限公司分公司（非上市）</t>
  </si>
  <si>
    <t>汽车零配件、摩托车零配件及工程机械（经特种设备安全监察部门许可后经营）、农用机械、电动自行车制造；汽车、摩托车零配件及工程机械、农用机械、农用车、电动自行车、摩托车技术开发、转让、咨询服务、销售；从事国家法律法规允许经营的进出口业务；自有工程机械维修、租赁。（以上经营范围涉及行业许可的凭许可证件，在有效期限内经营，国家有专项专营规定的按规定办理）</t>
  </si>
  <si>
    <t>天津君展汽车厢体有限公司</t>
  </si>
  <si>
    <t>2012-05-14</t>
  </si>
  <si>
    <t>91120113596115537N</t>
  </si>
  <si>
    <t>北辰区宜兴埠镇津围公路东侧华盛道41号</t>
  </si>
  <si>
    <t>14</t>
  </si>
  <si>
    <t>汽车厢体加工；钢材、炉料、有色金属、机电设备、化工产品（危险化学品、易制毒品除外）批发兼零售。（以上经营范围涉及行业许可的凭许可证件，在有效期限内经营，国家有专项专营规定的按规定办理。）</t>
  </si>
  <si>
    <t>天津昌金机电设备有限公司</t>
  </si>
  <si>
    <t>2004-01-18</t>
  </si>
  <si>
    <t>91120113758101948P</t>
  </si>
  <si>
    <t>天津市北辰区天穆镇铁东路淮河一支路7号</t>
  </si>
  <si>
    <t>一般项目：汽车零部件及配件制造；机械设备研发；模具制造；专用设备制造（不含许可类专业设备制造）。（除依法须经批准的项目外，凭营业执照依法自主开展经营活动）（不得投资《外商投资准入负面清单》中禁止外商投资的领域）</t>
  </si>
  <si>
    <t>天津市木星滤清器有限公司</t>
  </si>
  <si>
    <t>2003-03-07</t>
  </si>
  <si>
    <t>911201137466749091</t>
  </si>
  <si>
    <t>北辰区宜兴埠红旗路北9号</t>
  </si>
  <si>
    <t>汽车零部件制造、电气焊、冲压件加工、机械加工、滤清器、机械设备、仪器仪表及配件零售兼批发。（国家有专营、专项规定的按专营、专项规定 办理）</t>
  </si>
  <si>
    <t>天津市盛润达汽车配件有限公司</t>
  </si>
  <si>
    <t>2014-11-06</t>
  </si>
  <si>
    <t>91120113300516607C</t>
  </si>
  <si>
    <t>天津市北辰区宜兴埠镇辰宜科技园淮河道10号</t>
  </si>
  <si>
    <t>一般项目：汽车零部件及配件制造；汽车零配件批发；汽车零配件零售；汽车零部件研发；技术服务、技术开发、技术咨询、技术交流、技术转让、技术推广；金属材料制造；金属制品销售；模具制造；模具销售；金属结构销售；机械零件、零部件加工；非居住房地产租赁。（除依法须经批准的项目外，凭营业执照依法自主开展经营活动）</t>
  </si>
  <si>
    <t>天津市港田综合福利厂</t>
  </si>
  <si>
    <t>1990-04-02</t>
  </si>
  <si>
    <t>91120112103855095A</t>
  </si>
  <si>
    <t>天津市津南区双港镇海河湾村</t>
  </si>
  <si>
    <t>机加工，金属模具及摩托车、汽车生产设备制造，手动工具车制造、农田车制造，铁艺制品制造、加工；体育器材制造；纸制品加工（不含印刷）。（国家有专营专项规定的按专营专项规定办理）</t>
  </si>
  <si>
    <t>天津鑫淼盛源汽车部品有限公司</t>
  </si>
  <si>
    <t>2009-06-23</t>
  </si>
  <si>
    <t>911201116906557755</t>
  </si>
  <si>
    <t>天津中北工业园区辰星路20号</t>
  </si>
  <si>
    <t>一般项目：汽车零部件及配件制造；汽车零配件批发；汽车零配件零售；汽车零部件研发；金属加工机械制造；模具制造；机床功能部件及附件制造；五金产品研发；工业机器人制造；五金产品制造；工业设计服务；机械零件、零部件加工；劳务服务（不含劳务派遣）；专业保洁、清洗、消毒服务。（除依法须经批准的项目外，凭营业执照依法自主开展经营活动）。许可项目：道路货物运输（不含危险货物）。（依法须经批准的项目，经相关部门批准后方可开展经营活动，具体经营项目以相关部门批准文件或许可证件为准）。</t>
  </si>
  <si>
    <t>天津市恩泰克汽车内饰有限公司</t>
  </si>
  <si>
    <t>2012-02-24</t>
  </si>
  <si>
    <t>91120111589776433D</t>
  </si>
  <si>
    <t>天津市西青区杨柳青镇柳叶岛路1号院内左侧增二号库</t>
  </si>
  <si>
    <t>一般项目：汽车装饰用品制造；汽车装饰用品销售；箱包制造；箱包销售；电子元器件制造；电子元器件批发；合成材料制造（不含危险化学品）；合成材料销售；塑料制品制造；塑料制品销售；货物进出口。（除依法须经批准的项目外，凭营业执照依法自主开展经营活动）</t>
  </si>
  <si>
    <t>天津赛翔汽车装饰用品有限公司</t>
  </si>
  <si>
    <t>2007-12-28</t>
  </si>
  <si>
    <t>911201116688394550</t>
  </si>
  <si>
    <t>天津市西青区中北镇紫阳道1号黄河道不锈钢城71号二楼</t>
  </si>
  <si>
    <t>汽车装饰用品、汽车座椅及座套、汽车配件、电子元器件的制造；建筑工程装饰；日用百货、办公用品、服装、鞋帽、箱包、塑料制品、五金交电、金属材料、建筑材料、化工产品（危险品及易制毒品除外）批发兼零售。（国家有专项专营规定的按规定执行涉及行业许可的凭许可证或批准文件经营）</t>
  </si>
  <si>
    <t>天津市隆晟车厢有限公司</t>
  </si>
  <si>
    <t>2005-09-28</t>
  </si>
  <si>
    <t>911201117803096731</t>
  </si>
  <si>
    <t>西青区张家窝工业区</t>
  </si>
  <si>
    <t>2022年报</t>
  </si>
  <si>
    <t>车厢及车厢配件、集装箱制造、加工；钢压延加工；金属材料批发兼零售；汽车销售（不含小轿车）。（国家有专项、专营规定的按规定执行，涉及行业许可的凭许可证或批准文件经营）</t>
  </si>
  <si>
    <t>天津捷通汽车部件有限公司</t>
  </si>
  <si>
    <t>2016-11-11</t>
  </si>
  <si>
    <t>91120111MA05LHQG90</t>
  </si>
  <si>
    <t>天津市西青区大寺镇王村药王庙商业街5号楼5-15室</t>
  </si>
  <si>
    <t>汽车配件、金属制品、橡胶制品、精密机械部件制造；机械加工；机械设备维修；五金机电；装饰材料批发兼零售。（依法须经批准的项目，经相关部门批准后方可开展经营活动）</t>
  </si>
  <si>
    <t>天津日科功能材料有限公司</t>
  </si>
  <si>
    <t>2007-08-07</t>
  </si>
  <si>
    <t>9112011166308855XU</t>
  </si>
  <si>
    <t>天津市西青经济开发区天祥工业园祥瑞路1号</t>
  </si>
  <si>
    <t>生产、加工、销售汽车空调零部件、干燥剂、包装材料（不含印刷）以及干燥剂、包装材料的进出口及批发、零售业务（上述涉及配额许可证管理、专项规定管理的商品按照国家有关规定办理）；贸易经纪与代理。（依法须经批准的项目，经审批后方可开展经营活动）</t>
  </si>
  <si>
    <t>天津海信智行汽车电子有限公司</t>
  </si>
  <si>
    <t>2023-10-31</t>
  </si>
  <si>
    <t>91120111MAD3E9CY9D</t>
  </si>
  <si>
    <t>天津市西青经济技术开发区赛达二大道8号-2</t>
  </si>
  <si>
    <t>一般项目：汽车零部件及配件制造；智能车载设备制造；智能车载设备销售；导航终端制造；导航终端销售；电子产品销售；软件开发；通信设备制造；仪器仪表制造；信息系统集成服务；技术服务、技术开发、技术咨询、技术交流、技术转让、技术推广。（除依法须经批准的项目外，凭营业执照依法自主开展经营活动）</t>
  </si>
  <si>
    <t>天津市华辰嘉业汽车零部件有限公司</t>
  </si>
  <si>
    <t>2013-10-10</t>
  </si>
  <si>
    <t>911201130796152189</t>
  </si>
  <si>
    <t>天津市北辰区北仓道北侧铁四局东侧</t>
  </si>
  <si>
    <t>储油杯、转向助力油罐、地毯压条、冲压件、铸造件、五金件、汽车内、外饰件制造、销售。（以上经营范围涉及行业许可的凭许可证件，在有效期限内经营，国家有专项专营规定的按规定办理。）</t>
  </si>
  <si>
    <t>天津自强集团有限公司</t>
  </si>
  <si>
    <t>1997-01-23</t>
  </si>
  <si>
    <t>91120000MA0671484X</t>
  </si>
  <si>
    <t>北辰区韩家墅村西</t>
  </si>
  <si>
    <t>汽车配件、汽车装具、汽车驾驶室制造；金属材料、冲压件、五金、交电、化工（化学危险品及易制毒品除外）、建筑材料、机电产品、装饰材料的批发、零售；经营本企业自产产品及技术的出口业务；经营本企业生产所需的原辅材料、仪器仪表、机械设备、零配件及技术的进口业务（国家限定公司经营和国家禁止进出口的商品及技术除外）；经营进料加工和“三来一补”业务；铸造；模具制造、加工（以上范围内国家有专营专项规定的按规定办理）。</t>
  </si>
  <si>
    <t>天津华松电动汽车配件制造有限公司</t>
  </si>
  <si>
    <t>注销（2025-08-13）</t>
  </si>
  <si>
    <t>2012-08-30</t>
  </si>
  <si>
    <t>91120110MA0617613G</t>
  </si>
  <si>
    <t>天津市东丽区万新街道增兴窑油库旁</t>
  </si>
  <si>
    <t>电动汽车配件、充电设备制造、安装、维修、研发及相关技术咨询服务；自行车、电动车及配件、冲压件制造、加工、销售、研发及相关技术咨询服务；注塑加工。（依法须经批准的项目，经相关部门批准后方可开展经营活动）</t>
  </si>
  <si>
    <t>天津凯达汽车部品有限公司</t>
  </si>
  <si>
    <t>2022-07-12</t>
  </si>
  <si>
    <t>91120111MABTTY5M6N</t>
  </si>
  <si>
    <t>天津市西青区中北镇中北工业园汪庄东兴路3号-1</t>
  </si>
  <si>
    <t>一般项目：汽车零配件零售；汽车零配件批发；信息咨询服务（不含许可类信息咨询服务）；机械零件、零部件销售；塑料制品销售；金属制品销售；橡胶制品销售。（除依法须经批准的项目外，凭营业执照依法自主开展经营活动）</t>
  </si>
  <si>
    <t>天津正泽汽车部件有限公司</t>
  </si>
  <si>
    <t>2001-11-12</t>
  </si>
  <si>
    <t>9112011073280301XE</t>
  </si>
  <si>
    <t>天津市东丽区跃进路南何庄南侧</t>
  </si>
  <si>
    <t>汽车滤清器、汽车发动机消声器、机电产品配件、汽车及摩托车配件、模具制造、机加工、注塑；机电产品（小轿车除外）技术开发、转让、咨询（不含中介）；黑色金属材料批发兼零售；房屋租赁；仓储（化学危险品及易制毒品除外）。（依法须经批准的项目，经相关部门批准后方可开展经营活动）</t>
  </si>
  <si>
    <t>天津未来汽车部品有限公司</t>
  </si>
  <si>
    <t>2006-07-20</t>
  </si>
  <si>
    <t>91120113789388750N</t>
  </si>
  <si>
    <t>天津市北辰区小淀镇景通路东钰薪石油22号</t>
  </si>
  <si>
    <t>222</t>
  </si>
  <si>
    <t>一般项目：汽车零部件及配件制造；模具制造；模具销售；机械设备销售；金属材料销售；汽车零配件零售；专业设计服务；劳务服务（不含劳务派遣）；五金产品零售；五金产品批发；五金产品制造；机械零件、零部件加工；机械零件、零部件销售；紧固件销售；紧固件制造；弹簧销售；密封件销售。（除依法须经批准的项目外，凭营业执照依法自主开展经营活动）</t>
  </si>
  <si>
    <t>汉科（天津）汽车部品有限公司</t>
  </si>
  <si>
    <t>2010-04-20</t>
  </si>
  <si>
    <t>91120111553419151C</t>
  </si>
  <si>
    <t>西青区丰泽道18号（张家窝镇）</t>
  </si>
  <si>
    <t>汽车内外饰件、零部件加工、销售；塑料制品加工、制造、销售；隔音材料、隔热材料、环保材料研发、设计、制造、销售；普通货运。（依法须经批准的项目，经相关部门批准后方可开展经营活动）</t>
  </si>
  <si>
    <t>天津乌雅汗汽车设备制造有限公司</t>
  </si>
  <si>
    <t>2010-11-16</t>
  </si>
  <si>
    <t>91120113562694454E</t>
  </si>
  <si>
    <t>天津市西青区杨柳青镇营建路46号旭景集团院内1号厂房</t>
  </si>
  <si>
    <t>8</t>
  </si>
  <si>
    <t>一般项目：汽车零部件及配件制造；汽车零配件零售；汽车零部件研发；通用设备制造（不含特种设备制造）；通用设备修理；普通机械设备安装服务；技术服务、技术开发、技术咨询、技术交流、技术转让、技术推广（人体干细胞技术开发和应用除外；人体基因诊断与治疗技术开发和应用除外）；汽车服务；信息咨询服务（不含许可类信息咨询服务）；机械电气设备制造；采购代理服务；。（除依法须经批准的项目外,凭营业执照依法自主开展经营活动）（不含外商投资准入特别管理措施内容）；许可项目：货物进出口。（依法须经批准的项目,经相关部门批准后方可开展经营活动，具体经营项目以相关部门批准文件或许可证为准）</t>
  </si>
  <si>
    <t>天津市加多伦汽车配件有限公司</t>
  </si>
  <si>
    <t>2000-05-23</t>
  </si>
  <si>
    <t>91120111722975117K</t>
  </si>
  <si>
    <t>西青经济开发区兴华二支路七号</t>
  </si>
  <si>
    <t>紧固件、汽车配件、电子元器件、模具、电器控制柜、塑料件、机床配件制造；热处理、机加工；金属材料批发及相关咨询服务；自有房屋租赁；装卸搬倒服务；仓储服务（危险品除外）；物业服务。（依法须经批准的项目，经相关部门批准后方可开展经营活动）</t>
  </si>
  <si>
    <t>天津市耐恩特汽车零部件有限公司</t>
  </si>
  <si>
    <t>2013-11-14</t>
  </si>
  <si>
    <t>91120111083016349W</t>
  </si>
  <si>
    <t>天津市北辰区小淀镇刘安庄工业园佳业路26号</t>
  </si>
  <si>
    <t>汽车零部件、摩托车零部件加工、生产、制造；机加工；金属制品、橡胶制品、化工原料（危险品及易制毒品除外）、五金交电、日用杂品批发兼零售；货物或技术进出口（国家禁止或涉及行政审批的货物和技术进出口除外）。（依法须经批准的项目，经相关部门批准后方可开展经营活动）</t>
  </si>
  <si>
    <t>天津戎信汽车检具有限公司</t>
  </si>
  <si>
    <t>2014-10-28</t>
  </si>
  <si>
    <t>91120113300598200C</t>
  </si>
  <si>
    <t>天津市北辰区青光镇韩家墅工业区韩顺道3号</t>
  </si>
  <si>
    <t>汽车检具、模具制造、销售及其技术开发；机械设备、电子产品制造、销售；仪器仪表、五金交电、办公用品、劳保用品销售。（依法须经批准的项目，经相关部门批准后方可开展经营活动）</t>
  </si>
  <si>
    <t>天津众鑫汽车零部件有限责任公司</t>
  </si>
  <si>
    <t>2022-03-15</t>
  </si>
  <si>
    <t>91120116MA7K1HFY3D</t>
  </si>
  <si>
    <t>天津经济技术开发区微电子工业区微四路5号2号楼305室</t>
  </si>
  <si>
    <t>天津瑞海工贸有限公司</t>
  </si>
  <si>
    <t>2006-02-13</t>
  </si>
  <si>
    <t>91120112783325812N</t>
  </si>
  <si>
    <t>天津市津南区津南经济开发区（西区）赤龙街13号</t>
  </si>
  <si>
    <t>汽车零部件的制造、销售；汽车（不含小轿车）、机械设备、建筑材料、钢材、五金、交电的批发兼零售；仓储（危险品除外）；自有房屋租赁。（国家有专营专项规定的按专营专项规定办理）</t>
  </si>
  <si>
    <t>天津市日竹压铸材料有限公司</t>
  </si>
  <si>
    <t>2010-07-14</t>
  </si>
  <si>
    <t>91120113556546287B</t>
  </si>
  <si>
    <t>北辰区北仓镇北仓村迎宾道南</t>
  </si>
  <si>
    <t>压铸材料、无纺纸、五金制品制造、加工；化工产品（危险化学品、易制毒品除外）、橡塑制品、五金交电、电子产品、电动工具、机械设备及配件、夹具、治具、小五金批发兼零售；机电设备维修；机电设备技术开发、咨询、服务。（国家有专营、专项规定的，按专营、专项规定办理）</t>
  </si>
  <si>
    <t>天津博日新汽车零部件有限公司</t>
  </si>
  <si>
    <t>2009-06-01</t>
  </si>
  <si>
    <t>91120116687741269K</t>
  </si>
  <si>
    <t>华苑产业区兰苑路9号1-306</t>
  </si>
  <si>
    <t>电子钟、汽车音响制造；汽车配件、电子元器件、电器设备、汽车装具批发兼零售；电子信息、机电一体化技术开发、咨询、服务、转让；货物及技术的进出口业务。（国家有专项、专营规定的，按规定执行）</t>
  </si>
  <si>
    <t>中通达（天津）汽车零部件再制造有限公司</t>
  </si>
  <si>
    <t>2022-02-22</t>
  </si>
  <si>
    <t>91120110MA7JKMLL18</t>
  </si>
  <si>
    <t>天津市东丽区航双路空港国际总部基地A区A3号3258室</t>
  </si>
  <si>
    <t>一般项目：汽车零部件及配件制造；汽车零配件零售；汽车零配件批发；汽车零部件研发；技术服务、技术开发、技术咨询、技术交流、技术转让、技术推广；资源再生利用技术研发；新能源汽车废旧动力蓄电池回收及梯次利用（不含危险废物经营）；新能源汽车电附件销售；金属制品修理；金属制品研发；金属制品销售。（除依法须经批准的项目外，凭营业执照依法自主开展经营活动）</t>
  </si>
  <si>
    <t>天津陆耐汽车零部件有限公司</t>
  </si>
  <si>
    <t>2021-06-01</t>
  </si>
  <si>
    <t>91120116MA07C2QL1E</t>
  </si>
  <si>
    <t>天津经济技术开发区南海路12号A1栋507室</t>
  </si>
  <si>
    <t>一般项目：汽车零部件研发；汽车零配件零售；汽车装饰用品销售；汽车零配件批发；技术服务、技术开发、技术咨询、技术交流、技术转让、技术推广；软件开发；软件销售；人工智能应用软件开发；模具销售；智能车载设备销售。（除依法须经批准的项目外，凭营业执照依法自主开展经营活动）</t>
  </si>
  <si>
    <t>天津东方华冠汽车配件有限公司</t>
  </si>
  <si>
    <t>2009-07-06</t>
  </si>
  <si>
    <t>91120222690670772A</t>
  </si>
  <si>
    <t>天津市武清区南蔡村镇京福公路西侧</t>
  </si>
  <si>
    <t>汽车配件、标准件、冲压件加工，模具制造，物业服务，自有房屋租赁。（依法须经批准的项目，经相关部门批准后方可开展经营活动）</t>
  </si>
  <si>
    <t>天津市明晖汽车部件有限公司</t>
  </si>
  <si>
    <t>2020-03-16</t>
  </si>
  <si>
    <t>91120113MA06YCED6K</t>
  </si>
  <si>
    <t>天津市北辰区青光镇腾兴道13号谷川高科产业园内23号楼1门</t>
  </si>
  <si>
    <t>一般项目：汽车零部件及配件制造；塑料制品制造；制镜及类似品加工；汽车装饰用品销售；塑料制品销售；橡胶制品销售；金属制品销售；工业设计服务。（依法须经批准的项目，经相关部门批准后方可开展经营活动）</t>
  </si>
  <si>
    <t>天津巨全汽车零部件制造有限公司</t>
  </si>
  <si>
    <t>2006-07-19</t>
  </si>
  <si>
    <t>91120103789389868X</t>
  </si>
  <si>
    <t>河西区陈塘庄洞庭路（天津远大感光材料公司院内）</t>
  </si>
  <si>
    <t>汽车零售部件制造；机加工；汽车配件制作、加工；机电设备（小轿车除外）、五金交电、化工产品（危险化学品及易制毒品除外）、小包装润滑油、汽车配件、汽车装俱、工艺品、电子产品、针纺织品、橡胶制品、塑料制品、金属制品、日用百货、家用电器、装饰装修材料批发兼零售。（依法须经批准的项目，经相关部门批准后方可开展经营活动）</t>
  </si>
  <si>
    <t>天津年利汽车部件有限公司</t>
  </si>
  <si>
    <t>2015-05-06</t>
  </si>
  <si>
    <t>9112011634094573X7</t>
  </si>
  <si>
    <t>天津开发区洞庭路152号3号厂房</t>
  </si>
  <si>
    <t>汽车零部件、五金、弹簧的加工、组装、销售及相关技术咨询服务；商务信息咨询服务。（依法须经批准的项目，经相关部门批准后方可开展经营活动）</t>
  </si>
  <si>
    <t>天津市格劳瑞工贸有限责任公司</t>
  </si>
  <si>
    <t>91120105103471892J</t>
  </si>
  <si>
    <t>天津市河北区王串场街王串场一号路远景胡同94号</t>
  </si>
  <si>
    <t>汽车线束总成、刷子、金属门窗制造；汽车配件、汽车电器、机械配件加工；物资、五金、交电、化工（不含易毒品、危险品）、文化办公用品、服装、针纺织品零售兼批发；为家庭提供劳务服务。**经营范围中国家有专营专项规定的按专营专项规定办理。</t>
  </si>
  <si>
    <t>天津铭卿汽车电子有限公司</t>
  </si>
  <si>
    <t>2021-11-23</t>
  </si>
  <si>
    <t>91120113MA07GP6J2L</t>
  </si>
  <si>
    <t>天津市北辰区天津北辰经济技术开发区医药医疗器械工业园富源北路10号（双瑞电力院内）</t>
  </si>
  <si>
    <t>21</t>
  </si>
  <si>
    <t>一般项目：汽车零部件及配件制造；塑料制品制造；新能源汽车电附件销售；橡胶制品销售；新能源汽车整车销售；塑料制品销售；电力电子元器件销售；汽车零配件批发；汽车零配件零售；电线、电缆经营；五金产品零售。（除依法须经批准的项目外，凭营业执照依法自主开展经营活动）</t>
  </si>
  <si>
    <t>迪安姆汽车配件（天津）有限公司</t>
  </si>
  <si>
    <t>2001-12-28</t>
  </si>
  <si>
    <t>91120113732820864Q</t>
  </si>
  <si>
    <t>天津市北辰区天津北辰经济技术开发区科技园华泰道5号</t>
  </si>
  <si>
    <t>汽车零配件制造、销售及其技术开发、咨询、服务；从事国家法律法规允许经营的进出口业务。（依法须经批准的项目，经相关部门批准后方可开展经营活动）</t>
  </si>
  <si>
    <t>天津市文达恒业电磁离合器制造有限公司</t>
  </si>
  <si>
    <t>2006-11-10</t>
  </si>
  <si>
    <t>91120106794971676R</t>
  </si>
  <si>
    <t>红桥区丁字沽向东道（津红汽车化油器厂内）</t>
  </si>
  <si>
    <t>电磁离合器设计、制造、销售、维修服务；机械加工。（国家有专项、专营规定的按规定执行）</t>
  </si>
  <si>
    <t>天津汉德唯汽车辅助装备有限公司</t>
  </si>
  <si>
    <t>2008-01-08</t>
  </si>
  <si>
    <t>91120102671451590B</t>
  </si>
  <si>
    <t>河东区文华里1号207室</t>
  </si>
  <si>
    <t>汽车焊接生产线辅助设备销售、机械设备、五金工具、交电、金属材料、化工产品（危险品及易制毒品除外）、机电产品、劳保用品、仪器仪表、测量工具及刃具、自动化设备、文化及体育用品、日用百货批发兼零售；机械设备的安装、调试及维修。（国家有专项、专营规定的按规定执行；涉及行业审批的经营项目及有效期限均以许可证或资质证为准）</t>
  </si>
  <si>
    <t>天津市梦展汽车灯有限公司</t>
  </si>
  <si>
    <t>2004-04-28</t>
  </si>
  <si>
    <t>91120104761266460F</t>
  </si>
  <si>
    <t>天津市南开区雅安道川南里1号楼</t>
  </si>
  <si>
    <t>汽车配件批发兼零售；仓储服务（剧毒品、化学危险品、易制毒品、易燃易爆品除外）。（依法须经批准的项目，经相关部门批准后方可开展经营活动）</t>
  </si>
  <si>
    <t>天津市宝利群汽车零部件有限公司</t>
  </si>
  <si>
    <t>91120111794967909P</t>
  </si>
  <si>
    <t>天津市西青区杨柳青镇柳邑路7号</t>
  </si>
  <si>
    <t>汽车零部件、冲压件加工；机械加工；模具、塑料制品制造、加工；金属表面处理；工装夹具非标制作、销售。（国家有专项专营规定的按规定执行涉及行业许可的凭许可证或批准文件经营）</t>
  </si>
  <si>
    <t>天津市林利顺工贸有限公司</t>
  </si>
  <si>
    <t>2002-09-09</t>
  </si>
  <si>
    <t>91120111741378190A</t>
  </si>
  <si>
    <t>西青区中北镇曹庄火车站对过</t>
  </si>
  <si>
    <t>制造、加工：冲压件、汽车零配件 （五大总成除外）、金属剪板、卷板开平、机械加工；销售“钢材、金属材料、五金交电、化工产品（危险品及易制毒品除外）、建筑材料、塑胶制品、汽车配件（五大总成除外）、纺织品、仪器仪表、水暖配件。（以上经营范围国家有专项专营规定按规定执行）</t>
  </si>
  <si>
    <t>天津市汽车变速箱配件厂</t>
  </si>
  <si>
    <t>1981-05-06</t>
  </si>
  <si>
    <t>911201111038169188</t>
  </si>
  <si>
    <t>西青区杨柳青新华路14号</t>
  </si>
  <si>
    <t>汽车配件制造；修理变速箱、成品包装；机械加工、铁末加工；劳务服务；汽车配件修理；切削工具制造；汽车配件零售。</t>
  </si>
  <si>
    <t>天津市纵驰汽车零部件有限公司</t>
  </si>
  <si>
    <t>2008-07-04</t>
  </si>
  <si>
    <t>9112010367597548XY</t>
  </si>
  <si>
    <t>河西区小围堤道72号</t>
  </si>
  <si>
    <t>汽车摩托车零配件及电子传感器、汽车装具、机械设备（小轿车除外）加工、生产、销售；汽车、摩托车配件、电子传感器技术开发、技术服务。（依法须经批准的项目，经相关部门批准后方可开展经营活动）</t>
  </si>
  <si>
    <t>天津市浩天伟业汽车制动泵有限公司</t>
  </si>
  <si>
    <t>2004-06-23</t>
  </si>
  <si>
    <t>91120113764302578R</t>
  </si>
  <si>
    <t>北辰区双口镇中河头村北</t>
  </si>
  <si>
    <t>汽车制动泵、汽车配件制造；机械加工；汽车配件、汽车用品、润滑油脂、密封胶批发兼零售。（危险化学品、易制毒品除外）（国家有专营、专项规定的按专营、专项规定办理）</t>
  </si>
  <si>
    <t>天津煜林达汽车配件有限公司</t>
  </si>
  <si>
    <t>2013-11-26</t>
  </si>
  <si>
    <t>9112011108302893X2</t>
  </si>
  <si>
    <t>天津市西青区张家窝镇古佛寺村南华北石油管理局天津供应站内108室</t>
  </si>
  <si>
    <t>汽车配件、汽车装饰用品、机电产品加工、制造、批发兼零售；金属材料、电子元件、化工产品（危险品及易制毒品除外）、润滑油脂、制冷剂、纺织品、水性涂料、纸制品、防冻液、劳保用品、五金产品、办公用品、汽车保养用品批发兼零售；仓储服务（危险品除外）：劳务服务。（依法须经批准的项目，经相关部门批准后方可开展经营活动）</t>
  </si>
  <si>
    <t>天津威克特瑞汽车电器有限公司</t>
  </si>
  <si>
    <t>2006-04-21</t>
  </si>
  <si>
    <t>9112010278637859X1</t>
  </si>
  <si>
    <t>天津市河东区卫国道136号3-308</t>
  </si>
  <si>
    <t>销售：汽车电器、汽车配件。以下限分支经营：生产汽车电器及配件。（国家有专项专营规定的按规定执行）</t>
  </si>
  <si>
    <t>天津市铭杨工贸有限公司</t>
  </si>
  <si>
    <t>2002-12-08</t>
  </si>
  <si>
    <t>91120111744029893N</t>
  </si>
  <si>
    <t>天津市西青区中北镇中北工业园银霞路6号内2号厂房</t>
  </si>
  <si>
    <t>一般项目：汽车零部件及配件制造；汽车零配件批发；汽车零配件零售；塑料制品销售；非居住房地产租赁；物业管理。（除依法须经批准的项目外，凭营业执照依法自主开展经营活动）</t>
  </si>
  <si>
    <t>天津市鼎力汽车散热器有限公司</t>
  </si>
  <si>
    <t>2005-02-02</t>
  </si>
  <si>
    <t>911201137706142793</t>
  </si>
  <si>
    <t>西青区杨柳青镇柳口路与新津静公路交口西侧</t>
  </si>
  <si>
    <t>汽车散热器制造、销售；机械加工。（国家有专项专营规定的按规定执行涉及行业许可的凭许可证或批准文件经营）</t>
  </si>
  <si>
    <t>天津新沃汽车饰件有限责任公司</t>
  </si>
  <si>
    <t>2025-01-24</t>
  </si>
  <si>
    <t>91120111MAEBAPHB3L</t>
  </si>
  <si>
    <t>天津市西青区中北镇开源路12号A栋-2厂房</t>
  </si>
  <si>
    <t>一般项目：汽车零部件研发；汽车零部件及配件制造；汽车零配件批发；汽车零配件零售；模具制造；模具销售；合成材料销售；技术服务、技术开发、技术咨询、技术交流、技术转让、技术推广。（除依法须经批准的项目外，凭营业执照依法自主开展经营活动）</t>
  </si>
  <si>
    <t>天津安美逸盛汽车检具有限公司</t>
  </si>
  <si>
    <t>2014-11-12</t>
  </si>
  <si>
    <t>91120113300577864A</t>
  </si>
  <si>
    <t>天津市北辰区双街镇凤梧道6号</t>
  </si>
  <si>
    <t>汽车检具、汽车主模型、汽车模具、汽车工装夹具、机械零件制造、加工、检测、销售。（依法须经批准的项目，经相关部门批准后方可开展经营活动）</t>
  </si>
  <si>
    <t>天津市天油油泵油嘴制造有限公司</t>
  </si>
  <si>
    <t>2004-09-03</t>
  </si>
  <si>
    <t>91120110764340689Q</t>
  </si>
  <si>
    <t>东丽区金钟街新中村大街1号</t>
  </si>
  <si>
    <t>油泵、油嘴、汽车零部件制造、批发兼零售；液压元件制造、批发兼零售；机械加工。（涉及国家有专项专营规定的，按规定执行；涉及行业许可的，凭许可证或批准文件经营）</t>
  </si>
  <si>
    <t>恒运（天津）汽车零部件制造有限公司</t>
  </si>
  <si>
    <t>2018-02-28</t>
  </si>
  <si>
    <t>91120110MA06AAPDX9</t>
  </si>
  <si>
    <t>天津市东丽区七经路12号A厂房</t>
  </si>
  <si>
    <t>一般项目：汽车零部件及配件制造；汽车零配件零售；汽车零配件批发；塑料制品销售；塑料制品制造；模具制造；模具销售；电子、机械设备维护（不含特种设备）；普通货物仓储服务（不含危险化学品等需许可审批的项目）；机械设备销售。（除依法须经批准的项目外，凭营业执照依法自主开展经营活动）许可项目：道路货物运输（不含危险货物）。（依法须经批准的项目，经相关部门批准后方可开展经营活动，具体经营项目以相关部门批准文件或许可证件为准）</t>
  </si>
  <si>
    <t>天津市恒达泰汽车部件有限公司</t>
  </si>
  <si>
    <t>2021-10-26</t>
  </si>
  <si>
    <t>91120113MA07FY5D61</t>
  </si>
  <si>
    <t>天津市北辰区天穆镇辽河北道蓝海汽配城L区56号</t>
  </si>
  <si>
    <t>一般项目：汽车零配件零售；汽车零配件批发；汽车装饰用品销售；电力电子元器件销售；电子产品销售；塑料制品销售；技术服务、技术开发、技术咨询、技术交流、技术转让、技术推广；互联网销售（除销售需要许可的商品）；二手车经纪；汽车销售；汽车零部件再制造；汽车零部件及配件制造；汽车装饰用品制造。（除依法须经批准的项目外，凭营业执照依法自主开展经营活动）</t>
  </si>
  <si>
    <t>天津市东达机车车辆配件厂</t>
  </si>
  <si>
    <t>1990-12-18</t>
  </si>
  <si>
    <t>91120110X00741554N</t>
  </si>
  <si>
    <t>东丽区大毕庄镇欢坨村</t>
  </si>
  <si>
    <t>机车车辆配件机加工；普通货运。（以上经营范围涉及行业许可的凭许可证件，在有效期内经营，国家有专项专营规定的按规定办理）</t>
  </si>
  <si>
    <t>忠林金属连接器（天津）有限公司</t>
  </si>
  <si>
    <t>2016-11-09</t>
  </si>
  <si>
    <t>91120113MA05LH8K7Y</t>
  </si>
  <si>
    <t>天津市北辰区宜兴埠镇宜兴埠工业园景远路189号</t>
  </si>
  <si>
    <t>金属连接器、紧固件、五金配件制造、销售、技术开发及相关技术转让；金属材料销售。（依法须经批准的项目，经相关部门批准后方可开展经营活动）</t>
  </si>
  <si>
    <t>天津市今盛泰汽车部品有限公司</t>
  </si>
  <si>
    <t>2014-03-24</t>
  </si>
  <si>
    <t>91120111093760382T</t>
  </si>
  <si>
    <t>天津市西青区杨柳青镇大柳滩村津同公路20公里处</t>
  </si>
  <si>
    <t>汽车零部件、塑料制品、橡胶制品、冲压件、五金制品、包装制品制造、加工；劳务服务；机械加工及维修；仓储服务。（依法须经批准的项目，经相关部门批准后方可开展经营活动）</t>
  </si>
  <si>
    <t>天津市凯田轴瓦厂</t>
  </si>
  <si>
    <t>2000-03-10</t>
  </si>
  <si>
    <t>91120111718278343C</t>
  </si>
  <si>
    <t>西青区辛口镇冯高庄村</t>
  </si>
  <si>
    <t>制造、加工、销售：汽车轴瓦、汽车零部件（五大总成除外）。（依法须经批准的项目，经相关部门批准后方可开展经营活动）</t>
  </si>
  <si>
    <t>天津市鼎盛鑫达汽车配件有限公司</t>
  </si>
  <si>
    <t>911201115594838325</t>
  </si>
  <si>
    <t>西青区西青道265号（恒通达物流有限公司院内）</t>
  </si>
  <si>
    <t>汽车配件加工、销售；五金交电、化工产品（危险化学品及易制毒化学品除外）、建筑装饰材料、机电产品（小轿车除外）批发兼零售。（国家有专项专营规定的按规定执行涉及行业许可的凭许可证或批准文件经营）</t>
  </si>
  <si>
    <t>天津市天创工贸有限公司</t>
  </si>
  <si>
    <t>2002-10-28</t>
  </si>
  <si>
    <t>91120113744004469Q</t>
  </si>
  <si>
    <t>北辰区双口镇工业区双口二村东</t>
  </si>
  <si>
    <t>汽车、摩托车配件制造、销售。（国家有专营、专项规定的按专营、专项规定办理）</t>
  </si>
  <si>
    <t>天津市汇众汽车齿轮有限公司</t>
  </si>
  <si>
    <t>1993-12-16</t>
  </si>
  <si>
    <t>911201036006731371</t>
  </si>
  <si>
    <t>河西区绮园里3号楼A区1门101</t>
  </si>
  <si>
    <t>汽车配件制造加工；汽车配件、日用百货、五金工具、家用电器零售兼批发。（国家有专项专营规定的按国家规定执行）（涉及行业审批的经营项目有效期限以许可证有效期截止日为准）</t>
  </si>
  <si>
    <t>天津市兴旺飞翼腾达汽车厢体制造有限公司</t>
  </si>
  <si>
    <t>2015-07-24</t>
  </si>
  <si>
    <t>91120111341057902Q</t>
  </si>
  <si>
    <t>天津市西青区中北镇阜锦道45号</t>
  </si>
  <si>
    <t>汽车厢体制造；钢材、汽车配件销售。（依法须经批准的项目，经相关部门批准后方可开展经营活动）</t>
  </si>
  <si>
    <t>天津瓦尔塔汽车配件有限公司</t>
  </si>
  <si>
    <t>2017-05-22</t>
  </si>
  <si>
    <t>91120116MA05QY444P</t>
  </si>
  <si>
    <t>天津市滨海高新区海泰南道18号左岸科技基地4号楼-1,2-401-1</t>
  </si>
  <si>
    <t>电子产品、机械零部件制造；批发和零售业。（依法须经批准的项目，经相关部门批准后方可开展经营活动）</t>
  </si>
  <si>
    <t>天津市德林汽车配件制造有限公司</t>
  </si>
  <si>
    <t>2011-08-02</t>
  </si>
  <si>
    <t>91120111578338032G</t>
  </si>
  <si>
    <t>天津市西青区中北镇京福线与中北大道交口北侧200米</t>
  </si>
  <si>
    <t>汽车零部件制造、加工、销售；汽车配件技术开发。（以上经营范围涉及行业许可的凭许可证件，在有效期限内经营，国家有专项专营规定的按规定办理）</t>
  </si>
  <si>
    <t>天津盛瑞辉汽车部件有限公司</t>
  </si>
  <si>
    <t>2012-07-03</t>
  </si>
  <si>
    <t>91120110598715229B</t>
  </si>
  <si>
    <t>天津市东丽区金钟街欢坨村东</t>
  </si>
  <si>
    <t>一般项目：汽车零配件零售；机械零件、零部件销售；模具制造；模具销售；塑胶表面处理；喷涂加工；涂料销售（不含危险化学品）；劳务服务（不含劳务派遣）；电气机械设备销售；机械设备销售；机械设备租赁；五金产品零售；五金产品批发；居民日常生活服务。（除依法须经批准的项目外，凭营业执照依法自主开展经营活动）。</t>
  </si>
  <si>
    <t>天津市鼎盛永强汽车配件有限公司</t>
  </si>
  <si>
    <t>2010-11-29</t>
  </si>
  <si>
    <t>91120111566103383T</t>
  </si>
  <si>
    <t>天津市西青区中北镇中北工业园金霞路16号</t>
  </si>
  <si>
    <t>汽车配件、模具加工、制造；不锈钢制品加工；机加工；服装、日用百货、五金交电、儿童游艺设施、劳保用品、电线电缆、化工产品（危险品及易制毒品除外）、办公用品批发兼零售；普通货运。（依法须经批准的项目，经相关部门批准后方可开展经营活动）</t>
  </si>
  <si>
    <t>天津市飞瑞达汽车零部件有限公司</t>
  </si>
  <si>
    <t>2007-07-03</t>
  </si>
  <si>
    <t>91120111663067273M</t>
  </si>
  <si>
    <t>天津市西青区杨柳青镇盛达道与精成路交口东侧约150米院内仓库、办公楼一楼</t>
  </si>
  <si>
    <t>汽车配件、塑料制品、冲压件、木制品、服装的加工、制造；以下零售兼批发：金属材料、化工产品（危险品及易制毒品除外）；废旧物资回收；垃圾清运；垃圾分类；固定废弃物治理；机械设备加工及修理（不含汽车及农机修理）；自有房屋租赁；仓储服务（不得储存危险品）；劳务服务（不含涉外劳务）；保洁服务；货物进出口及技术进出口（国家法律、行政法规有规定的除外）；普通货运。（依法须经批准的项目，经相关部门批准后方可开展经营活动）</t>
  </si>
  <si>
    <t>天津原驰汽车部品有限公司</t>
  </si>
  <si>
    <t>2015-03-03</t>
  </si>
  <si>
    <t>91120111300698252D</t>
  </si>
  <si>
    <t>天津市西青区中北工业园南园红运路12号</t>
  </si>
  <si>
    <t>一般项目：汽车零部件及配件制造；模具制造；模具销售；专业设计服务；非居住房地产租赁。（除依法须经批准的项目外，凭营业执照依法自主开展经营活动）</t>
  </si>
  <si>
    <t>天津市富士汽车零部件发展中心</t>
  </si>
  <si>
    <t>2000-08-09</t>
  </si>
  <si>
    <t>911201057244570228</t>
  </si>
  <si>
    <t>天津市河北区金纬路413</t>
  </si>
  <si>
    <t>汽车配件制造、加工；五金、交电、化工（危险品、易制毒品除外）、日用百货、建筑装饰材料零售兼批发。**经营范围中国家有专营专项规定的按专营专项规定办理</t>
  </si>
  <si>
    <t>麦立兴（天津）有限责任公司</t>
  </si>
  <si>
    <t>2021-12-13</t>
  </si>
  <si>
    <t>91120103MA7E0YYA3C</t>
  </si>
  <si>
    <t>天津市河西区解放南路大任庄路南贺江道1号</t>
  </si>
  <si>
    <t>一般项目：供应链管理服务；软件开发；汽车零配件批发；汽车零配件零售；电车销售；轮胎销售；润滑油销售；专用化学产品销售（不含危险化学品）；橡胶制品销售；软件销售；采购代理服务；销售代理；道路货物运输站经营；普通货物仓储服务（不含危险化学品等需许可审批的项目）；仓储设备租赁服务；智能仓储装备销售；金属结构销售；互联网销售（除销售需要许可的商品）；国内货物运输代理；新能源汽车废旧动力蓄电池回收及梯次利用（不含危险废物经营）。（除依法须经批准的项目外，凭营业执照依法自主开展经营活动）。</t>
  </si>
  <si>
    <t>天津旭友工贸有限公司</t>
  </si>
  <si>
    <t>2002-12-03</t>
  </si>
  <si>
    <t>91120105744027839Y</t>
  </si>
  <si>
    <t>河北区新大路东八经路1号</t>
  </si>
  <si>
    <t>汽车配件、塑料制品、机械加工；日用百货、五金、交电、化工（危险品、易制毒品除外）批发兼零售。**经营范围中国家有专营专项规定的按专营专项规定办理</t>
  </si>
  <si>
    <t>天津市远瑞汽车零配件有限公司</t>
  </si>
  <si>
    <t>2016-09-21</t>
  </si>
  <si>
    <t>91120110MA05L2W3XC</t>
  </si>
  <si>
    <t>天津市东丽区新立街道泥窝村1区45号</t>
  </si>
  <si>
    <t>汽车零配件、电子配件加工；仓储服务（化学危险品及易制毒品除外）；家具、金属制品、电子产品、塑胶制品、办公用品、纸制品批发兼零售。（依法须经批准的项目，经相关部门批准后方可开展经营活动）</t>
  </si>
  <si>
    <t>天津克林凯汽车部件有限公司</t>
  </si>
  <si>
    <t>2004-10-28</t>
  </si>
  <si>
    <t>91120110767605136D</t>
  </si>
  <si>
    <t>天津市东丽区新立街道东杨场村南160米</t>
  </si>
  <si>
    <t>生产、加工、销售粘性擦包、海绵制品、汽车用部品及相关咨询服务（国家有专营专项规定的按规定执行）</t>
  </si>
  <si>
    <t>天津市华国汽车部件有限公司</t>
  </si>
  <si>
    <t>2004-05-16</t>
  </si>
  <si>
    <t>9112011176127089XK</t>
  </si>
  <si>
    <t>西青区杨柳青镇盛达道北侧</t>
  </si>
  <si>
    <t>汽车配件制造、销售；仓储（危险品除外）；自有房屋租赁；代收水电、燃气费。（依法须经批准的项目，经相关部门批准后方可开展经营活动）</t>
  </si>
  <si>
    <t>天津市天盛汽车配件有限公司</t>
  </si>
  <si>
    <t>2005-07-19</t>
  </si>
  <si>
    <t>91120111777316346H</t>
  </si>
  <si>
    <t>天津市西青区中北工业园南园红运路5号</t>
  </si>
  <si>
    <t>制造、加工：汽车配件；批发兼零售：汽车配件、五金工具、汽车装具、日用百货、工艺品、家具、劳保用品；小型客车整车修理、总成修理、整车维护、小修、维修救援、专项修理；劳务服务；叉车修理；仓储服务；房屋修缮。（依法须经批准的项目，经相关部门批准后方可开展经营活动）</t>
  </si>
  <si>
    <t>耀重联合汽车部品（天津）有限公司</t>
  </si>
  <si>
    <t>2019-12-30</t>
  </si>
  <si>
    <t>91120000MA06XEPA1T</t>
  </si>
  <si>
    <t>天津市西青区中北镇辰星路15号三层304号A02</t>
  </si>
  <si>
    <t>汽车零部件及配件制造、加工、设计、销售、技术咨询、技术服务；新材料技术开发、服务、转让。（依法须经批准的项目，经相关部门批准后方可开展经营活动）</t>
  </si>
  <si>
    <t>天津市佳通滤清器有限公司</t>
  </si>
  <si>
    <t>2009-03-30</t>
  </si>
  <si>
    <t>911201106847416429</t>
  </si>
  <si>
    <t>天津市东丽区金钟街道祁连路与信泰道交口南侧1号办公室009号</t>
  </si>
  <si>
    <t>汽车滤清器生产、加工、销售；汽车零部件、空气净化材料销售。（涉及国家有专项专营规定的，按规定执行；涉及行业许可的，凭许可证或批准文件经营）</t>
  </si>
  <si>
    <t>天津市三恩微型汽车零部件有限公司</t>
  </si>
  <si>
    <t>2006-06-05</t>
  </si>
  <si>
    <t>91120113789356230J</t>
  </si>
  <si>
    <t>北辰区北仓镇王秦庄村</t>
  </si>
  <si>
    <t>微型汽车配件制造、加工；润滑油、五金交电批发兼零售；汽车维修（电气系统维修）（限分支机构经营）。（国家有专营、专项规定的按专营、专项规定办理）</t>
  </si>
  <si>
    <t>天津市龙得机械厂</t>
  </si>
  <si>
    <t>2003-04-09</t>
  </si>
  <si>
    <t>91120111749116224L</t>
  </si>
  <si>
    <t>西青区中北镇大蒋村</t>
  </si>
  <si>
    <t>加工：汽车配件及摩托车零配件（五大总成除外）、冲压件、五金制品；机加工。（以上经营范围国家有专项专营规定按规定执行）</t>
  </si>
  <si>
    <t>天津瑞格明泰汽车零部件有限公司</t>
  </si>
  <si>
    <t>2022-01-06</t>
  </si>
  <si>
    <t>91120113MA7FPNY5X2</t>
  </si>
  <si>
    <t>天津市北辰区宜兴埠镇王朝南道1号</t>
  </si>
  <si>
    <t>一般项目：汽车零部件及配件制造；模具销售；模具制造；机械零件、零部件加工；图文设计制作；机械零件、零部件销售；金属制品销售；金属材料制造；电子产品销售。（除依法须经批准的项目外，凭营业执照依法自主开展经营活动）</t>
  </si>
  <si>
    <t>天津市均华汽车部件有限公司</t>
  </si>
  <si>
    <t>2011-12-02</t>
  </si>
  <si>
    <t>91120113586421418J</t>
  </si>
  <si>
    <t>天津市北辰区双口镇线河二村35号</t>
  </si>
  <si>
    <t>汽车零配件加工。（依法须经批准的项目，经相关部门批准后方可开展经营活动）</t>
  </si>
  <si>
    <t>天津市宏翊工贸有限公司</t>
  </si>
  <si>
    <t>2004-08-03</t>
  </si>
  <si>
    <t>91120105764322173G</t>
  </si>
  <si>
    <t>河北区金钟河贵桥里小二楼6号</t>
  </si>
  <si>
    <t>汽车配件制造、加工；五金、交电、化工（危险品、易制毒品除外）、机械设备、电子产品、计算机及辅助设备、金属材料、橡胶制品、润滑油脂、针纺织品、日用百货、服装批发兼零售；家政服务。（以上经营范围涉及行业许可的凭许可证件，在有效期限内经营，国家有专项专营规定的按规定办理）</t>
  </si>
  <si>
    <t>天津金泽汽车标准件有限公司</t>
  </si>
  <si>
    <t>1994-06-09</t>
  </si>
  <si>
    <t>911201136005829480</t>
  </si>
  <si>
    <t>天津市北辰区双街镇沿河路4号</t>
  </si>
  <si>
    <t>生产、销售汽车标准件、汽车配件及售后服务</t>
  </si>
  <si>
    <t>天津市鸿博汽车设备有限公司</t>
  </si>
  <si>
    <t>2017-04-25</t>
  </si>
  <si>
    <t>91120111MA05Q4D07U</t>
  </si>
  <si>
    <t>天津西青汽车工业区京东智能产业园20号楼101-2厂房</t>
  </si>
  <si>
    <t>汽车零部件、机械设备制造、加工；五金交电、电子产品、电工器材、电线电缆、模具模料、塑料制品、日用百货、家用电器、办公用品、劳保用品、建筑材料、橡胶制品、装饰材料批发兼零售；机械设备技术服务；劳务服务。（依法须经批准的项目，经相关部门批准后方可开展经营活动）</t>
  </si>
  <si>
    <t>天津市盟毅诚机车车辆设备配件厂</t>
  </si>
  <si>
    <t>2001-11-23</t>
  </si>
  <si>
    <t>91120102732815360E</t>
  </si>
  <si>
    <t>河东区郭庄子大街286号院内</t>
  </si>
  <si>
    <t>加工、销售：机车车辆配件。（国家有专项专营规定的按规定执行）（经营范围中有前置审批项目的以批准件及经营时限为准）</t>
  </si>
  <si>
    <t>天津煜麟汽车部件有限公司</t>
  </si>
  <si>
    <t>2022-10-21</t>
  </si>
  <si>
    <t>91120110MAC2NRU002</t>
  </si>
  <si>
    <t>天津市东丽区华明街荣瑞路9号301室</t>
  </si>
  <si>
    <t>一般项目：汽车零部件及配件制造；汽车零部件研发；汽车零配件批发；汽车零配件零售；机械零件、零部件加工；金属材料制造；金属材料销售；有色金属压延加工；金属切削加工服务；智能基础制造装备制造；智能基础制造装备销售；模具制造；模具销售；绘图、计算及测量仪器制造；绘图、计算及测量仪器销售；锻件及粉末冶金制品制造；锻件及粉末冶金制品销售；技术服务、技术开发、技术咨询、技术交流、技术转让、技术推广。（除依法须经批准的项目外，凭营业执照依法自主开展经营活动）</t>
  </si>
  <si>
    <t>天津市瑶华产教融合研究开发院（有限合伙）</t>
  </si>
  <si>
    <t>2021-05-21</t>
  </si>
  <si>
    <t>91120106MA07BPJN0U</t>
  </si>
  <si>
    <t>天津市南开区王顶堤街道红旗路西侧实泽园14-12-306</t>
  </si>
  <si>
    <t>有限合伙企业</t>
  </si>
  <si>
    <t>一般项目：自然科学研究和试验发展；工程和技术研究和试验发展；医学研究和试验发展；农业科学研究和试验发展；招生辅助服务；教育咨询服务（不含涉许可审批的教育培训活动）；自费出国留学中介服务；业务培训（不含教育培训、职业技能培训等需取得许可的培训）；新材料技术研发；技术服务、技术开发、技术咨询、技术交流、技术转让、技术推广；市场调查（不含涉外调查）；人工智能公共服务平台技术咨询服务；软件开发；数字内容制作服务（不含出版发行）；数字文化创意技术装备销售；5G通信技术服务；互联网安全服务；数字文化创意内容应用服务；人工智能双创服务平台；区块链技术相关软件和服务；人工智能应用软件开发。（除依法须经批准的项目外，凭营业执照依法自主开展经营活动）</t>
  </si>
  <si>
    <t>天津市圣豪汽车用品有限公司</t>
  </si>
  <si>
    <t>2007-08-06</t>
  </si>
  <si>
    <t>911201036630921026</t>
  </si>
  <si>
    <t>河西区解放南路613号（汽车用品大厦二层65号）</t>
  </si>
  <si>
    <t>汽车装饰用品生产、加工；汽车配件批发兼零售。（依法须经批准的项目，经相关部门批准后方可开展经营活动）</t>
  </si>
  <si>
    <t>天津市福岛汽车装备有限公司</t>
  </si>
  <si>
    <t>2016-04-22</t>
  </si>
  <si>
    <t>91120110MA05JJU08N</t>
  </si>
  <si>
    <t>天津市东丽经济开发区一纬路九号</t>
  </si>
  <si>
    <t>汽车配件制造、加工、销售；数控机床、通用机械零部件、机电产品、金属材料、建筑材料销售。（依法须经批准的项目，经相关部门批准后方可开展经营活动）</t>
  </si>
  <si>
    <t>天津市松源电动汽车配件有限公司</t>
  </si>
  <si>
    <t>2010-02-05</t>
  </si>
  <si>
    <t>91120110550369160D</t>
  </si>
  <si>
    <t>天津市东丽区华明高新技术产业区弘晟道2号</t>
  </si>
  <si>
    <t>电动自行车、电动汽车配件的开发、销售及相关技术咨询服务、生产、加工（限分支机构经营）；从事国家法律法规允许的货物进出口业务。（涉及国家有专项专营规定的，按规定执行；涉及行业许可的，凭许可证或批准文件经营）</t>
  </si>
  <si>
    <t>天津华信汽车零部件有限公司</t>
  </si>
  <si>
    <t>2023-05-15</t>
  </si>
  <si>
    <t>91120110MACHXNKN2Q</t>
  </si>
  <si>
    <t>天津市东丽区金桥街道港城温泉花园13门1399室</t>
  </si>
  <si>
    <t>32</t>
  </si>
  <si>
    <t>一般项目：汽车零部件及配件制造；塑料制品制造；模具制造；塑胶表面处理；喷涂加工；金属制品销售；塑料制品销售；合成材料销售；电子产品销售；机械设备销售；日用百货销售；建筑材料销售；工业自动控制系统装置销售；劳动保护用品销售；五金产品批发；五金产品零售；文具用品零售；汽车零配件零售；体育用品及器材零售；汽车零部件研发；技术服务、技术开发、技术咨询、技术交流、技术转让、技术推广。（除依法须经批准的项目外，凭营业执照依法自主开展经营活动）</t>
  </si>
  <si>
    <t>天津市三星伟业汽车电器有限公司</t>
  </si>
  <si>
    <t>2007-04-19</t>
  </si>
  <si>
    <t>91120113660324916X</t>
  </si>
  <si>
    <t>北辰区宜兴埠东马道园林队院内</t>
  </si>
  <si>
    <t>汽车电器、汽车配件制造、加工；冲压件制造、加工、销售。（国家有专营、专项规定的、按专营、专项规定办理）</t>
  </si>
  <si>
    <t>天津市津明汽车部件制造有限公司</t>
  </si>
  <si>
    <t>2020-11-19</t>
  </si>
  <si>
    <t>91120113MA076HG47M</t>
  </si>
  <si>
    <t>天津市北辰区青光镇优谷新科园181号</t>
  </si>
  <si>
    <t>一般项目：汽车零部件及配件制造；金属材料销售。（除依法须经批准的项目外，凭营业执照依法自主开展经营活动）。</t>
  </si>
  <si>
    <t>天津市嘉英源工贸有限公司</t>
  </si>
  <si>
    <t>1998-07-21</t>
  </si>
  <si>
    <t>91120113700526521B</t>
  </si>
  <si>
    <t>北辰区小淀镇小贺庄村</t>
  </si>
  <si>
    <t>机加工；五金交电、塑料制品零售兼批发。（国家有专营专项规定的按专营专项规定办理）</t>
  </si>
  <si>
    <t>天津汇众汽车零部件制造有限公司</t>
  </si>
  <si>
    <t>2022-12-06</t>
  </si>
  <si>
    <t>91120112MAC3MWJ186</t>
  </si>
  <si>
    <t>天津市津南区经济开发区（西区）北京街09号</t>
  </si>
  <si>
    <t>一般项目：汽车零配件批发；汽车装饰用品销售；汽车零部件及配件制造；汽车零部件再制造；汽车零配件零售；金属表面处理及热处理加工；门窗制造加工；有色金属压延加工；金属加工机械制造；建筑材料生产专用机械制造；机械零件、零部件加工；金属结构制造；金属结构销售；金属链条及其他金属制品制造；金属工具制造；非居住房地产租赁；金属工具销售；金属材料销售；金属制品销售；建筑用金属配件制造；新型金属功能材料销售。（除依法须经批准的项目外，凭营业执照依法自主开展经营活动）许可项目：房地产开发经营。（依法须经批准的项目，经相关部门批准后方可开展经营活动，具体经营项目以相关部门批准文件或许可证件为准）</t>
  </si>
  <si>
    <t>天津万里达汽车箱体有限公司</t>
  </si>
  <si>
    <t>2013-04-18</t>
  </si>
  <si>
    <t>91120113066859125P</t>
  </si>
  <si>
    <t>天津市北辰区京津公路东（天穆镇政府老院）</t>
  </si>
  <si>
    <t>汽车箱体、汽车零部件制造；汽车销售；农机、机电产品、摩托车、铁矿石、钢材、有色金属、轮胎、汽车配件、木材、化工产品（危险化学品、易制毒品除外）、橡胶及其制品、家用电器、纺织原料、纺织品、炉料、焦炭批发兼零售；煤炭批发；计算机及软件技术开发、服务、销售；机械设备、汽车租赁；仓储服务（危险化学品除外）；装卸搬到服务；从事国家法律法规允许经营的进出口业务。（依法须经批准的项目，经相关部门批准后方可开展经营活动）</t>
  </si>
  <si>
    <t>天津宝捷汽车零部件有限公司</t>
  </si>
  <si>
    <t>2023-05-25</t>
  </si>
  <si>
    <t>91120111MACHRQB29A</t>
  </si>
  <si>
    <t>天津西青汽车工业区中联产业园10号楼511A区</t>
  </si>
  <si>
    <t>一般项目：汽车零部件及配件制造；金属材料销售；普通货物仓储服务（不含危险化学品等需许可审批的项目）。（除依法须经批准的项目外，凭营业执照依法自主开展经营活动）许可项目：道路货物运输（不含危险货物）。（依法须经批准的项目，经相关部门批准后方可开展经营活动，具体经营项目以相关部门批准文件或许可证件为准）</t>
  </si>
  <si>
    <t>天津市西青区永祥电泳厂</t>
  </si>
  <si>
    <t>1999-02-04</t>
  </si>
  <si>
    <t>9112011171283816XY</t>
  </si>
  <si>
    <t>西青区张家窝镇老君堂村南</t>
  </si>
  <si>
    <t>加工：汽车配件（五大总成除外）；金属表面处理。（以上经营范围涉及行业许可的凭许可证件，在有效期限内经营，国家有专项专营规定的按规定办理）（依法须经批准的项目，经相关部门批准后方可开展经营活动）</t>
  </si>
  <si>
    <t>天津市亚拓汽车部件制造有限公司</t>
  </si>
  <si>
    <t>2008-08-05</t>
  </si>
  <si>
    <t>911201106759992116</t>
  </si>
  <si>
    <t>天津市东丽区新立街道四合庄村村委会西侧</t>
  </si>
  <si>
    <t>汽车配件制造、加工、组装；普通机械设备及零部件、五金零配件加工；汽车配件、轮胎、橡胶制品、钢材、五金交电销售。（依法须经批准的项目，经相关部门批准后方可开展经营活动）</t>
  </si>
  <si>
    <t>天津市顺海工贸有限公司</t>
  </si>
  <si>
    <t>1998-01-05</t>
  </si>
  <si>
    <t>91120110700412399D</t>
  </si>
  <si>
    <t>天津市东丽区万新街吴咀村</t>
  </si>
  <si>
    <t>机械设备加工、销售；金属表面处理；建筑材料、日用百货、工艺品、珠宝玉器、环保材料、环保设备、家具批发兼零售。（依法须经批准的项目，经相关部门批准后方可开展经营活动）</t>
  </si>
  <si>
    <t>天津博众汽车零部件有限公司</t>
  </si>
  <si>
    <t>2019-06-26</t>
  </si>
  <si>
    <t>91120105MA06Q6Q303</t>
  </si>
  <si>
    <t>天津市河北区建昌道街富瀛洲花园25-1-1003</t>
  </si>
  <si>
    <t>一般项目：汽车零配件批发；货物进出口；技术进出口；汽车零配件零售；汽车装饰用品销售。（除依法须经批准的项目外，凭营业执照依法自主开展经营活动）</t>
  </si>
  <si>
    <t>天津市吉顺达汽车部件有限公司</t>
  </si>
  <si>
    <t>2010-08-03</t>
  </si>
  <si>
    <t>91120111559462580C</t>
  </si>
  <si>
    <t>天津中北工业园（南园）向阳道1排1号</t>
  </si>
  <si>
    <t>许可项目：道路货物运输（不含危险货物）。（依法须经批准的项目，经相关部门批准后方可开展经营活动，具体经营项目以相关部门批准文件或许可证件为准）一般项目：汽车零配件零售；汽车零部件及配件制造；汽车零部件研发；建筑材料销售；金属工具销售。（除依法须经批准的项目外，凭营业执照依法自主开展经营活动）</t>
  </si>
  <si>
    <t>天津加州汽车服务有限公司</t>
  </si>
  <si>
    <t>1993-12-03</t>
  </si>
  <si>
    <t>911201036005779114</t>
  </si>
  <si>
    <t>天津市河西区洞庭路与浯水道交口龙森木业大院内</t>
  </si>
  <si>
    <t>生产、销售汽车零配件及汽车修理和相关的技术咨询</t>
  </si>
  <si>
    <t>天津市天发汽车配件有限公司</t>
  </si>
  <si>
    <t>2004-06-22</t>
  </si>
  <si>
    <t>91120111761299545K</t>
  </si>
  <si>
    <t>西青区中北镇大稍口村西（汽车工业集团有限公司内）</t>
  </si>
  <si>
    <t>2021年报</t>
  </si>
  <si>
    <t>汽车配件制造（五大总成除外）；机械配件加工；劳务服务。（国家有专项专营规定按规定执行；涉及行业许可的凭许可证或批准文件经营）</t>
  </si>
  <si>
    <t>天津市泽润通汽车配件有限公司</t>
  </si>
  <si>
    <t>2017-11-21</t>
  </si>
  <si>
    <t>91120113MA05Y2CA0P</t>
  </si>
  <si>
    <t>天津市北辰区宜兴埠镇津围公路东景观路7号</t>
  </si>
  <si>
    <t>汽车配件制造、销售；冲压件制造；金属制品加工；钢材销售。（依法须经批准的项目，经相关部门批准后方可开展经营活动）</t>
  </si>
  <si>
    <t>天津市久盛达汽车配件有限公司</t>
  </si>
  <si>
    <t>91120111794966105N</t>
  </si>
  <si>
    <t>西青区中北镇西马庄村南（天津一汽停车场内）</t>
  </si>
  <si>
    <t>汽车配件、汽车装具、五金工具、冲压件制造、加工、销售；仓储（危险品除外）；劳务服务。（国家有专项专营规定的按规定执行涉及行业许可的凭许可证或批准文件经营）</t>
  </si>
  <si>
    <t>天津市科锐工贸有限公司</t>
  </si>
  <si>
    <t>2003-12-09</t>
  </si>
  <si>
    <t>91120106754837632T</t>
  </si>
  <si>
    <t>红桥区咸阳北路街昌图楼4号院</t>
  </si>
  <si>
    <t>紧固件、冲压件、汽车零部件、摩托车零部件、自行车零部件、机械、电子配件、金属制品制造、加工、批发兼零售；五金、交电、化工（不含危险品及易制毒品）、水暖器材、建筑装饰材料、橡胶制品批发兼零售；及以上产品的进出口业务；劳务服务、机械零部件的技术开发、转让、咨询（不含中介）、服务。（国家有专项、专营规定的按规定执行）</t>
  </si>
  <si>
    <t>天津天惠汽车配件有限公司</t>
  </si>
  <si>
    <t>2014-01-02</t>
  </si>
  <si>
    <t>911201130865788733</t>
  </si>
  <si>
    <t>天津市北辰区北仓镇延吉道东（济腾纸制品有限公司旁）</t>
  </si>
  <si>
    <t>汽车配件、机械（涉及到特种设备的需取得特种设备安全监察部门许可后经营）及配件、模具制造、加工、销售；金属表面处理（电镀除外）；金属材料、建筑材料、五金电料、化工产品（危险化学品、易制毒品除外）、电线电缆、服装服饰、日用百货、计算机耗材批发兼零售。（依法须经批准的项目，经相关部门批准后方可开展经营活动）</t>
  </si>
  <si>
    <t>天津通鑫隆达汽车配件有限公司</t>
  </si>
  <si>
    <t>2021-03-02</t>
  </si>
  <si>
    <t>91120110MA0794PM2D</t>
  </si>
  <si>
    <t>天津市东丽区金钟街道新中村闽中路与外环线交口鑫泰投资发展有限公司AF3-12</t>
  </si>
  <si>
    <t>一般项目：汽车零配件批发；润滑油销售；机动车修理和维护。（除依法须经批准的项目外，凭营业执照依法自主开展经营活动）。</t>
  </si>
  <si>
    <t>天津豪利汽车工程有限公司</t>
  </si>
  <si>
    <t>1995-04-13</t>
  </si>
  <si>
    <t>91120110600588119J</t>
  </si>
  <si>
    <t>天津市东丽区华明镇李明庄村</t>
  </si>
  <si>
    <t>生产、销售汽车零部件及售后修配服务、技术管理培训和相关咨询服务</t>
  </si>
  <si>
    <t>天津合丰联汽车零部件有限公司</t>
  </si>
  <si>
    <t>2016-04-27</t>
  </si>
  <si>
    <t>91120110MA05JLBTX6</t>
  </si>
  <si>
    <t>天津市东丽区金钟街道金钟公路3699号F4-111号</t>
  </si>
  <si>
    <t>汽车配件加工、制造、销售；环保设备制造；金属材料、化工产品（化学危险品及易制毒品除外）、五金交电、电子产品、塑料制品、日用百货、汽车耗材、汽车外围用品、家用电器、橡塑制品批发兼零售；汽车零部件技术研发、咨询、服务、转让。（依法须经批准的项目，经相关部门批准后方可开展经营活动）</t>
  </si>
  <si>
    <t>天津市华瑞轩汽车配件有限公司</t>
  </si>
  <si>
    <t>2010-05-10</t>
  </si>
  <si>
    <t>91120113553437894F</t>
  </si>
  <si>
    <t>北辰区北方汽贸园A区1排5号</t>
  </si>
  <si>
    <t>汽车配件制造、销售；五金交电、电瓶批发兼零售。（依法须经批准的项目，经相关部门批准后方可开展经营活动）</t>
  </si>
  <si>
    <t>天津普瑞驰汽车部件有限公司</t>
  </si>
  <si>
    <t>2017-07-27</t>
  </si>
  <si>
    <t>91120111MA05U05J2U</t>
  </si>
  <si>
    <t>天津西青学府工业区学府中路2号-A</t>
  </si>
  <si>
    <t>汽车部件（五大总成除外）、汽车空调、电子元件、塑料制品、针织纺品制造、加工、批发兼零售；建筑材料、五金交电批发兼零售；房屋租赁；物业服务；汽车技术开发；物流信息咨询；装卸搬倒服务；包装服务；仓储服务；供应链管理；国内货运代理。（依法须经批准的项目，经相关部门批准后方可开展经营活动）</t>
  </si>
  <si>
    <t>天津捷世达汽车部件有限公司</t>
  </si>
  <si>
    <t>2017-03-30</t>
  </si>
  <si>
    <t>91120111MA05PA9U8P</t>
  </si>
  <si>
    <t>天津市西青经济技术开发区大寺高新技术产业园储华道1号101</t>
  </si>
  <si>
    <t>一般项目：技术服务、技术开发、技术咨询、技术交流、技术转让、技术推广；装卸搬运；普通货物仓储服务（不含危险化学品等需许可审批的项目）；非居住房地产租赁；商务代理代办服务；汽车零部件及配件制造。（除依法须经批准的项目外，凭营业执照依法自主开展经营活动）</t>
  </si>
  <si>
    <t>天津市鸿程汽车零部件有限公司</t>
  </si>
  <si>
    <t>2020-04-17</t>
  </si>
  <si>
    <t>91120116MA070BED9B</t>
  </si>
  <si>
    <t>天津开发区洞庭路132号南侧厂房部分区域及二层部分区域</t>
  </si>
  <si>
    <t>一般项目：汽车零部件研发；汽车零配件零售；汽车零配件批发；汽车零部件及配件制造；电机制造；五金产品制造；五金产品批发；五金产品零售；五金产品研发；塑料制品销售；电子元器件制造；电子元器件批发；电力电子元器件销售；汽车装饰用品销售。（除依法须经批准的项目外，凭营业执照依法自主开展经营活动）。</t>
  </si>
  <si>
    <t>卡车之家（天津）汽车配件有限公司</t>
  </si>
  <si>
    <t>2020-12-02</t>
  </si>
  <si>
    <t>91120112MA076W185F</t>
  </si>
  <si>
    <t>天津市津南区双港镇睿平道与慧科路交口西北侧坤港产业园13号楼13-3</t>
  </si>
  <si>
    <t>一般项目：汽车零部件及配件制造；汽车零配件批发；润滑油销售；汽车零配件零售。（除依法须经批准的项目外，凭营业执照依法自主开展经营活动）。</t>
  </si>
  <si>
    <t>天津聚德汽车配件有限公司</t>
  </si>
  <si>
    <t>2021-08-19</t>
  </si>
  <si>
    <t>91120111MA07E9DM7D</t>
  </si>
  <si>
    <t>天津市西青区李七庄街祥云路7号7-1号厂房</t>
  </si>
  <si>
    <t>一般项目：汽车零部件及配件制造；汽车零配件零售；汽车零配件批发；汽车装饰用品销售。（除依法须经批准的项目外，凭营业执照依法自主开展经营活动）</t>
  </si>
  <si>
    <t>天津市顺意成汽车零部件有限公司</t>
  </si>
  <si>
    <t>2016-05-03</t>
  </si>
  <si>
    <t>91120111MA05JMN28G</t>
  </si>
  <si>
    <t>天津市西青区杨柳青镇东桑园村委会西侧50米</t>
  </si>
  <si>
    <t>汽车零部件及配件、电动自行车配件制造、加工、销售。（依法须经批准的项目，经相关部门批准后方可开展经营活动）</t>
  </si>
  <si>
    <t>天津市路吉达汽车配件有限公司</t>
  </si>
  <si>
    <t>2009-04-13</t>
  </si>
  <si>
    <t>911201066877065270</t>
  </si>
  <si>
    <t>红桥区泛洋大厦2-903</t>
  </si>
  <si>
    <t>汽车零部件、紧固件、标准件、五金冲压件、劳保用品、橡胶制品、塑料制品、文体用品、办公用品、化工（不含危险品及易制毒品）、电线、电缆销售。（国家有专项专营规定的按规定执行）</t>
  </si>
  <si>
    <t>天津华诚汽车部件有限公司</t>
  </si>
  <si>
    <t>2023-11-08</t>
  </si>
  <si>
    <t>91120113MAD42FK11C</t>
  </si>
  <si>
    <t>天津市北辰区宜兴埠镇景观东路5号</t>
  </si>
  <si>
    <t>一般项目：汽车零部件及配件制造；技术服务、技术开发、技术咨询、技术交流、技术转让、技术推广；汽车零部件研发；塑料制品制造；模具制造；金属链条及其他金属制品制造；电子元器件制造；汽车零配件零售；模具销售；电力电子元器件销售；塑料制品销售。（除依法须经批准的项目外，凭营业执照依法自主开展经营活动）许可项目：道路货物运输（不含危险货物）。（依法须经批准的项目，经相关部门批准后方可开展经营活动，具体经营项目以相关部门批准文件或许可证件为准）</t>
  </si>
  <si>
    <t>天津市乐为汽车零部件有限公司</t>
  </si>
  <si>
    <t>2012-02-17</t>
  </si>
  <si>
    <t>91120110589770461G</t>
  </si>
  <si>
    <t>东丽区金钟街道南何庄村跃进路1199号</t>
  </si>
  <si>
    <t>汽车零部件生产、加工、批发兼零售。（以上经营范围涉及行业许可的凭许可证件，在有效期限内经营，国家有专项专营规定的按规定办理。）</t>
  </si>
  <si>
    <t>天津戴特汽车零部件制造有限公司</t>
  </si>
  <si>
    <t>2025-06-05</t>
  </si>
  <si>
    <t>91120113MAELPAK61F</t>
  </si>
  <si>
    <t>天津市北辰区天津北辰经济技术开发区陆路港物流装备产业园陆港五纬路2号（天津创铭铝制品有限公司院内）</t>
  </si>
  <si>
    <t>一般项目：汽车零部件及配件制造；金属链条及其他金属制品制造；汽车轮毂制造；自行车制造；机械零件、零部件加工；有色金属合金销售；轮胎销售；塑料制品销售；电动自行车销售；金属材料销售；金属制品销售；金属链条及其他金属制品销售；汽车零配件批发；汽车零配件零售；智能车载设备销售；非居住房地产租赁；机械设备租赁；物业管理；租赁服务（不含许可类租赁服务）；货物进出口；装卸搬运。（除依法须经批准的项目外，凭营业执照依法自主开展经营活动）</t>
  </si>
  <si>
    <t>天津市汽车电机二厂</t>
  </si>
  <si>
    <t>1995-12-01</t>
  </si>
  <si>
    <t>9112011323943103XW</t>
  </si>
  <si>
    <t>北辰区小淀镇政府南侧</t>
  </si>
  <si>
    <t>汽车发电机制造、汽车配件、汽车起动机制造、机加工、汽车、工程车水箱制造、五金工具、冲压件制造。（国家有专营、专项规定的按专营、专项规定办理）</t>
  </si>
  <si>
    <t>天津市园梦机电厂</t>
  </si>
  <si>
    <t>1997-12-04</t>
  </si>
  <si>
    <t>91120113239446987W</t>
  </si>
  <si>
    <t>北辰经济开发区</t>
  </si>
  <si>
    <t>电梯配件、汽车配件、纺织机械及配件、橡塑制品制造。（以上经营范围涉及行业许可的凭许可证件，在有效期限内经营，国家有专项专营规定的按规定办理）</t>
  </si>
  <si>
    <t>天津市银光散热器厂</t>
  </si>
  <si>
    <t>1998-09-03</t>
  </si>
  <si>
    <t>911201137005562375</t>
  </si>
  <si>
    <t>天津市北辰区大张庄镇大张庄村南衡里56号</t>
  </si>
  <si>
    <t>散热器制造、加工；金属表面处理。（国家有专营专项规定的按专营专项规定办理）</t>
  </si>
  <si>
    <t>天津市弘耀汽车零部件有限公司</t>
  </si>
  <si>
    <t>2018-10-15</t>
  </si>
  <si>
    <t>91120111MA06FHU959</t>
  </si>
  <si>
    <t>天津市西青区杨柳青镇富力杰大酒店院内蓝领公寓1号楼1508室</t>
  </si>
  <si>
    <t>一般项目：汽车零配件零售；汽车零配件批发；轮胎销售；摩托车及零配件零售；五金产品批发；自行车及零配件批发；摩托车及零配件批发；建筑用金属配件销售；五金产品零售；金属工具销售；家具零配件销售；有色金属合金销售；机械零件、零部件加工；机械零件、零部件销售；劳务服务（不含劳务派遣）。（除依法须经批准的项目外，凭营业执照依法自主开展经营活动）</t>
  </si>
  <si>
    <t>天津百斯特汽车配件有限公司</t>
  </si>
  <si>
    <t>2022-08-15</t>
  </si>
  <si>
    <t>91120111MABUAJ342D</t>
  </si>
  <si>
    <t>天津市西青区杨柳青镇津同公路与大柳滩北路交口西北方向942米院内7号厂房</t>
  </si>
  <si>
    <t>一般项目：汽车零部件及配件制造；摩托车零配件制造；自行车制造；助动车制造；电动自行车销售；汽车零配件零售；汽车零配件批发；电车销售；摩托车及零配件零售；摩托车及零配件批发；自行车及零配件批发；自行车及零配件零售；助动自行车、代步车及零配件销售；五金产品批发；五金产品零售；技术服务、技术开发、技术咨询、技术交流、技术转让、技术推广。（除依法须经批准的项目外，凭营业执照依法自主开展经营活动）</t>
  </si>
  <si>
    <t>天津市国安汽车配件厂</t>
  </si>
  <si>
    <t>1997-08-27</t>
  </si>
  <si>
    <t>91120113239445300M</t>
  </si>
  <si>
    <t>北辰区大张庄乡大杨庄村</t>
  </si>
  <si>
    <t>汽车配件制造、五金制品加工、机加工、冲压件加工。（国家有专营、专项规定的按专营、专项规定办理）</t>
  </si>
  <si>
    <t>天津世纪腾华机电科技有限公司</t>
  </si>
  <si>
    <t>2000-01-12</t>
  </si>
  <si>
    <t>91120110718260186E</t>
  </si>
  <si>
    <t>天津市东丽区蓝庭公寓12号楼507</t>
  </si>
  <si>
    <t>汽车配件、机械配件组装、销售及售后服务；办公用品、电子元器件、仪器仪表批发兼零售；电器设备开发、制造、批发兼零售；电器设备相关信息咨询、服务。（依法须经批准的项目，经相关部门批准后方可开展经营活动）</t>
  </si>
  <si>
    <t>天津市民锐汽车零部件有限公司</t>
  </si>
  <si>
    <t>2011-02-14</t>
  </si>
  <si>
    <t>91120111569308640A</t>
  </si>
  <si>
    <t>西青区杨柳青京福公路口铁道北</t>
  </si>
  <si>
    <t>汽车配件、钢铁铸件制造、加工、销售；金属焊接加工；机械加工；钢压延加工；五金电料、金属材料批发兼零售。（以上经营范围涉及行业许可的凭许可证件，在有效期限内经营，国家有专项专营规定的按规定办理）</t>
  </si>
  <si>
    <t>天津市新纪成汽车备品有限公司</t>
  </si>
  <si>
    <t>2008-11-04</t>
  </si>
  <si>
    <t>91120110681852953D</t>
  </si>
  <si>
    <t>天津市东丽区万新街南大桥东</t>
  </si>
  <si>
    <t>汽车配件制造；润滑油脂、防冻液生产、加工及分装；汽车滤清器、汽车装俱的生产、加工。（涉及国家有专项专营规定的，按规定执行；涉及行业许可的，凭许可证或批准文件经营。）</t>
  </si>
  <si>
    <t>江恩（天津）汽车零部件有限公司</t>
  </si>
  <si>
    <t>2023-04-24</t>
  </si>
  <si>
    <t>91120113MACG73XJ5U</t>
  </si>
  <si>
    <t>天津市北辰区双街镇双海道6号</t>
  </si>
  <si>
    <t>一般项目：汽车零部件及配件制造；塑料制品制造；电气设备销售；机械设备销售；汽车零配件零售；汽车零配件批发；五金产品批发；五金产品零售；光伏设备及元器件销售；橡胶制品销售；劳动保护用品销售；技术服务、技术开发、技术咨询、技术交流、技术转让、技术推广；密封胶制造；橡胶制品制造。（除依法须经批准的项目外，凭营业执照依法自主开展经营活动）</t>
  </si>
  <si>
    <t>天津车智连汽车电子有限公司</t>
  </si>
  <si>
    <t>2023-11-27</t>
  </si>
  <si>
    <t>91120103MAD5YAXG95</t>
  </si>
  <si>
    <t>天津市河西区解放南路613号环渤海汽车城B区52号</t>
  </si>
  <si>
    <t>一般项目：汽车装饰用品销售；新型膜材料制造；新型膜材料销售；汽车零部件及配件制造；电子元器件批发；电子元器件零售；汽车零部件再制造；机械零件、零部件销售；音响设备销售；地板销售；地板制造；塑料制品销售。（除依法须经批准的项目外，凭营业执照依法自主开展经营活动）。</t>
  </si>
  <si>
    <t>天津市津源昊天汽车部件有限公司</t>
  </si>
  <si>
    <t>2022-11-08</t>
  </si>
  <si>
    <t>91120111MAC1MGK78P</t>
  </si>
  <si>
    <t>天津市西青区中北镇大稍直口村南紫阳道1号不锈钢城C区1号院内2-1号</t>
  </si>
  <si>
    <t>一般项目：汽车零配件批发；汽车零配件零售；汽车销售；新能源汽车整车销售；汽车装饰用品销售；汽车零部件研发；电力电子元器件销售；电子元器件批发；五金产品批发；五金产品零售；塑料制品销售；工程塑料及合成树脂销售；化工产品销售（不含许可类化工产品）；电子产品销售；第一类医疗器械销售；第二类医疗器械销售；包装服务；汽车零部件及配件制造。（除依法须经批准的项目外，凭营业执照依法自主开展经营活动）</t>
  </si>
  <si>
    <t>天津市轮帮汽车配件有限公司</t>
  </si>
  <si>
    <t>2019-09-16</t>
  </si>
  <si>
    <t>91120110MA06TB6W0H</t>
  </si>
  <si>
    <t>天津市东丽区新立街新立村津塘公路与新立陵园路交北21号</t>
  </si>
  <si>
    <t>汽车零配件、汽车用品零售；汽车维修、汽车保养服务。（依法须经批准的项目，经相关部门批准后方可开展经营活动）</t>
  </si>
  <si>
    <t>天津鑫喆汽车部件有限公司</t>
  </si>
  <si>
    <t>2023-04-21</t>
  </si>
  <si>
    <t>91120110MACFWB2A1C</t>
  </si>
  <si>
    <t>天津市东丽区东丽开发区二纬路16号一车间</t>
  </si>
  <si>
    <t>一般项目：通用设备制造（不含特种设备制造）；机械零件、零部件加工；技术服务、技术开发、技术咨询、技术交流、技术转让、技术推广；智能控制系统集成；机械电气设备制造；通用设备修理；电气设备修理；专用设备修理；五金产品批发；五金产品零售；光缆销售；电线、电缆经营；机械电气设备销售；电子专用设备销售；电工器材销售；办公用品销售；体育用品及器材零售；体育用品及器材批发；纸制品销售；文具用品零售；文具用品批发；化工产品销售（不含许可类化工产品）；日用杂品销售；厨具卫具及日用杂品研发；厨具卫具及日用杂品零售；机械设备租赁；劳务服务（不含劳务派遣）；电工机械专用设备制造；制冷、空调设备制造；专用化学产品销售（不含危险化学品）；专用化学产品制造（不含危险化学品）；润滑油销售；日用化学产品销售；劳动保护用品销售；物料搬运装备制造；非居住房地产租赁；总质量4.5吨及以下普通货运车辆道路货物运输（除网络货运和危险货物）；建筑物清洁服务；建筑材料销售；建筑装饰材料销售；土石方工程施工。（除依法须经批准的项目外，凭营业执照依法自主开展经营活动）许可项目：建设工程施工。（依法须经批准的项目，经相关部门批准后方可开展经营活动，具体经营项目以相关部门批准文件或许可证件为准）</t>
  </si>
  <si>
    <t>上海辉旭密封材料有限公司天津分公司</t>
  </si>
  <si>
    <t>2007-05-08</t>
  </si>
  <si>
    <t>91120112660333783J</t>
  </si>
  <si>
    <t>天津市津南区双港镇工业园区</t>
  </si>
  <si>
    <t>生产汽车用高性能防锈涂料、高性能密封条、粘结剂、钢板补强材以及隔音材的关联制品（限分公司），销售自产产品，销售汽车用刹车油、制冷剂、汽车用零部件及配件，上述同类商品的进出口、批发，提供相关的配套服务（涉及配额许可证管理、专项规定管理的商品，按照国家有关规定办理）（涉及行政许可的，凭许可证经营）***（依法须经批准的项目，经相关部门批准后方可开展经营活动）</t>
  </si>
  <si>
    <t>天津市鸿锦汽车零部件有限公司</t>
  </si>
  <si>
    <t>2023-09-22</t>
  </si>
  <si>
    <t>91120111MAD05XDR18</t>
  </si>
  <si>
    <t>天津市西青区中北镇中北工业园北园汇丰路16号</t>
  </si>
  <si>
    <t>一般项目：汽车零部件及配件制造；机械零件、零部件加工。（除依法须经批准的项目外，凭营业执照依法自主开展经营活动）</t>
  </si>
  <si>
    <t>天津市华锦汽车配件有限公司</t>
  </si>
  <si>
    <t>2022-08-10</t>
  </si>
  <si>
    <t>91120103MABWC5TW17</t>
  </si>
  <si>
    <t>天津市河西区大任庄路（汽配城新区125号）</t>
  </si>
  <si>
    <t>一般项目：汽车零配件批发；汽车零配件零售；汽车装饰用品销售；润滑油销售。（除依法须经批准的项目外，凭营业执照依法自主开展经营活动）</t>
  </si>
  <si>
    <t>鑫田（天津）汽车部件有限公司</t>
  </si>
  <si>
    <t>2025-02-11</t>
  </si>
  <si>
    <t>91120113MAEBHJU67K</t>
  </si>
  <si>
    <t>天津市北辰区青光镇韩家墅村幸福路7号院内</t>
  </si>
  <si>
    <t>一般项目：汽车零部件及配件制造；模具制造；模具销售；塑料制品制造；塑料制品销售；橡胶制品销售；五金产品制造；五金产品零售；五金产品批发；金属制品研发；金属加工机械制造；金属制品销售；通用设备制造（不含特种设备制造）；通用零部件制造；机械零件、零部件加工；机械零件、零部件销售；汽车零配件批发；汽车零配件零售。（除依法须经批准的项目外，凭营业执照依法自主开展经营活动）</t>
  </si>
  <si>
    <t>天津澳达汽车零部件制造有限公司</t>
  </si>
  <si>
    <t>2025-05-09</t>
  </si>
  <si>
    <t>91120110MAEHE0P54D</t>
  </si>
  <si>
    <t>天津市东丽区金钟街东安驾校一号路与南孙庄规划路交叉口（东安驾校院内8号厂房）</t>
  </si>
  <si>
    <t>一般项目：汽车零部件及配件制造；汽车零配件批发；汽车零配件零售；汽车零部件研发；汽车零部件再制造；机械零件、零部件加工；机械零件、零部件销售；通用零部件制造；汽车装饰用品销售；新能源汽车电附件销售；摩托车及零配件批发；五金产品制造；五金产品批发；五金产品研发。（除依法须经批准的项目外，凭营业执照依法自主开展经营活动）</t>
  </si>
  <si>
    <t>天津鑫津益汽车零部件有限公司</t>
  </si>
  <si>
    <t>2023-11-07</t>
  </si>
  <si>
    <t>91120103MAD1QHP5XF</t>
  </si>
  <si>
    <t>天津市河西区解放南路汽配城新区137号</t>
  </si>
  <si>
    <t>一般项目：汽车零配件批发；汽车零配件零售；轮胎销售；润滑油销售；汽车装饰用品销售；高性能纤维及复合材料销售；高纯元素及化合物销售；橡胶制品销售；塑料制品销售。（除依法须经批准的项目外，凭营业执照依法自主开展经营活动）</t>
  </si>
  <si>
    <t>天津市骏驰集团有限公司</t>
  </si>
  <si>
    <t>吊销（2006-11-19）</t>
  </si>
  <si>
    <t>1998-02-20</t>
  </si>
  <si>
    <t>911200007128186449</t>
  </si>
  <si>
    <t>西青区中北镇西马村</t>
  </si>
  <si>
    <t>汽车油箱、汽车配件的制造及加工;商业、装饰材料的批发、零售（以上范围内国家有专营专项规定的按规定办理）。</t>
  </si>
  <si>
    <t>天津华丰汽车装饰有限公司</t>
  </si>
  <si>
    <t>注销（2024-03-04）</t>
  </si>
  <si>
    <t>1995-09-11</t>
  </si>
  <si>
    <t>91120104600891062K</t>
  </si>
  <si>
    <t>天津市南开区长江道543号</t>
  </si>
  <si>
    <t>研究、开发、生产和销售各种汽车的座椅、装饰件、零部件及以上产品的批发、佣金代理（拍卖除外）、进出口和售后服务（上述涉及配额许可证管理、专项规定管理的商品按照国家有关规定办理）</t>
  </si>
  <si>
    <t>鹏驰五金制品有限公司天津分公司</t>
  </si>
  <si>
    <t>2005-04-20</t>
  </si>
  <si>
    <t>91120111773616982A</t>
  </si>
  <si>
    <t>天津市南开区密云路与黄河道交口西南侧北方城二区33-102</t>
  </si>
  <si>
    <t>台、港、澳投资企业分支机构</t>
  </si>
  <si>
    <t>销售本公司生产的产品。（依法须经批准的项目，经相关部门批准后方可开展经营活动）</t>
  </si>
  <si>
    <t>吉林万吉援环保设备有限公司天津分公司</t>
  </si>
  <si>
    <t>2010-06-12</t>
  </si>
  <si>
    <t>91120110572311621Q</t>
  </si>
  <si>
    <t>天津市东丽区新立街道西杨场小学西侧院内</t>
  </si>
  <si>
    <t>生产安装废弃混凝土回收再利用设备、工程车辆洗轮设备、泥浆离设备、散流体运输车自动扣盖设备，并提供相应技术服务（国家有专项专营规定的，按照规定执行；涉及行业许可的，凭批准文件、证件经营）。（依法须经批准的项目，经相关部门批准后方可开展经营活动）</t>
  </si>
  <si>
    <t>天津市汽车车轮厂分厂</t>
  </si>
  <si>
    <t>注销（2019-04-11）</t>
  </si>
  <si>
    <t>1988-03-14</t>
  </si>
  <si>
    <t>911201111037872569</t>
  </si>
  <si>
    <t>西青区杨柳青柳口路30号</t>
  </si>
  <si>
    <t>汽车配件制造（汽车轮总成装配）高频磁（火花塞）;加工汽车档圈、锁圈、汽车发动机瓦盖。</t>
  </si>
  <si>
    <t>天津瑞博通汽车部品有限公司</t>
  </si>
  <si>
    <t>注销（2018-10-29）</t>
  </si>
  <si>
    <t>1992-08-20</t>
  </si>
  <si>
    <t>911201111038261120</t>
  </si>
  <si>
    <t>天津西青汽车工业区润杨道</t>
  </si>
  <si>
    <t>汽车零部件、汽车电器、汽车装俱、汽车水箱、汽车收录机制造、加工；冲压件、板金件加工、修理；汽车配件、橡胶件、五金工具、化工产品（危险品及易制毒化学品除外）、日用百货、轮胎、电工器材零售兼批发；仓储服务（不含危险品储存）；房屋租赁、劳务服务（不含涉外劳务）；机电设备租赁、汽车租赁；车用燃气气瓶安装（取得特种设备安全监察部门许可后经营）；普通货运。（依法须经批准的项目，经相关部门批准后方可开展经营活动）</t>
  </si>
  <si>
    <t>天津清阳汽车部件有限公司东丽分公司</t>
  </si>
  <si>
    <t>2014-01-10</t>
  </si>
  <si>
    <t>911201100731452864</t>
  </si>
  <si>
    <t>天津市东丽区经济开发区内天津新兴数字电子有限公司院内D-09区</t>
  </si>
  <si>
    <t>生产、销售汽车零部件，汽车零部件技术的开发、转让、咨询服务。（依法须经批准的项目，经相关部门批准后方可开展经营活动）</t>
  </si>
  <si>
    <t>天津市精华物资供销有限公司汽车消声器厂</t>
  </si>
  <si>
    <t>2003-04-11</t>
  </si>
  <si>
    <t>91120110MA05P80770</t>
  </si>
  <si>
    <t>天津市东丽开发区三纬路2号</t>
  </si>
  <si>
    <t>汽车配件、机械配件加工、制造；机加工。（涉及国家有专项、专营规定的，按规定执行）</t>
  </si>
  <si>
    <t>英莳精密部件（无锡）有限公司天津办事处</t>
  </si>
  <si>
    <t>2003-07-16</t>
  </si>
  <si>
    <t>911200007522132522</t>
  </si>
  <si>
    <t>天津市河西区南京路20号金皇大厦25层06室</t>
  </si>
  <si>
    <t>负责本公司经营范围内的咨询联络</t>
  </si>
  <si>
    <t>天津宝钢钢材配送有限公司北辰分公司</t>
  </si>
  <si>
    <t>2022-09-21</t>
  </si>
  <si>
    <t>91120113MA821C634C</t>
  </si>
  <si>
    <t>天津市北辰区天津北辰经济技术开发区科技园景云路9号（天津武钢钢材加工有限公司院内）</t>
  </si>
  <si>
    <t>一般项目：钢压延加工；汽车零部件及配件制造；金属材料销售；汽车零配件批发；普通货物仓储服务（不含危险化学品等需许可审批的项目）。（除依法须经批准的项目外，凭营业执照依法自主开展经营活动）</t>
  </si>
  <si>
    <t>黎安（天津）国际贸易有限公司市内办事处</t>
  </si>
  <si>
    <t>2002-11-29</t>
  </si>
  <si>
    <t>91120000MA05U9114P</t>
  </si>
  <si>
    <t>天津市河东区光华路1号军旅公寓1-3-1-3A号底商</t>
  </si>
  <si>
    <t>本公司业务联络***</t>
  </si>
  <si>
    <t>天津爱信汽车零部件有限公司</t>
  </si>
  <si>
    <t>1997-07-14</t>
  </si>
  <si>
    <t>天津市北辰区经济开发小区双源道8号</t>
  </si>
  <si>
    <t>生产、销售汽车制动系统、离合器系统零部件及相关产品;售后服务</t>
  </si>
  <si>
    <t>天津日业汽车零部件有限公司</t>
  </si>
  <si>
    <t>注销（2016-05-11）</t>
  </si>
  <si>
    <t>2013-12-17</t>
  </si>
  <si>
    <t>911202220865605180</t>
  </si>
  <si>
    <t>天津市东丽区华明工业园区金地企业总部A区C座545室</t>
  </si>
  <si>
    <t>汽车零配件、金属结构件、模具、塑料包装容器、塑料零件、服装制造、销售,五金产品、装饰装修材料、建筑材料、金属材料、摩托车零配件销售,商务信息咨询,劳动服务,货物进出口。（依法须经批准的项目,经相关部门批准后方可开展经营活动）</t>
  </si>
  <si>
    <t>天津可隆汽车配件有限公司</t>
  </si>
  <si>
    <t>注销（2023-11-07）</t>
  </si>
  <si>
    <t>2018-01-04</t>
  </si>
  <si>
    <t>91120111MA069DTX1G</t>
  </si>
  <si>
    <t>天津市西青经济技术开发区民和道27号院内21号厂房-2-20</t>
  </si>
  <si>
    <t>一般项目：汽车零部件及配件制造；汽车零配件批发；汽车零配件零售；汽车零部件研发；日用产品修理。（除依法须经批准的项目外，凭营业执照依法自主开展经营活动）许可项目：货物进出口。（不得投资《外商投资准入负面清单》中禁止外商投资的领域）（依法须经批准的项目，经相关部门批准后方可开展经营活动，具体经营项目以相关部门批准文件或许可证件为准）</t>
  </si>
  <si>
    <t>津田（天津）汽车零配件有限公司</t>
  </si>
  <si>
    <t>注销（2023-03-16）</t>
  </si>
  <si>
    <t>2019-02-15</t>
  </si>
  <si>
    <t>91120113MA06JBX735</t>
  </si>
  <si>
    <t>天津市北辰区天津北辰经济技术开发区高端装备制造产业园通跃路西侧</t>
  </si>
  <si>
    <t>汽车配件、模具、冲压制品、机械设备零部件、塑料制品加工（废塑料加工除外）、销售;五金交电批发兼零售;货物或技术进出口（国家禁止或涉及行政审批的货物和技术进出口除外）。（依法须经批准的项目,经相关部门批准后方可开展经营活动）</t>
  </si>
  <si>
    <t>天津宏友汽车配件制造有限公司</t>
  </si>
  <si>
    <t>注销（2019-06-28）</t>
  </si>
  <si>
    <t>2018-03-30</t>
  </si>
  <si>
    <t>91120111MA06B0JH2B</t>
  </si>
  <si>
    <t>天津市西青经济技术开发区赛达北三道2号-2</t>
  </si>
  <si>
    <t>汽车零部件、减震材料、胶片、胶带、密封材料（危险品及易制毒品除外）生产、技术开发、技术咨询、销售;碳纤维增强复合材料、石墨制品、3D打印耗材技术开发、生产、销售;道路货物运输。（依法须经批准的项目,经相关部门批准后方可开展经营活动）</t>
  </si>
  <si>
    <t>天津易丰易通汽车电子有限公司</t>
  </si>
  <si>
    <t>吊销（2020-06-24）</t>
  </si>
  <si>
    <t>2008-06-27</t>
  </si>
  <si>
    <t>91120111675969987Y</t>
  </si>
  <si>
    <t>华苑产业区海泰发展六道6号海泰绿色产业基地K2座3门202A室</t>
  </si>
  <si>
    <t>汽车电子零部件加工及技术开发;汽车配件（不含五大总成）、化工（危险品及易制毒品除外）的批发兼零售;货物进出口（国家法律法规禁止进出口的除外）。（国家有专项专营规定的按规定执行涉及行业许可的凭许可证或批准文件经营）</t>
  </si>
  <si>
    <t>天津贤诚交通器材有限公司</t>
  </si>
  <si>
    <t>吊销（2017-06-14）</t>
  </si>
  <si>
    <t>1992-11-28</t>
  </si>
  <si>
    <t>9112011660056327XF</t>
  </si>
  <si>
    <t>天津经济技术开发区第一大街欣园小区一号楼4号</t>
  </si>
  <si>
    <t>有限责任公司（台港澳与境内合作）</t>
  </si>
  <si>
    <t>废旧交通器材的深加工、再生、销售；进口汽车零配件的改制和销售及售后维修服务</t>
  </si>
  <si>
    <t>天津津信汽车塑料制品有限公司</t>
  </si>
  <si>
    <t>注销（2019-09-09）</t>
  </si>
  <si>
    <t>1993-08-27</t>
  </si>
  <si>
    <t>91120111600575289G</t>
  </si>
  <si>
    <t>天津市西青区杨柳青镇柳霞路93号</t>
  </si>
  <si>
    <t>有限责任公司（外商投资企业投资）</t>
  </si>
  <si>
    <t>生产、销售汽车塑料配件、研制开发其它塑料制品***（依法须经批准的项目，经相关部门批准后方可开展经营活动）</t>
  </si>
  <si>
    <t>天津弹簧制造有限公司</t>
  </si>
  <si>
    <t>1981-08-15</t>
  </si>
  <si>
    <t>9112000010307044XB</t>
  </si>
  <si>
    <t>天津市南开区芥园西道215号</t>
  </si>
  <si>
    <t>弹簧及弹簧设备制造；弹簧技术咨询；汽车配件；自有房屋租赁；机械设备租赁；物业管理；劳务服务；机械零部件加工、制造；仓储服务（危险品除外）；供热服务（以上范围内国家有专营专项规定的按规定办理）。</t>
  </si>
  <si>
    <t>天津市刹车管厂有限公司</t>
  </si>
  <si>
    <t>注销（2024-06-28）</t>
  </si>
  <si>
    <t>1981-07-27</t>
  </si>
  <si>
    <t>91120103103299674J</t>
  </si>
  <si>
    <t>河西区绍兴道103号</t>
  </si>
  <si>
    <t>汽车配件制造；房屋租赁。（依法须经批准的项目，经相关部门批准后方可开展经营活动）</t>
  </si>
  <si>
    <t>天津市银泰客车桥有限公司</t>
  </si>
  <si>
    <t>吊销（2020-06-25）</t>
  </si>
  <si>
    <t>1981-08-29</t>
  </si>
  <si>
    <t>91120111103070562J</t>
  </si>
  <si>
    <t>西青区津静公路十字渠桥北</t>
  </si>
  <si>
    <t>汽车、拖拉机零部件制造；自有房屋、厂房、机电设备租赁；经营进料加工；物资仓储（危险品除外）；土地开发；为企业提供劳务服务；进出口业务；与汽车零部件生产有关的技术咨询；家具、建筑材料、水性涂料、装饰装修材料、五金交电、灯具、电子产品、电气设备、通讯设备、厨房用具、日用品、文化用品、体育用品、服装、钟表、眼镜、工艺美术品、石材批发兼零售；烟零售；石材加工。（依法须经批准的项目，经相关部门批准后方可开展经营活动）</t>
  </si>
  <si>
    <t>天津市汽车制动器有限公司</t>
  </si>
  <si>
    <t>注销（2022-05-16）</t>
  </si>
  <si>
    <t>1981-08-14</t>
  </si>
  <si>
    <t>91120106103542574N</t>
  </si>
  <si>
    <t>红桥区青年路45号</t>
  </si>
  <si>
    <t>汽车配件制造；进出口贸易；普通货运（许可经营项目的经营期限以许可证为准）。（国家有专项专营规定的，按规定执行。）</t>
  </si>
  <si>
    <t>天津市活塞厂</t>
  </si>
  <si>
    <t>北辰区顺义道</t>
  </si>
  <si>
    <t>汽车配件制造、铸件制造。</t>
  </si>
  <si>
    <t>天津市华鹏交通器材厂</t>
  </si>
  <si>
    <t>91120106MA067620XP</t>
  </si>
  <si>
    <t>（红）光荣道保康路3号</t>
  </si>
  <si>
    <t>汽车配件、摩托车配件、化工机械、水处理剂、洗涤剂制造、加工；自行车零件、脱脂剂、磷化剂、无机防腐材料、日用塑料制品制造、加工。</t>
  </si>
  <si>
    <t>天津市腾发伟业汽车真皮座套有限公司</t>
  </si>
  <si>
    <t>注销（2025-07-09）</t>
  </si>
  <si>
    <t>91120111566133080P</t>
  </si>
  <si>
    <t>天津市西青区大寺镇大寺工业园鸿泽路35号-1-31</t>
  </si>
  <si>
    <t>汽车装具、内饰用品制造、加工、批发兼零售；办公用品、汽车用品、日用百货批发兼零售。（依法须经批准的项目，经相关部门批准后方可开展经营活动）</t>
  </si>
  <si>
    <t>天津纳士利汽车修理有限公司</t>
  </si>
  <si>
    <t>1993-06-25</t>
  </si>
  <si>
    <t>91120101600572176B</t>
  </si>
  <si>
    <t>天津市和平区哈尔滨道8号</t>
  </si>
  <si>
    <t>汽车维修、检测、改装、清洗;汽车零配件的加工、销售</t>
  </si>
  <si>
    <t>天津市汽车变速器厂</t>
  </si>
  <si>
    <t>吊销（2013-12-02）</t>
  </si>
  <si>
    <t>1981-10-30</t>
  </si>
  <si>
    <t>河东区津塘路64号</t>
  </si>
  <si>
    <t>汽车配件（变速器总成及配件）制造；汽车货运；虑芯制造；热处理加工；劳务服务；自有房屋租赁。</t>
  </si>
  <si>
    <t>天津市汽车电机厂</t>
  </si>
  <si>
    <t>吊销（2005-08-22）</t>
  </si>
  <si>
    <t>1981-08-31</t>
  </si>
  <si>
    <t>91120113103921080N</t>
  </si>
  <si>
    <t>北辰区小淀村南</t>
  </si>
  <si>
    <t>汽车配件制造（汽车发电机）。</t>
  </si>
  <si>
    <t>天津市汽车配件一厂</t>
  </si>
  <si>
    <t>91120104103388992H</t>
  </si>
  <si>
    <t>南开区长江道18号</t>
  </si>
  <si>
    <t>汽车配件制造。（国家有专项专营规定的按行业审批范围及时限执行）</t>
  </si>
  <si>
    <t>福日德（天津）制管有限公司</t>
  </si>
  <si>
    <t>1998-06-02</t>
  </si>
  <si>
    <t>911201057004769074</t>
  </si>
  <si>
    <t>天津市河北区革新道7号</t>
  </si>
  <si>
    <t>汽车、电冰箱用双层卷焊管的制造、销售</t>
  </si>
  <si>
    <t>天津市沃克斯汽车零部件有限公司</t>
  </si>
  <si>
    <t>1998-04-22</t>
  </si>
  <si>
    <t>91120116MA05Y53185</t>
  </si>
  <si>
    <t>南开区长江道69号增5号</t>
  </si>
  <si>
    <t>技术开发、咨询、服务、转让（电子与信息、机电一体化、新材料的技术及产品）；汽车滤清器制造。</t>
  </si>
  <si>
    <t>天津汽车暖风机有限公司</t>
  </si>
  <si>
    <t>吊销（2011-11-08）</t>
  </si>
  <si>
    <t>1981-07-28</t>
  </si>
  <si>
    <t>91120113103070394D</t>
  </si>
  <si>
    <t>天津北辰科技园区津围公路</t>
  </si>
  <si>
    <t>汽车配件制造。（以上范围内国家有专营专项规定的按规定办理）</t>
  </si>
  <si>
    <t>天津市汽车桥厂</t>
  </si>
  <si>
    <t>津北辰区京津公路南仓</t>
  </si>
  <si>
    <t>汽车配件制造。汽车货运。</t>
  </si>
  <si>
    <t>天津市岳恒工贸有限公司</t>
  </si>
  <si>
    <t>1999-08-19</t>
  </si>
  <si>
    <t>91120110712947403X</t>
  </si>
  <si>
    <t>东丽区新立街新立村</t>
  </si>
  <si>
    <t>汽车线束、通用仪器仪表元件、器件、电器设备元件、电器线束、电动机、电动自行车制造；机械加工；机电技术开发、咨询（中介除外）、服务、转让；机电产品（小轿车除外）、计算机及外围设备、文化办公用品、机械电子设备、汽车（小轿车除外）批发兼零售；计算机安装、维修。（涉及国家有专项专营规定的，按规定执行；涉及行业许可的，凭许可证或批准文件经营）</t>
  </si>
  <si>
    <t>天津市河北区众城实业公司</t>
  </si>
  <si>
    <t>吊销（2012-12-28）</t>
  </si>
  <si>
    <t>1988-02-23</t>
  </si>
  <si>
    <t>91120105103485266E</t>
  </si>
  <si>
    <t>河北区水产前街26号</t>
  </si>
  <si>
    <t>汽车刹车蹄、服装制造;商品、物资批发兼零售;冲压件、结构件、起重设备、交电、制冷设备修理;钢材加工;为企业及家庭提供劳务服务。**范围范围中国家有专营专项规定的按专营专项规定办理</t>
  </si>
  <si>
    <t>天津市方向器制造厂</t>
  </si>
  <si>
    <t>注销（2019-07-09）</t>
  </si>
  <si>
    <t>1983-12-23</t>
  </si>
  <si>
    <t>河北区养鱼池路14号</t>
  </si>
  <si>
    <t>汽车配件制造；冲压件、打气筒、组合夹具元件加工。**经营范围中国家有专营专项规定的按专营专项规定办理</t>
  </si>
  <si>
    <t>天津柯文汽车零部件有限公司</t>
  </si>
  <si>
    <t>注销（2018-01-29）</t>
  </si>
  <si>
    <t>2016-10-12</t>
  </si>
  <si>
    <t>91120111MA05L8FK7Q</t>
  </si>
  <si>
    <t>天津市西青区杨柳青农场百川路42号B区</t>
  </si>
  <si>
    <t>模具、汽车零配件、汽车线束、电器制造;机械加工;注塑加工;货物进出口;汽车线束及汽车部品的检测实验服务;模具技术开发、设计、咨询;房屋租赁;设备租赁及销售。（依法须经批准的项目,经相关部门批准后方可开展经营活动）</t>
  </si>
  <si>
    <t>天津轻型发动机有限公司</t>
  </si>
  <si>
    <t>1996-11-27</t>
  </si>
  <si>
    <t>天津市西青区中北镇曹庄火车站对过</t>
  </si>
  <si>
    <t>有限责任公司（国有独资）</t>
  </si>
  <si>
    <t>内燃机及零部件制造;汽车零部件制造;机械零部件制造及加工;工艺装备设计制造及加工（以上范围内国家有专营专项规定的按规定办理）。</t>
  </si>
  <si>
    <t>天津艾玛特动力系统有限公司</t>
  </si>
  <si>
    <t>吊销（2012-12-20）</t>
  </si>
  <si>
    <t>2007-08-16</t>
  </si>
  <si>
    <t>91120111666101203R</t>
  </si>
  <si>
    <t>西青区李七庄街天祥工业区祥遵路9号</t>
  </si>
  <si>
    <t>汽车动力系统总成（不含发动机制造）及零部件的设计、生产与销售;汽车动力系统总成及零部件技术的咨询与服务;汽车零部件的批发与零售。（国家有专项专营规定的按规定执行涉及行业许可的凭许可证或批准文件经营）</t>
  </si>
  <si>
    <t>天津市南开区佳成汽车配件厂</t>
  </si>
  <si>
    <t>1991-05-14</t>
  </si>
  <si>
    <t>南开区水上公园西侧八里台大队工业小区</t>
  </si>
  <si>
    <t>汽车配件。（5627）</t>
  </si>
  <si>
    <t>天津晨阳交通器材有限责任公司</t>
  </si>
  <si>
    <t>注销（2022-02-16）</t>
  </si>
  <si>
    <t>91120105103481484Q</t>
  </si>
  <si>
    <t>河北区红星支路1号</t>
  </si>
  <si>
    <t>汽车配件制造；摩托车、汽车配件、机械电子设备批发兼零售；普通货运（有效期至2010年7月3日）、为企业及家庭提供劳务服务。**经营范围中国家有专营专项规定的按专营专项规定办理</t>
  </si>
  <si>
    <t>天津新陆汽车部件有限公司</t>
  </si>
  <si>
    <t>天津市河东区大直沽西街14号</t>
  </si>
  <si>
    <t>汽车零部件制造（以上范围内国家有专营专项规定的按规定办理）。</t>
  </si>
  <si>
    <t>天津市东丽区星途汽车配件经营部</t>
  </si>
  <si>
    <t>2020-11-18</t>
  </si>
  <si>
    <t>92120110MA076FCM37</t>
  </si>
  <si>
    <t>天津市东丽区张贵庄街道福山北路22号</t>
  </si>
  <si>
    <t>一般项目：汽车零配件批发；汽车零配件零售；汽车装饰用品销售；汽车拖车、求援、清障服务；汽车租赁；五金产品批发；五金产品零售；办公用品销售；日用百货销售。（除依法须经批准的项目外，凭营业执照依法自主开展经营活动）。</t>
  </si>
  <si>
    <t>天津市西青区玉环汽车底盘部件厂</t>
  </si>
  <si>
    <t>2012-01-04</t>
  </si>
  <si>
    <t>92120111L45915848A</t>
  </si>
  <si>
    <t>西青区精武镇吴庄子村</t>
  </si>
  <si>
    <t>汽车零部件制造、销售。（以上经营范围涉及行业许可的凭许可证件，在有效期限内经营，国家有专项专营规定的按规定办理）</t>
  </si>
  <si>
    <t>天津市津南区恒达亚迪汽车零配件经营部</t>
  </si>
  <si>
    <t>2020-09-24</t>
  </si>
  <si>
    <t>92120112MA0755G57N</t>
  </si>
  <si>
    <t>天津市津南区双港镇红磡领世郡常春藤花园61-1-101</t>
  </si>
  <si>
    <t>一般项目:汽车零配件零售;汽车零配件批发。（除依法须经批准的项目外,凭营业执照依法自主开展经营活动）。</t>
  </si>
  <si>
    <t>天津市北辰区鑫业驰骋汽车零部件店</t>
  </si>
  <si>
    <t>2017-09-08</t>
  </si>
  <si>
    <t>92120113MA05W75Y5M</t>
  </si>
  <si>
    <t>天津市北辰区天穆镇辰盛路61号</t>
  </si>
  <si>
    <t>汽车配件、润滑油脂、五金工具批发兼零售；汽车维修服务。（依法须经批准的项目，经相关部门批准后方可开展经营活动）</t>
  </si>
  <si>
    <t>天津市东丽区斐魔汽车零配件经营部</t>
  </si>
  <si>
    <t>2020-05-15</t>
  </si>
  <si>
    <t>92120110MA0719WT48</t>
  </si>
  <si>
    <t>天津市东丽区万新街道沙柳北路72号</t>
  </si>
  <si>
    <t>一般项目：汽车零配件零售；汽车零配件批发；机动车修理和维护；汽车拖车、求援、清障服务。（依法须经批准的项目，经相关部门批准后方可开展经营活动）（除依法须经批准的项目外，凭营业执照依法自主开展经营活动）</t>
  </si>
  <si>
    <t>天津市河西区利华程汽车配件经营部</t>
  </si>
  <si>
    <t>92120103MA0719W66M</t>
  </si>
  <si>
    <t>天津市河西区贺江道20号汽配城新区107号</t>
  </si>
  <si>
    <t>一般项目:汽车零配件批发。（除依法须经批准的项目外,凭营业执照依法自主开展经营活动）。</t>
  </si>
  <si>
    <t>天津市东丽区涛毅汽车配件经营部</t>
  </si>
  <si>
    <t>2012-03-12</t>
  </si>
  <si>
    <t>92120110L59786805H</t>
  </si>
  <si>
    <t>天津市东丽区金钟街道东环鑫泰汽配有限公司A5区11、12</t>
  </si>
  <si>
    <t>汽车配件、润滑油脂批发兼零售。（依法须经批准的项目,经相关部门批准后方可开展经营活动）</t>
  </si>
  <si>
    <t>天津市河西区卡仕达汽车电子中心</t>
  </si>
  <si>
    <t>2019-07-02</t>
  </si>
  <si>
    <t>92120103MA06QC7P65</t>
  </si>
  <si>
    <t>天津市河西区环渤海汽车城B区53-54号展位</t>
  </si>
  <si>
    <t>汽车用品批发兼零售。（依法须经批准的项目,经相关部门批准后方可开展经营活动）</t>
  </si>
  <si>
    <t>天津市津南区恺波汽车座椅加工厂</t>
  </si>
  <si>
    <t>2012-02-20</t>
  </si>
  <si>
    <t>92120112MA063P7T9F</t>
  </si>
  <si>
    <t>天津市津南区双新街景莲道2号院内新家园便民菜市场E区18号</t>
  </si>
  <si>
    <t>一般项目：汽车装饰用品销售；汽车装饰用品制造。（除依法须经批准的项目外，凭营业执照依法自主开展经营活动）</t>
  </si>
  <si>
    <t>天津市东丽区杰力特汽车配件厂</t>
  </si>
  <si>
    <t>2014-11-05</t>
  </si>
  <si>
    <t>92120110MA062CPPX1</t>
  </si>
  <si>
    <t>天津市东丽区金钟街道南何庄村跃进路金钟物流园西侧（圣华通院内）</t>
  </si>
  <si>
    <t>汽车配件加工;汽车配件批发兼零售。（依法须经批准的项目,经相关部门批准后方可开展经营活动）</t>
  </si>
  <si>
    <t>天津市张文卿汽车配件经营部</t>
  </si>
  <si>
    <t>2007-09-17</t>
  </si>
  <si>
    <t>92120111MA062JQJ64</t>
  </si>
  <si>
    <t>天津市西青区李七庄街津兰农贸市场环市路22号</t>
  </si>
  <si>
    <t>汽车配件销售（国家有专营专项规定的按规定执行）。</t>
  </si>
  <si>
    <t>天津市河西区而谈汽车饰件店（个体工商户）</t>
  </si>
  <si>
    <t>2024-11-04</t>
  </si>
  <si>
    <t>92120103MA82FXA25R</t>
  </si>
  <si>
    <t>天津市河西区陈塘庄街道黑牛城道与洞庭路交口东南侧五福里3-4-404</t>
  </si>
  <si>
    <t>一般项目：汽车装饰用品销售；汽车零配件批发；新能源汽车生产测试设备销售；充电桩销售；新能源汽车换电设施销售；新能源汽车电附件销售；轮胎销售；日用百货销售；互联网销售（除销售需要许可的商品）。（除依法须经批准的项目外，凭营业执照依法自主开展经营活动）</t>
  </si>
  <si>
    <t>天津市西青区小邵汽车电器店（个体工商户）</t>
  </si>
  <si>
    <t>2025-02-25</t>
  </si>
  <si>
    <t>92120111MA82HGYB6U</t>
  </si>
  <si>
    <t>天津市西青区杨柳青镇奥森物流A区500-501号</t>
  </si>
  <si>
    <t>一般项目：电池零配件销售；汽车零配件零售。（除依法须经批准的项目外，凭营业执照依法自主开展经营活动）</t>
  </si>
  <si>
    <t>天津市康姆普特汽车配件厂</t>
  </si>
  <si>
    <t>2009-01-13</t>
  </si>
  <si>
    <t>92120111MA05NT3059</t>
  </si>
  <si>
    <t>西青区中北镇汪庄村村南外环线西铁道北侧</t>
  </si>
  <si>
    <t>制造、加工：汽车配件。机加工。（以上范围国家有专项专营规定按规定执行）</t>
  </si>
  <si>
    <t>天津市长宏顺汽车拉线厂</t>
  </si>
  <si>
    <t>2002-12-04</t>
  </si>
  <si>
    <t>92120111L03401590F</t>
  </si>
  <si>
    <t>天津市西青区张家窝镇丰泽道19号南角平房</t>
  </si>
  <si>
    <t>制造：汽车拉线、汽车配件（五大总成除外）、橡塑零件。（国家有专项专营规定的按规定执行,涉及行业许可的凭许可证或批准文件经营）</t>
  </si>
  <si>
    <t>天津市东丽区固诺汽车零配件经营部</t>
  </si>
  <si>
    <t>2023-04-11</t>
  </si>
  <si>
    <t>92120110MA82556F5R</t>
  </si>
  <si>
    <t>天津市东丽区万新街道海悦秋苑9号楼1单元301室</t>
  </si>
  <si>
    <t>一般项目：汽车零配件批发；汽车零配件零售；轮胎销售；橡胶制品销售；日用品销售；汽车装饰用品销售；办公用品销售。（除依法须经批准的项目外，凭营业执照依法自主开展经营活动）</t>
  </si>
  <si>
    <t>天津市西青区北斗星汽车电子中心</t>
  </si>
  <si>
    <t>2018-04-12</t>
  </si>
  <si>
    <t>92120111MA06B9F96C</t>
  </si>
  <si>
    <t>天津市西青区大寺镇贾庄子村瑞晟花园商用房23号</t>
  </si>
  <si>
    <t>汽车电子系统技术开发;汽车修理与维护;汽车配件零售。（依法须经批准的项目,经相关部门批准后方可开展经营活动）</t>
  </si>
  <si>
    <t>天津红桥区通盈汽车配件经营部</t>
  </si>
  <si>
    <t>2018-10-29</t>
  </si>
  <si>
    <t>92120106MA06FW0G23</t>
  </si>
  <si>
    <t>天津市红桥区丁字沽街道风光里13号楼底商102</t>
  </si>
  <si>
    <t>汽车零配件批发兼零售。（依法须经批准的项目,经相关部门批准后方可开展经营活动）</t>
  </si>
  <si>
    <t>天津河西区王志汽车电子工作室（个体工商户）</t>
  </si>
  <si>
    <t>2024-12-09</t>
  </si>
  <si>
    <t>92120103MA82GH6052</t>
  </si>
  <si>
    <t>天津市河西区大任庄路汽配城物流中心01号</t>
  </si>
  <si>
    <t>一般项目：汽车零配件零售；汽车零配件批发；电池零配件销售；汽车拖车、求援、清障服务；机动车修理和维护。（除依法须经批准的项目外，凭营业执照依法自主开展经营活动）</t>
  </si>
  <si>
    <t>天津市南开区小徐汽车配件经营部</t>
  </si>
  <si>
    <t>2019-07-01</t>
  </si>
  <si>
    <t>92120104MA06QBFD6F</t>
  </si>
  <si>
    <t>天津市南开区咸阳南里16-3-102</t>
  </si>
  <si>
    <t>一般项目:汽车零配件零售;汽车装饰用品销售;机动车修理和维护。（除依法须经批准的项目外,凭营业执照依法自主开展经营活动）</t>
  </si>
  <si>
    <t>天津市东丽区宝旺汽车配件中心</t>
  </si>
  <si>
    <t>2018-01-30</t>
  </si>
  <si>
    <t>92120110MA069YDG88</t>
  </si>
  <si>
    <t>天津市东丽区程林道沙柳路增1号A区</t>
  </si>
  <si>
    <t>汽车配件批发兼零售；汽车修理与维护。（依法须经批准的项目，经相关部门批准后方可开展经营活动）</t>
  </si>
  <si>
    <t>天津市河西区耀发汽车电子中心</t>
  </si>
  <si>
    <t>2019-07-24</t>
  </si>
  <si>
    <t>92120103MA06QWTD2X</t>
  </si>
  <si>
    <t>天津市河西区天塔街道体院北道十一号增一号</t>
  </si>
  <si>
    <t>汽车电子产品及配件零售;开锁、修锁服务。</t>
  </si>
  <si>
    <t>天津市西青区利尔汽车零配件经营部</t>
  </si>
  <si>
    <t>2021-02-02</t>
  </si>
  <si>
    <t>92120111MA078NHJ31</t>
  </si>
  <si>
    <t>天津市西青区中北镇溪华苑11号楼1单元102室</t>
  </si>
  <si>
    <t>一般项目：汽车零配件批发；五金产品批发；汽车装饰用品销售；灯具销售；建筑材料销售。（除依法须经批准的项目外，凭营业执照依法自主开展经营活动）。</t>
  </si>
  <si>
    <t>天津市西青区富泰汽车配件经营部</t>
  </si>
  <si>
    <t>2023-05-17</t>
  </si>
  <si>
    <t>92120111MA825YQL0Q</t>
  </si>
  <si>
    <t>天津市西青区中北镇京福公路与营建支路交口大方汽贸院内405号</t>
  </si>
  <si>
    <t>一般项目：汽车零配件零售；汽车零配件批发；五金产品批发；五金产品零售；包装材料及制品销售；汽车装饰用品销售；海绵制品销售；塑料制品销售；润滑油销售；电力电子元器件销售；皮革制品销售；劳务服务（不含劳务派遣）；洗车服务；日用化学产品销售；日用百货销售；金属材料销售；建筑材料销售；橡胶制品销售；针纺织品销售；办公用品销售；工艺美术品及礼仪用品销售（象牙及其制品除外）；电子产品销售；信息咨询服务（不含许可类信息咨询服务）；广告发布；广告设计、代理。（除依法须经批准的项目外，凭营业执照依法自主开展经营活动）</t>
  </si>
  <si>
    <t>天津市东丽区孟霖汽车零部件商行</t>
  </si>
  <si>
    <t>2019-06-21</t>
  </si>
  <si>
    <t>92120110MA06Q3K93L</t>
  </si>
  <si>
    <t>天津市东丽区万新街道香邑国际招商中心大楼三楼305-3室</t>
  </si>
  <si>
    <t>汽车零部件生产、销售及相关售后服务、自营和代理货物及技术进出口;模具的开发与销售;自有厂房租赁;汽车零部件的技术咨询、技术服务、技术开发、技术转让;以上相关产品设计服务。（依法须经批准的项目,经相关部门批准后方可开展经营活动）</t>
  </si>
  <si>
    <t>天津市西青区小乐汽车电子经营部（个体工商户）</t>
  </si>
  <si>
    <t>2023-10-18</t>
  </si>
  <si>
    <t>92120111MA8291GG8D</t>
  </si>
  <si>
    <t>天津市西青区中北镇凯苑路21号</t>
  </si>
  <si>
    <t>一般项目：电子元器件零售；汽车零配件零售；汽车零配件批发；机动车修理和维护；汽车装饰用品销售；新能源汽车电附件销售；专业开锁服务；五金产品零售；电池零配件销售；日用产品修理；技术服务、技术开发、技术咨询、技术交流、技术转让、技术推广。（除依法须经批准的项目外，凭营业执照依法自主开展经营活动）</t>
  </si>
  <si>
    <t>天津市西青区新宏峰车轮商行</t>
  </si>
  <si>
    <t>2020-11-20</t>
  </si>
  <si>
    <t>92120111MA076J8P3N</t>
  </si>
  <si>
    <t>天津市西青区大寺镇门道口村腾达东路33号-2</t>
  </si>
  <si>
    <t>一般项目：汽车零配件零售；汽车零配件批发；汽车装饰用品销售；汽车拖车、求援、清障服务；机动车修理和维护；轮胎销售；橡胶制品销售；金属制品销售；五金产品批发；五金产品零售；智能车载设备销售；电池销售。（除依法须经批准的项目外，凭营业执照依法自主开展经营活动）。</t>
  </si>
  <si>
    <t>天津红桥区奕卓车品汽车饰件网店</t>
  </si>
  <si>
    <t>2022-04-08</t>
  </si>
  <si>
    <t>92120106MA81X7T499</t>
  </si>
  <si>
    <t>天津市红桥区西于庄街道礼貌东里6-208-211</t>
  </si>
  <si>
    <t>天津市东丽区津源汽车配件商行</t>
  </si>
  <si>
    <t>2019-05-22</t>
  </si>
  <si>
    <t>92120110MA06P7TK65</t>
  </si>
  <si>
    <t>天津市东丽区万新街道雪山路31号</t>
  </si>
  <si>
    <t>汽车配件批发兼零售。（依法须经批准的项目，经相关部门批准后方可开展经营活动）</t>
  </si>
  <si>
    <t>天津市河西区鑫华盛汽车电器电子经营部</t>
  </si>
  <si>
    <t>2017-12-08</t>
  </si>
  <si>
    <t>92120103MA068UJN76</t>
  </si>
  <si>
    <t>天津市河西区白云山路（原实验仪器厂）场院E区14--15号</t>
  </si>
  <si>
    <t>电子产品、汽车配件、五金电料、汽车用品批发兼零售。（依法须经批准的项目,经相关部门批准后方可开展经营活动）</t>
  </si>
  <si>
    <t>天津市西青区众合汽车配件经营部</t>
  </si>
  <si>
    <t>2019-07-11</t>
  </si>
  <si>
    <t>92120111MA06QJYX2F</t>
  </si>
  <si>
    <t>天津市西青区辛口镇新民园1号楼2门104</t>
  </si>
  <si>
    <t>汽车配件、汽车用品、劳保用品零售；网络技术推广、汽车美容。（依法须经批准的项目，经相关部门批准后方可开展经营活动）</t>
  </si>
  <si>
    <t>天津市津南区孙广有汽车零配件经营部</t>
  </si>
  <si>
    <t>2019-03-19</t>
  </si>
  <si>
    <t>92120112MA06KB5A5C</t>
  </si>
  <si>
    <t>天津市津南区双港镇富力桃园天域园5-2-1703</t>
  </si>
  <si>
    <t>汽车零配件的批发兼零售。（依法须经批准的项目,经相关部门批准后方可开展经营活动）</t>
  </si>
  <si>
    <t>天津市南开区金鑫龙汽车零部件再制造经营部</t>
  </si>
  <si>
    <t>2019-03-18</t>
  </si>
  <si>
    <t>92120104MA06KABB92</t>
  </si>
  <si>
    <t>天津市南开区长虹街道长江道98号一号办公楼4072室</t>
  </si>
  <si>
    <t>机械设备（小汽车除外）批发兼零售。（依法须经批准的项目，经相关部门批准后方可开展经营活动）</t>
  </si>
  <si>
    <t>天津市河东区春熙汽车零部件经营部（个体工商户）</t>
  </si>
  <si>
    <t>2025-03-17</t>
  </si>
  <si>
    <t>92120102MA82HXD84Y</t>
  </si>
  <si>
    <t>天津市河东区向阳楼街道万东花园3-1702</t>
  </si>
  <si>
    <t>零售业</t>
  </si>
  <si>
    <t>汽车、摩托车、零配件和燃料及其他动力销售</t>
  </si>
  <si>
    <t>汽车零配件零售</t>
  </si>
  <si>
    <t>一般项目：汽车零配件零售；汽车零配件批发；机械零件、零部件销售；汽车装饰用品销售；新能源汽车电附件销售；汽车拖车、求援、清障服务；五金产品零售；五金产品批发；日用百货销售；日用品销售；建筑材料销售；照明器具销售；显示器件销售；音响设备销售；普通机械设备安装服务；光电子器件销售；轮胎销售。（除依法须经批准的项目外，凭营业执照依法自主开展经营活动）</t>
  </si>
  <si>
    <t>天津市河西区志远汽车配件商行</t>
  </si>
  <si>
    <t>2019-03-14</t>
  </si>
  <si>
    <t>92120103MA06K6JX91</t>
  </si>
  <si>
    <t>天津市河西区尖山街道解放南路老汽配城B区103号</t>
  </si>
  <si>
    <t>汽车配件零售。（依法须经批准的项目,经相关部门批准后方可开展经营活动）</t>
  </si>
  <si>
    <t>天津市东丽区勒宁汽车零配件经营部</t>
  </si>
  <si>
    <t>2023-05-24</t>
  </si>
  <si>
    <t>92120110MA8265AR4F</t>
  </si>
  <si>
    <t>天津市东丽区万新街道铁城公寓5号楼2单元302</t>
  </si>
  <si>
    <t>一般项目:汽车零配件批发;汽车零配件零售;汽车装饰用品销售;润滑油销售;汽车拖车、求援、清障服务;建筑材料销售;建筑装饰材料销售;金属制品销售;橡胶制品销售;塑料制品销售;家具销售;家用电器销售;智能仪器仪表销售;电子产品销售;办公用品销售;互联网销售（除销售需要许可的商品）;五金产品批发;日用品销售。（除依法须经批准的项目外,凭营业执照依法自主开展经营活动）</t>
  </si>
  <si>
    <t>天津市河西区天逸通汽车零部件商行（个体工商户）</t>
  </si>
  <si>
    <t>2024-08-26</t>
  </si>
  <si>
    <t>92120103MA82EPF03T</t>
  </si>
  <si>
    <t>天津市河西区陈塘庄街道怒江道北侧创智东园2号楼1505</t>
  </si>
  <si>
    <t>一般项目：汽车零配件零售；汽车零配件批发。（除依法须经批准的项目外，凭营业执照依法自主开展经营活动）</t>
  </si>
  <si>
    <t>天津市北辰区辉阳水箱修理部</t>
  </si>
  <si>
    <t>2004-06-21</t>
  </si>
  <si>
    <t>92120113MA05MEBXXD</t>
  </si>
  <si>
    <t>天津市北辰区天穆镇朝阳路13号</t>
  </si>
  <si>
    <t>电气系统维修（起动机、发电机修理）、散热器（水箱）维修。（依法须经批准的项目,经相关部门批准后方可开展经营活动）</t>
  </si>
  <si>
    <t>天津市北辰区安畅星汽车电子店</t>
  </si>
  <si>
    <t>2019-06-13</t>
  </si>
  <si>
    <t>92120113MA06PTN39U</t>
  </si>
  <si>
    <t>天津市北辰区天穆镇蓝海汽配城C2-10</t>
  </si>
  <si>
    <t>汽车电子产品批发兼零售。（依法须经批准的项目,经相关部门批准后方可开展经营活动）</t>
  </si>
  <si>
    <t>天津市东丽区宏伟汽车零配件经营部</t>
  </si>
  <si>
    <t>2021-04-07</t>
  </si>
  <si>
    <t>92120110MA07AC4J1R</t>
  </si>
  <si>
    <t>天津市东丽区金钟街道金钟新市镇德锦里15号楼2404室</t>
  </si>
  <si>
    <t>一般项目:汽车零配件批发;汽车零配件零售;劳务服务（不含劳务派遣）。（除依法须经批准的项目外,凭营业执照依法自主开展经营活动）。</t>
  </si>
  <si>
    <t>天津北辰区凯鹏汽车电子厂</t>
  </si>
  <si>
    <t>2022-09-01</t>
  </si>
  <si>
    <t>92120113MA8210AP77</t>
  </si>
  <si>
    <t>天津市北辰区天穆镇蓝海汽配城B2区04号</t>
  </si>
  <si>
    <t>一般项目:智能车载设备制造;电子元器件批发;汽车零配件批发;5G通信技术服务;计算机软硬件及外围设备制造;机动车修理和维护。（除依法须经批准的项目外,凭营业执照依法自主开展经营活动）</t>
  </si>
  <si>
    <t>天津市河西区鑫锐汽车配件加工部</t>
  </si>
  <si>
    <t>2019-09-24</t>
  </si>
  <si>
    <t>92120103MA06TL6L8U</t>
  </si>
  <si>
    <t>天津市河西区黑牛城道59号</t>
  </si>
  <si>
    <t>汽车配件加工。（依法须经批准的项目，经相关部门批准后方可开展经营活动）</t>
  </si>
  <si>
    <t>天津市渤海内燃机厂</t>
  </si>
  <si>
    <t>1995-11-08</t>
  </si>
  <si>
    <t>911201112393323221</t>
  </si>
  <si>
    <t>西青区杨柳青新华道42号</t>
  </si>
  <si>
    <t>汽车内燃机配件制造、加工。</t>
  </si>
  <si>
    <t>天津市东丽区裕东汽车零配件商行（个体工商户）</t>
  </si>
  <si>
    <t>2025-03-20</t>
  </si>
  <si>
    <t>92120110MA82J0EF94</t>
  </si>
  <si>
    <t>天津市东丽区万新街道程林东里7号楼3单元1103</t>
  </si>
  <si>
    <t>一般项目：汽车零配件批发；汽车零配件零售；汽车装饰用品销售；汽车拖车、求援、清障服务。（除依法须经批准的项目外，凭营业执照依法自主开展经营活动）</t>
  </si>
  <si>
    <t>天津市北辰区信兴达汽车零配件经营部（个体工商户）</t>
  </si>
  <si>
    <t>2025-02-27</t>
  </si>
  <si>
    <t>92120113MA82HJHH5G</t>
  </si>
  <si>
    <t>天津市北辰区小淀镇北辰道2号浩物汽车园内（凯迪拉克旁）</t>
  </si>
  <si>
    <t>一般项目：汽车零配件批发；汽车零配件零售；汽车装饰用品销售；新能源汽车电附件销售。（除依法须经批准的项目外，凭营业执照依法自主开展经营活动）</t>
  </si>
  <si>
    <t>天津西青区星深车灯经营部（个体工商户）</t>
  </si>
  <si>
    <t>2025-04-03</t>
  </si>
  <si>
    <t>92120111MA82J9MR20</t>
  </si>
  <si>
    <t>天津市西青经济技术开发区兴华四支路6号G区</t>
  </si>
  <si>
    <t>一般项目：汽车零配件零售；汽车零配件批发；智能车载设备销售；电子产品销售；汽车装饰用品销售；照明器具销售；灯具销售；摩托车及零配件批发；摩托车及零配件零售；互联网销售（除销售需要许可的商品）；洗车服务；新型膜材料销售；环境保护专用设备销售；市场营销策划；气体压缩机械销售；信息技术咨询服务；广告制作；汽车拖车、求援、清障服务；广告发布；平面设计；工艺美术品及礼仪用品销售（象牙及其制品除外）；广告设计、代理；机动车修理和维护。（除依法须经批准的项目外，凭营业执照依法自主开展经营活动）</t>
  </si>
  <si>
    <t>天津河西区杨琼汽车配件经营部</t>
  </si>
  <si>
    <t>2019-07-16</t>
  </si>
  <si>
    <t>92120103MA06QQ4353</t>
  </si>
  <si>
    <t>天津市河西区天塔街道体院北育贤里30-403-404</t>
  </si>
  <si>
    <t>网络销售:汽车配件、汽车润滑油、摩托车及配件、汽车装具、日用百货、家用电器批发兼零售。（依法须经批准的项目,经相关部门批准后方可开展经营活动）</t>
  </si>
  <si>
    <t>天津东丽区小耿汽车电子店</t>
  </si>
  <si>
    <t>92120110MA81X7TD2M</t>
  </si>
  <si>
    <t>天津市东丽区金钟街道鑫泰汽配城A区门口24号</t>
  </si>
  <si>
    <t>一般项目：汽车零配件零售。（除依法须经批准的项目外，凭营业执照依法自主开展经营活动）</t>
  </si>
  <si>
    <t>天津红桥区鸿升汽车部件经营部</t>
  </si>
  <si>
    <t>2023-02-24</t>
  </si>
  <si>
    <t>92120106MA82410WX2</t>
  </si>
  <si>
    <t>天津市红桥区邵公庄街道西青道仁爱花园22-1-503-504</t>
  </si>
  <si>
    <t>一般项目:汽车零配件批发;橡胶制品销售;合成材料销售;玻璃纤维增强塑料制品销售。（除依法须经批准的项目外,凭营业执照依法自主开展经营活动）</t>
  </si>
  <si>
    <t>天津市西青区一号改装汽车制造店（个体工商户）</t>
  </si>
  <si>
    <t>2025-03-28</t>
  </si>
  <si>
    <t>92120111MA82J63885</t>
  </si>
  <si>
    <t>天津市西青区大寺镇津荣道18号荣大汽配城C座16</t>
  </si>
  <si>
    <t>一般项目：机动车修理和维护；汽车零配件批发；汽车装饰用品销售；汽车零配件零售。（除依法须经批准的项目外，凭营业执照依法自主开展经营活动）</t>
  </si>
  <si>
    <t>天津市东丽区伊恒汽车零配件经营部</t>
  </si>
  <si>
    <t>2020-08-06</t>
  </si>
  <si>
    <t>92120110MA073QWE97</t>
  </si>
  <si>
    <t>天津市东丽区万新街道卫国道204号院内办公楼三层307-6室</t>
  </si>
  <si>
    <t>一般项目:汽车零配件、电子元器件零售;汽车零配件、电子元器件批发。（除依法须经批准的项目外,凭营业执照依法自主开展经营活动）</t>
  </si>
  <si>
    <t>天津市北辰区津本塾汽车零部件商行</t>
  </si>
  <si>
    <t>2019-01-21</t>
  </si>
  <si>
    <t>92120113MA06J28TXX</t>
  </si>
  <si>
    <t>天津市北辰区集贤里街第二机床厂大楼2号105-106</t>
  </si>
  <si>
    <t>汽车零部件、汽车润滑油、汽车灯具灯品、日用品、电子产品批发;汽车零部件开发设计及咨询服务;设备租赁。（依法须经批准的项目,经相关部门批准后方可开展经营活动）</t>
  </si>
  <si>
    <t>天津市河东区金新鑫汽车零配件经营部</t>
  </si>
  <si>
    <t>2022-11-15</t>
  </si>
  <si>
    <t>92120102MA822C8P2W</t>
  </si>
  <si>
    <t>天津市河东区唐家口街道御景大厦S2-1722</t>
  </si>
  <si>
    <t>一般项目：汽车零配件批发；汽车零配件零售；信息咨询服务（不含许可类信息咨询服务）；日用百货销售；商务代理代办服务；汽车装饰用品销售。（除依法须经批准的项目外，凭营业执照依法自主开展经营活动）</t>
  </si>
  <si>
    <t>天津滨海新区小飞汽车配件店</t>
  </si>
  <si>
    <t>2020-11-25</t>
  </si>
  <si>
    <t>92120116MA076NCPX3</t>
  </si>
  <si>
    <t>天津市北辰区天穆镇蓝海汽配城二期I区6号</t>
  </si>
  <si>
    <t>一般项目：汽车零配件批发；汽车零配件零售；机动车修理和维护；汽车装饰用品销售。（除依法须经批准的项目外，凭营业执照依法自主开展经营活动）</t>
  </si>
  <si>
    <t>天津市三北巨龙电子电器厂</t>
  </si>
  <si>
    <t>注销（2021-10-15）</t>
  </si>
  <si>
    <t>2004-09-27</t>
  </si>
  <si>
    <t>911201137676002041</t>
  </si>
  <si>
    <t>北辰区高峰路</t>
  </si>
  <si>
    <t>汽车配件、电动车配件、电子元器件、电器开关、电线电缆、玻璃容器制造；静电喷涂、塑料制品加工、机加工。（国家有专营专项规定的按专营专项规定办理）</t>
  </si>
  <si>
    <t>天津汽车散热器有限公司</t>
  </si>
  <si>
    <t>吊销（2008-11-15）</t>
  </si>
  <si>
    <t>9112011310307052XY</t>
  </si>
  <si>
    <t>北辰区京津公路240号</t>
  </si>
  <si>
    <t>汽车、拖拉机、工程机械零部件制造（以上范围内国家有专营专项规定的按规定办理）。</t>
  </si>
  <si>
    <t>天津市西青区昆德汽车零部件商行</t>
  </si>
  <si>
    <t>2020-12-17</t>
  </si>
  <si>
    <t>92120111MA077G70X3</t>
  </si>
  <si>
    <t>天津市西青区中北镇万源路19号底商</t>
  </si>
  <si>
    <t>一般项目：汽车零配件零售；汽车零配件批发；纸制品销售；汽车零部件研发；信息咨询服务（不含许可类信息咨询服务）；专业保洁、清洗、消毒服务；劳动保护用品销售；电子产品销售；电器辅件销售；机械设备销售；五金产品批发；劳务服务（不含劳务派遣）。（除依法须经批准的项目外，凭营业执照依法自主开展经营活动）许可项目：烟草制品零售；食品销售。（依法须经批准的项目，经相关部门批准后方可开展经营活动，具体经营项目以相关部门批准文件或许可证件为准）</t>
  </si>
  <si>
    <t>天津市吉亚冲压有限公司</t>
  </si>
  <si>
    <t>吊销（2004-12-08）</t>
  </si>
  <si>
    <t>1998-09-16</t>
  </si>
  <si>
    <t>91120113700563744B</t>
  </si>
  <si>
    <t>北辰区青光工业区</t>
  </si>
  <si>
    <t>钣金、汽车配件制造。</t>
  </si>
  <si>
    <t>天津汽车精密铸造有限公司</t>
  </si>
  <si>
    <t>1996-12-03</t>
  </si>
  <si>
    <t>红桥区三条石大街78号</t>
  </si>
  <si>
    <t>精铸件、粉未件、塑料件制造;技术咨询（中介除外）;自有房屋租赁（以上经营范围内国家有专营专项规定的按规定办理）。</t>
  </si>
  <si>
    <t>天津博达汽车部品制造有限公司</t>
  </si>
  <si>
    <t>注销（2017-10-30）</t>
  </si>
  <si>
    <t>2016-08-31</t>
  </si>
  <si>
    <t>91120111MA05KUF08R</t>
  </si>
  <si>
    <t>天津市西青汽车工业区（张家窝工业区）丰泽道32号</t>
  </si>
  <si>
    <t>汽车配件、通讯产品、电子产品、机械配件加工、销售、技术开发、技术转让;包装制品、技术开发、技术转让、销售。（依法须经批准的项目,经相关部门批准后方可开展经营活动）</t>
  </si>
  <si>
    <t>天津耀华研究开发有限公司</t>
  </si>
  <si>
    <t>注销（2023-12-01）</t>
  </si>
  <si>
    <t>91120104MACHXQ1E6F</t>
  </si>
  <si>
    <t>天津市南开区科研西路天津科技广场4号楼0618（天开园）</t>
  </si>
  <si>
    <t>一般项目：汽车零部件及配件制造；汽车零部件研发；技术服务、技术开发、技术咨询、技术交流、技术转让、技术推广【分支机构经营】；高性能纤维及复合材料销售【分支机构经营】；高性能纤维及复合材料制造；船舶销售【分支机构经营】。（除依法须经批准的项目外，凭营业执照依法自主开展经营活动）许可项目：船舶设计；船舶制造。（依法须经批准的项目，经相关部门批准后方可开展经营活动，具体经营项目以相关部门批准文件或许可证件为准）</t>
  </si>
  <si>
    <t>天津东明汽车电器工贸有限公司</t>
  </si>
  <si>
    <t>2002-10-17</t>
  </si>
  <si>
    <t>91120116741398650A</t>
  </si>
  <si>
    <t>华苑产业区鑫茂科技园AB座四层D单元D404室</t>
  </si>
  <si>
    <t>汽车分电器、节气门体、凸轮轴位置传感器安装室制造；汽车配件（五大总成除外）、润滑油、蓄电池、机械设备批发兼零售；光机电一体化的技术开发、咨询、服务、转让；货物和技术进出口业务。（以上经营范围涉及行业许可的凭许可证件，在有效期限内经营，国家有专项专营规定的按规定办理。）</t>
  </si>
  <si>
    <t>天津金兴埃罗西汽车内饰系统有限公司</t>
  </si>
  <si>
    <t>注销（2019-11-11）</t>
  </si>
  <si>
    <t>2013-03-13</t>
  </si>
  <si>
    <t>91120111064003091W</t>
  </si>
  <si>
    <t>天津市西青区张家窝工业区丰产道15号</t>
  </si>
  <si>
    <t>汽车内饰零部件制造、加工。（以上经营范围涉及行业许可的凭许可证件，在有效期限内经营，国家有专项专营规定的按规定办理。）</t>
  </si>
  <si>
    <t>天津市汽车仪表厂</t>
  </si>
  <si>
    <t>1980-09-19</t>
  </si>
  <si>
    <t>河东区复兴庄南横街27号</t>
  </si>
  <si>
    <t>汽车配件制造（汽车、拖拉机仪表及其附件）。摩托车仪表;汽车货运。</t>
  </si>
  <si>
    <t>天津瞰源汽车配件有限公司</t>
  </si>
  <si>
    <t>注销（2014-11-10）</t>
  </si>
  <si>
    <t>2012-11-20</t>
  </si>
  <si>
    <t>天津市北辰区铁东路霍咀工业区汾河四支路18号</t>
  </si>
  <si>
    <t>120113055293525</t>
  </si>
  <si>
    <t>汽车配件、汽车内饰件、密封垫、减震垫、冲压件、注塑件、紧固件、热压件、仪器仪表配件、模具、纸制品制造、加工、销售。（以上经营范围涉及行业许可的凭许可证件,在有效期限内经营,国家有专项专营规定的按规定办理。）</t>
  </si>
  <si>
    <t>天津信强汽车零部件有限公司</t>
  </si>
  <si>
    <t>注销（2019-08-19）</t>
  </si>
  <si>
    <t>2018-08-02</t>
  </si>
  <si>
    <t>91120113MA06E09M6W</t>
  </si>
  <si>
    <t>天津市北辰区天津北辰经济技术开发区科技园景祥路5号</t>
  </si>
  <si>
    <t>汽车零部件、橡塑制品制造、加工、销售、技术开发、转让、咨询服务;新材料（生物医用材料除外）技术开发、转让、咨询服务、加工、销售;钣金加工;胶条剪切;精密设备、仪器仪表批发兼零售;普通货运;货物或技术进出口（国家禁止或涉及行政审批的货物和技术进出口除外）。（依法须经批准的项目,经相关部门批准后方可开展经营活动）</t>
  </si>
  <si>
    <t>天津市精球汽车配件制造有限公司</t>
  </si>
  <si>
    <t>吊销（2021-06-29）</t>
  </si>
  <si>
    <t>2015-07-20</t>
  </si>
  <si>
    <t>911201113410157538</t>
  </si>
  <si>
    <t>天津市西青区精武镇闫庄子村东（闫庄子村委会东1000米）</t>
  </si>
  <si>
    <t>汽车配件、塑料制品、冲压件、模具、生产、销售。（依法须经批准的项目,经相关部门批准后方可开展经营活动）</t>
  </si>
  <si>
    <t>天津魔岩技研汽车部件有限公司</t>
  </si>
  <si>
    <t>注销（2021-01-07）</t>
  </si>
  <si>
    <t>2017-04-18</t>
  </si>
  <si>
    <t>91120111MA05PUT39D</t>
  </si>
  <si>
    <t>天津市西青区中北镇红运路20号</t>
  </si>
  <si>
    <t>汽车零部件制造、设计、技术开发、销售。（依法须经批准的项目，经相关部门批准后方可开展经营活动）</t>
  </si>
  <si>
    <t>天津市宏程汽车配件厂</t>
  </si>
  <si>
    <t>注销（2019-03-20）</t>
  </si>
  <si>
    <t>1984-10-09</t>
  </si>
  <si>
    <t>91120112103862252A</t>
  </si>
  <si>
    <t>天津市双港乡何庄子村</t>
  </si>
  <si>
    <t>汽车配件制造、汽车装具制造。</t>
  </si>
  <si>
    <t>天津益德电气有限公司</t>
  </si>
  <si>
    <t>1992-03-16</t>
  </si>
  <si>
    <t>9112011160050240XM</t>
  </si>
  <si>
    <t>天津市西青区李七庄街梨元头村</t>
  </si>
  <si>
    <t>生产、销售电焊机及电气控制柜</t>
  </si>
  <si>
    <t>天津浙亚汽车底盘部件有限公司</t>
  </si>
  <si>
    <t>注销（2022-10-12）</t>
  </si>
  <si>
    <t>2013-10-16</t>
  </si>
  <si>
    <t>91120222079626005Q</t>
  </si>
  <si>
    <t>天津市西青区中北镇营建支路与新津杨公路交口西南200米</t>
  </si>
  <si>
    <t>汽车底盘部件、汽车制动系统、汽车电子系统制造、销售,汽车制动系统、汽车底盘系统、汽车电子系统技术开发、咨询、转让,仓储服务。（依法须经批准的项目,经相关部门批准后方可开展经营活动）</t>
  </si>
  <si>
    <t>天津市明通汽车电器厂</t>
  </si>
  <si>
    <t>2002-02-27</t>
  </si>
  <si>
    <t>河东区张贵庄路仓库区大道5号</t>
  </si>
  <si>
    <t>制造：汽车电器、换向器、压塑制品、弹簧制品、汽车修理及保养设备。加工：机械加工、有色金属、电器、修理汽车电器及配件。零售兼批发：汽车电器及配件、铜排、铜线、弹簧制品、日用百货、汽车修理及保养设备。（国家有专项专营规定的按规定执行）（经营范围中有前置审批项目的以批准件及经营时限为准）</t>
  </si>
  <si>
    <t>天津商德汽车部件制造有限公司</t>
  </si>
  <si>
    <t>吊销（2017-06-19）</t>
  </si>
  <si>
    <t>2007-03-21</t>
  </si>
  <si>
    <t>91120113660301861Q</t>
  </si>
  <si>
    <t>北辰区青光村</t>
  </si>
  <si>
    <t>汽车零部件、纺织机械配件制造、加工、销售；从事国家法律法规允许经营的进出口业务。（国家有专营、专项规定的、按专营、专项规定办理）</t>
  </si>
  <si>
    <t>安昌（天津）冷却科技有限公司</t>
  </si>
  <si>
    <t>吊销（2023-02-20）</t>
  </si>
  <si>
    <t>2008-01-30</t>
  </si>
  <si>
    <t>91120111671453772A</t>
  </si>
  <si>
    <t>天津市西青区张家窝工业区丰泽道54、56号</t>
  </si>
  <si>
    <t>制造、销售、加工汽车、机车散热器水箱、冷凝器、汽车饰品及相关零部件、上述产品及相关产品的批发、零售、进出口业务（以上商品进出口不涉及国营贸易、进出口配额许可证管理、出口配额招标、出口许可证等商品、其他专项规定管理的商品，按照国家有关规定办理）。</t>
  </si>
  <si>
    <t>天津市汽车机械配件厂</t>
  </si>
  <si>
    <t>河北区地纬路三马路145号</t>
  </si>
  <si>
    <t>汽车倒车镜、玻璃制品、布轮、手工具制造。**经营范围中国家有专营专项规定的按专营专项规定办理</t>
  </si>
  <si>
    <t>天津市京津仪表电器厂</t>
  </si>
  <si>
    <t>1982-10-14</t>
  </si>
  <si>
    <t>北辰区纳河道6号</t>
  </si>
  <si>
    <t>汽车配件制造、五金制造、机加工;机械设备维修;汽车运输。</t>
  </si>
  <si>
    <t>天津市华夏橡塑制品公司</t>
  </si>
  <si>
    <t>注销（2019-10-17）</t>
  </si>
  <si>
    <t>1981-09-06</t>
  </si>
  <si>
    <t>911201031032939344</t>
  </si>
  <si>
    <t>河西区大沽南路1010号</t>
  </si>
  <si>
    <t>汽车配件制造;电梯配件制造、潜油泵配件制造。（国家有专项经营规定按规定执行、行业审批的经营项目有效期限以其行业审批的有效期限为准）</t>
  </si>
  <si>
    <t>天津市河东区津联高压软管总成厂</t>
  </si>
  <si>
    <t>1990-12-26</t>
  </si>
  <si>
    <t>河东区卫国道79号</t>
  </si>
  <si>
    <t>汽车配件（高低压软管制造）。橡胶制品制造;汽车轮胎热补;汽车打腊;五金、化工、日用杂品、日用百货、家具零售。</t>
  </si>
  <si>
    <t>天津市达标汽车配件厂</t>
  </si>
  <si>
    <t>1982-07-29</t>
  </si>
  <si>
    <t>（红）子牙河南路117号</t>
  </si>
  <si>
    <t>汽车配件、不锈钢制品、食品包装机械;电子元件;机械设备安装;电炉修理。（国家有专项专营规定的按规定执行）</t>
  </si>
  <si>
    <t>天津市三星汽车电器公司</t>
  </si>
  <si>
    <t>吊销（2001-12-26）</t>
  </si>
  <si>
    <t>1993-12-27</t>
  </si>
  <si>
    <t>北辰区宜兴埠红旗路西北堤口</t>
  </si>
  <si>
    <t>汽车配件制造；汽车电器技术开发、转让、服务、汽车货运。</t>
  </si>
  <si>
    <t>天津市柏依工贸公司</t>
  </si>
  <si>
    <t>1988-11-16</t>
  </si>
  <si>
    <t>南开区王顶堤迎水道西头</t>
  </si>
  <si>
    <t>汽车装具、汽车配件制造、工艺玩具制造;机加工;汽车配件（批兼零）;以下限分支机构经营:汽车修理、蓄电瓶、水箱修理;上光蜡（零售）;自有房屋租赁。（国家有专项专营规定的按行业审批范围及时限执行）</t>
  </si>
  <si>
    <t>天津市天内汽车配件厂</t>
  </si>
  <si>
    <t>吊销（2006-11-10）</t>
  </si>
  <si>
    <t>1996-03-06</t>
  </si>
  <si>
    <t>911201132394328924</t>
  </si>
  <si>
    <t>北辰区京津公路274号</t>
  </si>
  <si>
    <t>汽车配件、橡胶零件制造、机加工;制冷设备、音响设备安装、修理;汽车装具零售。</t>
  </si>
  <si>
    <t>天津理工学院教学实习厂</t>
  </si>
  <si>
    <t>91120111103829321Y</t>
  </si>
  <si>
    <t>西青区杨柳青营建路47号</t>
  </si>
  <si>
    <t>汽车配件制造、加工、修理;轻工机械及机械零件制造、加工、塑料零件、日用橡胶制品制造;工程机械配件、机电产品配件加工。（国家有专项专营规定的按规定执行涉及行业许可的凭许可证或批准文件经营）</t>
  </si>
  <si>
    <t>天津市盛荣汽车配件厂</t>
  </si>
  <si>
    <t>吊销（2004-02-01）</t>
  </si>
  <si>
    <t>1997-10-07</t>
  </si>
  <si>
    <t>91120103238940617G</t>
  </si>
  <si>
    <t>河西区三水道兰江里23号</t>
  </si>
  <si>
    <t>汽车零部件制造、加工;机械配件加工、修理;限分支机构经营:汽车配件零售兼批发。（国家有专项经营规定按规定执行）</t>
  </si>
  <si>
    <t>天津德记铸造材料有限公司</t>
  </si>
  <si>
    <t>注销（2021-03-30）</t>
  </si>
  <si>
    <t>2001-05-18</t>
  </si>
  <si>
    <t>911201137275132295</t>
  </si>
  <si>
    <t>天津市北辰区双街镇天津市现代精密钢管厂院内</t>
  </si>
  <si>
    <t>铸造材料再生利用，生产、加工、销售汽车零部件覆膜砂注塑模具、覆膜砂、铸造砂及相关产品</t>
  </si>
  <si>
    <t>天津市东杰工贸有限公司</t>
  </si>
  <si>
    <t>吊销（2007-12-25）</t>
  </si>
  <si>
    <t>2002-08-26</t>
  </si>
  <si>
    <t>天津市河北区汇光里5-20-306</t>
  </si>
  <si>
    <t>汽车配件及汽车装俱制造、加工;汽车、摩托车配件、润滑油、橡胶制品、五金、交电、化工（危险品、易制毒品除外）、建筑装饰材料、钢材、日用百货、土产杂品批发兼零售。**经营范围中国家有专营专项规定的按专营专项规定办理</t>
  </si>
  <si>
    <t>天津市鑫铁机车配件厂</t>
  </si>
  <si>
    <t>注销（2018-03-28）</t>
  </si>
  <si>
    <t>2000-06-22</t>
  </si>
  <si>
    <t>91120104722991686J</t>
  </si>
  <si>
    <t>天津市南开区红旗路228号</t>
  </si>
  <si>
    <t>加工、销售：机车配件、密封件。</t>
  </si>
  <si>
    <t>天津捷利兴机电有限公司</t>
  </si>
  <si>
    <t>注销（2014-04-30）</t>
  </si>
  <si>
    <t>911201106008957921</t>
  </si>
  <si>
    <t>天津市东丽区程林工业区棉麻仓库</t>
  </si>
  <si>
    <t>生产、销售汽车插接件及线束</t>
  </si>
  <si>
    <t>天津市华鼎工贸有限公司</t>
  </si>
  <si>
    <t>注销（2022-07-22）</t>
  </si>
  <si>
    <t>2002-07-17</t>
  </si>
  <si>
    <t>9112010373849940XU</t>
  </si>
  <si>
    <t>河西区大沽南路969号</t>
  </si>
  <si>
    <t>机械加工；采暖设计、安装、修理；为企业提供劳务服务；物资储存（危险化学品及易制毒品除外）；纺织品、木材、钢材、化工（危险化学品及易制毒品除外）、服装、日用百货、花卉、五金交电批发兼零售、代购代销；针、纺织品、服装制造、加工；洗染；花卉种植；金属构件、通风制冷设备、管道加工、制造、安装、维修；保温隔热制品加工、制造；以下限分支机构经营：住宿；文体用品批发兼零售。（国家有专项专营规定的按国家规定执行）（涉及行业审批的经营项目有效期限以许可证有效期截止日为准）</t>
  </si>
  <si>
    <t>天津有容工贸有限公司</t>
  </si>
  <si>
    <t>吊销（2018-01-30）</t>
  </si>
  <si>
    <t>2003-09-02</t>
  </si>
  <si>
    <t>91120103752239292H</t>
  </si>
  <si>
    <t>河西区珠江道西侧（农业机械总公司院内）</t>
  </si>
  <si>
    <t>普通机械设备、电器设备及汽车配件（发动机总成除外）加工、制造、销售、维修；商务信息咨询服务（不含中介）；机电设备、汽车配件、通讯设备、计算机及外围设备、办公用品、工艺美术品、纺织品、百货、文化用品、五金、交电、化工商品（危险化学品及易制毒品除外）、建筑材料、装饰材料、金属材料批发兼零售；经营本企业自产产品及技术的出口业务和本企业所需的机械设备、零配件、原辅材料及技术的进口业务；但国家限定公司经营或禁止进出口的商品及技术除外。（国家有专项、专营规定的按规定执行）（涉及行业审批的经营项目及有效期限均以许可证或资质证为准）</t>
  </si>
  <si>
    <t>天津市京津微型汽车配件厂</t>
  </si>
  <si>
    <t>1993-05-05</t>
  </si>
  <si>
    <t>北辰区北仓镇刘园村西</t>
  </si>
  <si>
    <t>汽车配件。（5627）汽车货运。</t>
  </si>
  <si>
    <t>天津市福尔德汽车部件制造有限公司</t>
  </si>
  <si>
    <t>2001-06-15</t>
  </si>
  <si>
    <t>91120113730377424X</t>
  </si>
  <si>
    <t>北辰区铁东路</t>
  </si>
  <si>
    <t>汽车零配件制造、零售兼批发;润滑油脂零售兼批发。</t>
  </si>
  <si>
    <t>天津市昱德散热器有限公司</t>
  </si>
  <si>
    <t>吊销（2011-11-14）</t>
  </si>
  <si>
    <t>2003-05-06</t>
  </si>
  <si>
    <t>91120103749120143P</t>
  </si>
  <si>
    <t>河西区宾友道向荣里20号楼9门108-111</t>
  </si>
  <si>
    <t>汽车散热器制造、汽车配件加工、机械配件配件加工;（以上加工制造业限分支经营）;五金电料批发兼零售。（国家有专项、专营规定的,按国家规定执行）（涉及行业审批的经营项目及有效期限均以许可证或资质证为准）</t>
  </si>
  <si>
    <t>天津市北辰区大发汽车配件厂</t>
  </si>
  <si>
    <t>1991-10-28</t>
  </si>
  <si>
    <t>91120113X00805538W</t>
  </si>
  <si>
    <t>北辰区津霸公路刘家房子</t>
  </si>
  <si>
    <t>汽车配件。汽车座椅、香座、汽车工具、轮胎、电瓶、机油。</t>
  </si>
  <si>
    <t>天津市鑫盛源工贸有限公司</t>
  </si>
  <si>
    <t>吊销（2021-04-09）</t>
  </si>
  <si>
    <t>2005-04-12</t>
  </si>
  <si>
    <t>91120106770648997N</t>
  </si>
  <si>
    <t>红桥区子牙河南路104号</t>
  </si>
  <si>
    <t>汽车装俱加工及相关信息咨询服务；汽车配件、汽车装俱、五金电料、化工（不含易燃易爆及易制毒品）批发兼零售；室内外装饰；限分支机构经营：车身清洁维护、轮胎动平衡和修补、四轮定位检测调整、汽车配件、汽车装具、汽车维修及养护、钣金喷漆。（国家有专项专营规定的按规定执行）</t>
  </si>
  <si>
    <t>海智吉人（天津）电动汽车动力总成有限公司</t>
  </si>
  <si>
    <t>注销（2021-12-20）</t>
  </si>
  <si>
    <t>2019-01-30</t>
  </si>
  <si>
    <t>91120110MA06J7H384</t>
  </si>
  <si>
    <t>天津市东丽区华明高新技术产业区华丰路6号G座1号楼3楼312</t>
  </si>
  <si>
    <t>新能源汽车动力总成及零部件生产、研发、销售。（依法须经批准的项目，经相关部门批准后方可开展经营活动）</t>
  </si>
  <si>
    <t>天津市刚强宏运汽车零部件制造有限公司</t>
  </si>
  <si>
    <t>注销（2021-02-26）</t>
  </si>
  <si>
    <t>2018-01-11</t>
  </si>
  <si>
    <t>91120111MA069K3Y3G</t>
  </si>
  <si>
    <t>天津市西青区杨柳青镇金三角农贸批发市场院内东侧3号厂房</t>
  </si>
  <si>
    <t>汽车零部件、金属制品加工、制造、销售；钢材、化学产品（危险品及易制毒品除外）、建筑材料、轴承、五金电料、汽车装具、橡胶制品、水暖零件、日用百货、电梯配件批发兼零售；仓储服务；装卸搬运；机加工；机械设备维修；管道工程。（依法须经批准的项目，经相关部门批准后方可开展经营活动）</t>
  </si>
  <si>
    <t>天津天瑞汽车零部件有限公司</t>
  </si>
  <si>
    <t>吊销（2025-06-19）</t>
  </si>
  <si>
    <t>2012-06-15</t>
  </si>
  <si>
    <t>91120113598702778P</t>
  </si>
  <si>
    <t>北辰区北仓镇王秦庄京保高速公路南</t>
  </si>
  <si>
    <t>汽车零部件、纺织机械配件制造、加工、销售；从事国家法律法规允许经营的进出口业务。（以上经营范围涉及行业许可的凭许可证件，在有效期限内经营，国家有专项专营规定的按规定办理。）</t>
  </si>
  <si>
    <t>天津市金澳传动机械配件有限公司</t>
  </si>
  <si>
    <t>注销（2019-10-28）</t>
  </si>
  <si>
    <t>2016-06-03</t>
  </si>
  <si>
    <t>91120111MA05K17U3W</t>
  </si>
  <si>
    <t>天津市西青区杨柳青镇浴杨道88号</t>
  </si>
  <si>
    <t>汽车零部件及配件制造、加工、销售。（依法须经批准的项目，经相关部门批准后方可开展经营活动）</t>
  </si>
  <si>
    <t>天津首达永恒离合器厂</t>
  </si>
  <si>
    <t>吊销（2023-05-16）</t>
  </si>
  <si>
    <t>2017-05-24</t>
  </si>
  <si>
    <t>91120104MA05R2D15U</t>
  </si>
  <si>
    <t>天津市南开区延安路6号中欣工业园内天客路中段</t>
  </si>
  <si>
    <t>离合器、制动器制造;科学研究和技术服务业;批发和零售业;租赁和商务服务业。（依法须经批准的项目,经相关部门批准后方可开展经营活动）</t>
  </si>
  <si>
    <t>天津环方汽车电器有限公司</t>
  </si>
  <si>
    <t>2010-09-17</t>
  </si>
  <si>
    <t>北辰区小淀镇刘安庄工业区</t>
  </si>
  <si>
    <t>汽车配件、摩托车配件、电机、垃圾处理机制造;从事国家法律法规允许经营的进出口业务。（国家有专营、专项规定的,按专营、专项规定办理）</t>
  </si>
  <si>
    <t>天津锦城哈尼斯汽车电装有限公司</t>
  </si>
  <si>
    <t>注销（2016-12-16）</t>
  </si>
  <si>
    <t>2013-11-13</t>
  </si>
  <si>
    <t>911201030830117326</t>
  </si>
  <si>
    <t>天津市河西区友谊北路合众大厦C-1804</t>
  </si>
  <si>
    <t>线束、机电一体化、电子与信息技术及产品技术开发、咨询、服务、转让;汽车配件批发兼零售。（依法须经批准的项目,经相关部门批准后方可开展经营活动）</t>
  </si>
  <si>
    <t>天津益中奥托立夫汽车安全系统有限公司</t>
  </si>
  <si>
    <t>2002-06-03</t>
  </si>
  <si>
    <t>91120101735489425C</t>
  </si>
  <si>
    <t>天津市和平区西安道117号</t>
  </si>
  <si>
    <t>汽车安全带及附件的生产、销售和售后服务</t>
  </si>
  <si>
    <t>天津市鑫源达工贸有限公司</t>
  </si>
  <si>
    <t>注销（2021-09-26）</t>
  </si>
  <si>
    <t>2002-08-29</t>
  </si>
  <si>
    <t>91120111741372776H</t>
  </si>
  <si>
    <t>天津市西青区中北镇中北工业园星光路16-1号</t>
  </si>
  <si>
    <t>制造：汽车零配件（五大总成除外）、钢结构（凭有关部门资质证经营）；电气焊加工；机电设备维修；机加工 ；零售兼批发：金属材料、建筑材料、五金电料、钢材、化工原料（危险品及易制毒品除外）、水暖配件、劳保用品、自行车零件。（以上经营范围国家有专项专营规定按规定执行）</t>
  </si>
  <si>
    <t>天津津港亚太石油有限公司</t>
  </si>
  <si>
    <t>1995-09-22</t>
  </si>
  <si>
    <t>天津市北辰区京津公路引河桥北</t>
  </si>
  <si>
    <t>汽车加油、汽车美容及相关服务</t>
  </si>
  <si>
    <t>天津市汽车配件五厂</t>
  </si>
  <si>
    <t>北辰区北仓道8号</t>
  </si>
  <si>
    <t>汽车配件制造。拖拉机配件制造;汽车货运。</t>
  </si>
  <si>
    <t>天津市金星电子厂</t>
  </si>
  <si>
    <t>北辰区宜兴埠津围公路212号</t>
  </si>
  <si>
    <t>汽车、摩托车防盗报警器制造、加工。广播电视设备制造、加工。</t>
  </si>
  <si>
    <t>天津光盈汽车镜有限公司</t>
  </si>
  <si>
    <t>吊销（2013-11-26）</t>
  </si>
  <si>
    <t>1993-04-20</t>
  </si>
  <si>
    <t>91120104600569073J</t>
  </si>
  <si>
    <t>天津市南开区黄河道519号</t>
  </si>
  <si>
    <t>生产、销售机动车后视镜及汽车有关配件</t>
  </si>
  <si>
    <t>天津市内燃机磁电机厂</t>
  </si>
  <si>
    <t>1990-06-05</t>
  </si>
  <si>
    <t>河北区辰纬路1号</t>
  </si>
  <si>
    <t>汽车配件制造。机油冷却器、拖拉机配件;汽车货运。</t>
  </si>
  <si>
    <t>天津市金源汽车油泵厂</t>
  </si>
  <si>
    <t>1995-04-22</t>
  </si>
  <si>
    <t>河北区万柳村大街3号</t>
  </si>
  <si>
    <t>汽车配件制造。机械设备制造;模具加工。</t>
  </si>
  <si>
    <t>天津市汽车货厢厂分厂</t>
  </si>
  <si>
    <t>1991-11-25</t>
  </si>
  <si>
    <t>天津市西青区中北斜乡邢庄村西津杨公路南侧</t>
  </si>
  <si>
    <t>天津市点火线圈厂</t>
  </si>
  <si>
    <t>1990-03-23</t>
  </si>
  <si>
    <t>河北区昆纬路156号</t>
  </si>
  <si>
    <t>汽车配件制造。</t>
  </si>
  <si>
    <t>天津有野生物技术有限公司</t>
  </si>
  <si>
    <t>1991-04-09</t>
  </si>
  <si>
    <t>911201116005011167</t>
  </si>
  <si>
    <t>天津市西青经济开发区建福路6号</t>
  </si>
  <si>
    <t>生产、销售和开发无毒刹虫剂和相关的咨询服务</t>
  </si>
  <si>
    <t>天津市鑫利得工贸有限公司</t>
  </si>
  <si>
    <t>注销（2023-06-30）</t>
  </si>
  <si>
    <t>2003-01-03</t>
  </si>
  <si>
    <t>91120113744040371D</t>
  </si>
  <si>
    <t>天津市北辰区北仓镇王秦庄京宝工业园京宝三纬路22号</t>
  </si>
  <si>
    <t>机械加工、汽车零部件加工、制造;设备安装、调试及维修;钢材、劳保用品、润滑油、五金工具、化工原料、电工器材、仪器仪表批发兼零售;从事国家法律法规允许经营的进出口业务（危险化学品、易制毒品除外）;自有房屋租赁。（依法须经批准的项目,经相关部门批准后方可开展经营活动）</t>
  </si>
  <si>
    <t>天津市河北区顺昌汽车配件厂</t>
  </si>
  <si>
    <t>1993-04-26</t>
  </si>
  <si>
    <t>天津市河北区日纬路94号</t>
  </si>
  <si>
    <t>汽车零配件制造、茶及相关制品、冷热饮、烟、酒、文化用品、电子及通讯器材。</t>
  </si>
  <si>
    <t>天津开发区天信机动车仪表厂</t>
  </si>
  <si>
    <t>1994-03-14</t>
  </si>
  <si>
    <t>天津市河东区新市场大街二条6号</t>
  </si>
  <si>
    <t>汽车摩托车用仪表、电器、配件制造、加工。汽车摩托车用仪表、电器、配件、五金、交电、百货、纺织品批发兼零售、技术开发、技术咨询、技术服务。</t>
  </si>
  <si>
    <t>天津市佰达盛强汽车部品有限公司</t>
  </si>
  <si>
    <t>2009-04-20</t>
  </si>
  <si>
    <t>91120111687710294G</t>
  </si>
  <si>
    <t>西青区中北镇北四新村</t>
  </si>
  <si>
    <t>汽车配件（不含车用发动机）的制造、加工、销售。（国家有专项专营规定的按规定执行,涉及行业许可的凭许可证或批准文件经营）</t>
  </si>
  <si>
    <t>日东迈特科思（天津）精密加工有限公司</t>
  </si>
  <si>
    <t>2004-02-20</t>
  </si>
  <si>
    <t>天津市西青经济开发区赛达汇亚工业园7号</t>
  </si>
  <si>
    <t>生产、加工、销售汽车内外饰部品、电子绝缘用部品及各种胶粘带、上述商品的批发及进出口（上述涉及配额许可证管理、专项规定管理的商品按照国家有关规定办理）</t>
  </si>
  <si>
    <t>天津市北辰区宜兴埠汽车配件厂</t>
  </si>
  <si>
    <t>北辰区宜兴埠红旗路西</t>
  </si>
  <si>
    <t>汽车配件制造。（5627）电气焊、冲压件、板金、汽车货运。</t>
  </si>
  <si>
    <t>天津市汽车配件七厂</t>
  </si>
  <si>
    <t>1980-08-30</t>
  </si>
  <si>
    <t>河北区张兴庄曙光路</t>
  </si>
  <si>
    <t>120105103472641</t>
  </si>
  <si>
    <t>汽车配件、紧固件及非标准件制造;汽车货运服务。</t>
  </si>
  <si>
    <t>天津市金汉博汽车配件制造有限公司</t>
  </si>
  <si>
    <t>注销（2021-03-08）</t>
  </si>
  <si>
    <t>2014-11-07</t>
  </si>
  <si>
    <t>911201113004397608</t>
  </si>
  <si>
    <t>天津市西青区杨柳青镇于成路1号（16-2-101）</t>
  </si>
  <si>
    <t>汽车配件、汽车座椅制造、批发兼零售；汽车装具批发兼零售。（依法须经批准的项目，经相关部门批准后方可开展经营活动）</t>
  </si>
  <si>
    <t>天津市宬晟汽车配件有限公司</t>
  </si>
  <si>
    <t>注销（2022-04-08）</t>
  </si>
  <si>
    <t>2018-10-11</t>
  </si>
  <si>
    <t>91120111MA06FG9998</t>
  </si>
  <si>
    <t>天津市西青区精武镇大卷子村安兴路13号</t>
  </si>
  <si>
    <t>汽车零部件、机械零部件、汽车装具制造、销售；货物及技术进出口。（依法须经批准的项目，经相关部门批准后方可开展经营活动）</t>
  </si>
  <si>
    <t>玖辉汽车部件（天津）有限公司</t>
  </si>
  <si>
    <t>注销（2021-02-22）</t>
  </si>
  <si>
    <t>91120112MA06TC1F22</t>
  </si>
  <si>
    <t>天津市津南区辛庄镇新濠广场2号楼1808-1</t>
  </si>
  <si>
    <t>汽车配件研发、生产、销售；橡胶制品、塑料制品、吊装绳索、过滤器、冲压件、注塑件、标准件、轴承、机械零部件、电子元器件、电子配件、金属制品、输配电及控制设备、仪器仪表、五金产品、汽车零部件生产、加工；货物或技术进出口（国家禁止或涉及行政审批的货物和技术进出口除外）。（依法须经批准的项目，经相关部门批准后方可开展经营活动）</t>
  </si>
  <si>
    <t>金广众（天津）汽车零部件有限公司</t>
  </si>
  <si>
    <t>注销（2018-09-25）</t>
  </si>
  <si>
    <t>2018-05-22</t>
  </si>
  <si>
    <t>91120111MA06C8BP4H</t>
  </si>
  <si>
    <t>天津市西青经济技术开发区腾达工业园兴华十支路七号院内厂房二层</t>
  </si>
  <si>
    <t>汽车零部件、电子元器件制造;橡胶制品、塑料制品、纸制品、金属制品、建筑材料、保温材料、模具批发兼零售;劳务服务;塑料制品、模具制造、加工;道路货物运输。（依法须经批准的项目,经相关部门批准后方可开展经营活动）</t>
  </si>
  <si>
    <t>天津市津西华北内燃机螺丝厂</t>
  </si>
  <si>
    <t>西青区南河镇王庄子村</t>
  </si>
  <si>
    <t>汽车零部件及配件制造。无</t>
  </si>
  <si>
    <t>天津华驰汽车部件有限公司</t>
  </si>
  <si>
    <t>注销（2020-08-04）</t>
  </si>
  <si>
    <t>2014-11-19</t>
  </si>
  <si>
    <t>911202253007002369</t>
  </si>
  <si>
    <t>天津专用汽车产业园锦丰科贸园14号楼（蓟县经济开发区中兴街6号）</t>
  </si>
  <si>
    <t>蓟州区</t>
  </si>
  <si>
    <t>汽车电子元器件、汽车零部件制造、销售、研发。（依法须经批准的项目，经相关部门批准后方可开展经营活动）</t>
  </si>
  <si>
    <t>天津市新盾齿轮厂</t>
  </si>
  <si>
    <t>1995-05-17</t>
  </si>
  <si>
    <t>西青区杨柳青新华路10号</t>
  </si>
  <si>
    <t>汽车配件。劳务（手工编织、缝纫）。</t>
  </si>
  <si>
    <t>天津隆鑫泰丰汽车零部件有限公司</t>
  </si>
  <si>
    <t>注销（2019-05-23）</t>
  </si>
  <si>
    <t>2015-02-05</t>
  </si>
  <si>
    <t>911201133286942536</t>
  </si>
  <si>
    <t>天津市北辰区青光镇刘家码头工业区</t>
  </si>
  <si>
    <t>汽车配件制造、加工;有色金属加工、销售;机械加工;铝合金、建筑材料、化工产品（危险化学品、易制毒品除外）、塑料制品、橡胶制品、木材、机械设备、电子产品批发兼零售;金属热处理加工。（依法须经批准的项目,经相关部门批准后方可开展经营活动）</t>
  </si>
  <si>
    <t>天津友捷兴佳泰汽车部件有限公司</t>
  </si>
  <si>
    <t>注销（2018-10-25）</t>
  </si>
  <si>
    <t>2016-03-21</t>
  </si>
  <si>
    <t>91120113MA05J78B5Q</t>
  </si>
  <si>
    <t>天津市北辰区双口镇东堤工业区29号</t>
  </si>
  <si>
    <t>汽车零部件及配件制造、加工、销售;汽车零部件、摩托车配件、自行车配件、机械设备、电子产品加工;金属表面处理（电镀除外）。（依法须经批准的项目,经相关部门批准后方可开展经营活动）</t>
  </si>
  <si>
    <t>天津市津西中兴汽车配件厂</t>
  </si>
  <si>
    <t>1990-01-20</t>
  </si>
  <si>
    <t>西青区外环线7号桥东侧</t>
  </si>
  <si>
    <t>汽车配件制造</t>
  </si>
  <si>
    <t>天津华晨亚太石油有限公司</t>
  </si>
  <si>
    <t>吊销（1998-10-09）</t>
  </si>
  <si>
    <t>天津市北辰区青光乡杨咀村</t>
  </si>
  <si>
    <t>天津市连杆厂</t>
  </si>
  <si>
    <t>河北区宇纬路18号</t>
  </si>
  <si>
    <t>天津市永淏汽车部件有限公司</t>
  </si>
  <si>
    <t>2011-04-19</t>
  </si>
  <si>
    <t>91120111572324414H</t>
  </si>
  <si>
    <t>天津中北工业园三星路6号</t>
  </si>
  <si>
    <t>汽车零部件（五大总成除外）加工、制造。（以上经营范围涉及行业许可的凭许可证件,在有效期限内经营,国家有专项专营规定的按规定办理）</t>
  </si>
  <si>
    <t>天津市旭通伟泰汽车部件有限公司</t>
  </si>
  <si>
    <t>注销（2022-06-06）</t>
  </si>
  <si>
    <t>2014-06-05</t>
  </si>
  <si>
    <t>911201133007791242</t>
  </si>
  <si>
    <t>天津市北辰区双街镇双江道北双云路3号</t>
  </si>
  <si>
    <t>汽车配件、拖拉机配件制造、销售。（依法须经批准的项目，经相关部门批准后方可开展经营活动）</t>
  </si>
  <si>
    <t>天津安达名北车桥制造有限公司</t>
  </si>
  <si>
    <t>注销（2019-03-05）</t>
  </si>
  <si>
    <t>2005-02-23</t>
  </si>
  <si>
    <t>911201107706141214</t>
  </si>
  <si>
    <t>天津市东丽经济开发区二纬路11号</t>
  </si>
  <si>
    <t>开发、生产、加工、销售汽车零部件、机械件及配套服务。（以上经营范围涉及行业许可的凭许可证件，在有效期限内经营，国家有专项专营规定的按规定办理。）</t>
  </si>
  <si>
    <t>天津恒鑫汽车零部件有限公司</t>
  </si>
  <si>
    <t>注销（2023-02-27）</t>
  </si>
  <si>
    <t>91120104MA7EPABJ1J</t>
  </si>
  <si>
    <t>天津市南开区龙川路3号院内2号楼2962</t>
  </si>
  <si>
    <t>一般项目:汽车零部件及配件制造;汽车零部件研发;汽车零配件批发;模具制造;机械零件、零部件加工;机械零件、零部件销售;信息咨询服务（不含许可类信息咨询服务）;模具销售;工业设计服务;技术服务、技术开发、技术咨询、技术交流、技术转让、技术推广。（除依法须经批准的项目外,凭营业执照依法自主开展经营活动）</t>
  </si>
  <si>
    <t>汝卡（天津）汽车配件有限公司</t>
  </si>
  <si>
    <t>2017-03-08</t>
  </si>
  <si>
    <t>91120113MA05NHM706</t>
  </si>
  <si>
    <t>天津市北辰区天津北辰经济技术开发区高端装备制造产业园永进道88号（天津北达科技企业孵化器有限公司5楼5388号）</t>
  </si>
  <si>
    <t>汽车配件技术开发、转让、咨询、销售;机械配件销售;从事国家法律法规允许经营的进出口业务。（依法须经批准的项目,经相关部门批准后方可开展经营活动）</t>
  </si>
  <si>
    <t>天津市兴磊汽车零部件有限公司</t>
  </si>
  <si>
    <t>注销（2017-08-29）</t>
  </si>
  <si>
    <t>2007-05-11</t>
  </si>
  <si>
    <t>91120111660339915R</t>
  </si>
  <si>
    <t>天津中北工业园（南园）</t>
  </si>
  <si>
    <t>汽车零部件制造。（国家有专项专营规定的按规定执行涉及行业许可的凭许可证或批准文件经营）</t>
  </si>
  <si>
    <t>天津市联进机电有限公司</t>
  </si>
  <si>
    <t>2004-06-11</t>
  </si>
  <si>
    <t>911201137612810038</t>
  </si>
  <si>
    <t>天津市北辰区天穆镇铁东路开发区天通路10号</t>
  </si>
  <si>
    <t>开发、生产、加工、销售汽车高强度紧固件、金属制品、电子元器件及相关产品</t>
  </si>
  <si>
    <t>天崎汽车部件（天津）有限公司</t>
  </si>
  <si>
    <t>注销（2024-08-09）</t>
  </si>
  <si>
    <t>2019-04-26</t>
  </si>
  <si>
    <t>91120113MA06LJFB4Y</t>
  </si>
  <si>
    <t>天津市北辰区双口镇岔房子村津霸公路北400米（垠钛车业厂房2层）</t>
  </si>
  <si>
    <t>汽车配件加工（仅限于切割）；汽车配件、摩托车配件、线束、开关、电子元器件、电动自行车及零配件组装。（依法须经批准的项目，经相关部门批准后方可开展经营活动）</t>
  </si>
  <si>
    <t>天津市华瑞通汽车部件有限公司</t>
  </si>
  <si>
    <t>注销（2022-04-19）</t>
  </si>
  <si>
    <t>2013-06-14</t>
  </si>
  <si>
    <t>911201160698828063</t>
  </si>
  <si>
    <t>天津市河西区解放南路富裕广场4-3-1002</t>
  </si>
  <si>
    <t>电子产品、计算机软硬件技术开发、咨询、服务、转让；机械设备、汽车配件、电子产品、建筑材料、仪器仪表、计算机软硬件及外围设备、通讯设备、文具用品、日用百货、工艺美术品、纺织品批发；计算机网络工程设计、施工；以下限分支机构经营：汽车销售。（依法须经批准的项目，经相关部门批准后方可开展经营活动）</t>
  </si>
  <si>
    <t>天津远腾滤清器厂</t>
  </si>
  <si>
    <t>吊销（2005-11-07）</t>
  </si>
  <si>
    <t>2002-06-13</t>
  </si>
  <si>
    <t>河东区郑庄子北柴场大街27号</t>
  </si>
  <si>
    <t>制造、加工:汽车滤清器、滤芯、通用零部件。服务:电机修理。（国家有专项专营规定的按规定执行）（经营范围中有前置审批项目的以批准件及经营时限为准）</t>
  </si>
  <si>
    <t>天津市实力微型汽车配件制造厂</t>
  </si>
  <si>
    <t>1998-07-23</t>
  </si>
  <si>
    <t>河东区津塘路101号2-1-102</t>
  </si>
  <si>
    <t>天津市宏陆汽拖配件厂</t>
  </si>
  <si>
    <t>吊销（2019-06-24）</t>
  </si>
  <si>
    <t>2001-06-11</t>
  </si>
  <si>
    <t>911201042390145787</t>
  </si>
  <si>
    <t>南开区长江道湾兜南天海绣花厂4B20</t>
  </si>
  <si>
    <t>加工、制造、销售:汽车配件、拖拉机配件、装饰材料。（国家有专项专营规定的按国家专项专营规定办理）</t>
  </si>
  <si>
    <t>天津市奥瑞通汽车配件有限责任公司</t>
  </si>
  <si>
    <t>2007-08-22</t>
  </si>
  <si>
    <t>91120111666101094T</t>
  </si>
  <si>
    <t>西青区杨柳青镇大柳滩村东</t>
  </si>
  <si>
    <t>汽车配件及橡塑制品制造。（国家有专项专营规定的按规定执行涉及行业许可证的凭许可证或批准文件经营）</t>
  </si>
  <si>
    <t>天津盛新永达汽车零部件有限公司</t>
  </si>
  <si>
    <t>注销（2014-05-13）</t>
  </si>
  <si>
    <t>2013-10-24</t>
  </si>
  <si>
    <t>天津市北辰区青光镇人民政府综合楼206室</t>
  </si>
  <si>
    <t>汽车零部件制造、加工及销售。（以上经营范围涉及行业许可的凭许可证件,在有效期限内经营,国家有专项专营规定的按规定办理。）</t>
  </si>
  <si>
    <t>天津松达机械设备工贸有限公司</t>
  </si>
  <si>
    <t>吊销（2010-12-06）</t>
  </si>
  <si>
    <t>2005-07-07</t>
  </si>
  <si>
    <t>91120104777310980M</t>
  </si>
  <si>
    <t>南开区鑫茂民营科技园四方电子科技大厦三层A1单元</t>
  </si>
  <si>
    <t>机械配件制造、电气焊加工;机械设备（小轿车除外）、汽车配件、建筑材料、装饰材料、钢材批发兼零售;汽车配件、机械配件技术咨询、服务。（国家有专项专营规定的按国家专项专营规定办理）</t>
  </si>
  <si>
    <t>天津市宽广汽车配件厂</t>
  </si>
  <si>
    <t>1998-01-22</t>
  </si>
  <si>
    <t>北辰区霍庄镇赵庄村</t>
  </si>
  <si>
    <t>汽车配件制造、模具加工、冲压件加工。</t>
  </si>
  <si>
    <t>天津市西青区兴发冲压件有限公司</t>
  </si>
  <si>
    <t>注销（2017-11-06）</t>
  </si>
  <si>
    <t>2001-08-30</t>
  </si>
  <si>
    <t>91120111730371399N</t>
  </si>
  <si>
    <t>西青区中北镇东马庄村</t>
  </si>
  <si>
    <t>制造、加工:汽车冲压件、电气焊、塑料制品;机加工;销售:汽车配件（五大总成除外）。（以上经营范围国家有专项、专营规定按规定执行）</t>
  </si>
  <si>
    <t>天津市汽车空气滤清器公司</t>
  </si>
  <si>
    <t>1993-07-17</t>
  </si>
  <si>
    <t>南开区红旗路北草坝华坪路6号</t>
  </si>
  <si>
    <t>汽车配件（滤清器）制造。（C-3727）汽车、拖拉机配件制造;汽车货运。</t>
  </si>
  <si>
    <t>天津正发汽车配件有限公司</t>
  </si>
  <si>
    <t>1995-02-23</t>
  </si>
  <si>
    <t>天津市北辰区富锦路大中华橡胶厂以北</t>
  </si>
  <si>
    <t>汽车空调管路总成及汽车零部件开发、生产、销售</t>
  </si>
  <si>
    <t>天津市华云汽车零部件科技开发有限公司</t>
  </si>
  <si>
    <t>吊销（2007-12-11）</t>
  </si>
  <si>
    <t>1998-10-12</t>
  </si>
  <si>
    <t>9112011370058174XR</t>
  </si>
  <si>
    <t>北辰科技工业园区宜中路10号315</t>
  </si>
  <si>
    <t>汽车零部件、自动化配套设备、开关控制设备开发、制造、安装、调试;机电产品（不含轿车）、电子产品零售。</t>
  </si>
  <si>
    <t>天津市万力嘉通工贸有限公司</t>
  </si>
  <si>
    <t>2003-01-17</t>
  </si>
  <si>
    <t>911201117466516782</t>
  </si>
  <si>
    <t>天津市西青区西青道315号金盛经贸公司院内6号</t>
  </si>
  <si>
    <t>制造、加工：汽车装俱、汽车配件（五大总成除外）、通讯设备、模具；批发兼零售：橡胶制品、塑料及塑料制品、金属材料、建筑装饰材料、日用百货、五金交电、化工产品（危险品及易制毒品除外）、计算机、通讯器材；计算机软件系统批发兼零售、安装；通讯技术咨询服务（中介除外）。（以上经营范围涉及行业许可的凭许可证件，在有效期限内经营，国家有专项专营规定的按规定办理）</t>
  </si>
  <si>
    <t>天津市红桥区天通汽车配件厂</t>
  </si>
  <si>
    <t>1988-12-17</t>
  </si>
  <si>
    <t>（红）光荣道211号</t>
  </si>
  <si>
    <t>汽车零部件及配件、水暖管道零件、摩托车零部件及配件制造;玻璃钢制品加工;机加工、金属管材加工;机床及通用设备维修。*</t>
  </si>
  <si>
    <t>天津市东丽区奔特汽车配件厂</t>
  </si>
  <si>
    <t>注销（2011-12-01）</t>
  </si>
  <si>
    <t>2001-05-14</t>
  </si>
  <si>
    <t>东丽区大毕庄工业区金属网厂内</t>
  </si>
  <si>
    <t>汽车配件加工、制造;五金零件批发。（经营范围中涉及国家有专项、专营规定的,按规定执行）</t>
  </si>
  <si>
    <t>天津市磊鑫冲压件有限公司</t>
  </si>
  <si>
    <t>2000-12-11</t>
  </si>
  <si>
    <t>西青区中北镇大蒋庄</t>
  </si>
  <si>
    <t>制造:金属冲压件;电气焊加工。（以上经营范围国家有专项、专营规定按规定执行。）</t>
  </si>
  <si>
    <t>天津市北宇汽车零部件制造有限公司</t>
  </si>
  <si>
    <t>注销（2021-04-01）</t>
  </si>
  <si>
    <t>2003-08-25</t>
  </si>
  <si>
    <t>91120105752233296F</t>
  </si>
  <si>
    <t>天津市河北区王串场垣焕里（31段）平房旁6-1号</t>
  </si>
  <si>
    <t>汽车零部件制造；机械加工；汽车零部件批发兼零售（以上经营范围涉及行业许可的凭许可证件，在有效期限内经营，国家有专项专营规定的按规定办理。）</t>
  </si>
  <si>
    <t>天津市科诺汽车零部件有限公司</t>
  </si>
  <si>
    <t>吊销（2017-06-09）</t>
  </si>
  <si>
    <t>2009-10-29</t>
  </si>
  <si>
    <t>91120116694095672N</t>
  </si>
  <si>
    <t>华苑产业区物华道A座103室-2</t>
  </si>
  <si>
    <t>汽车用活塞、汽车用链杆、汽车用缸套的制造及销售。（国家有专项、专营规定的,按规定执行）</t>
  </si>
  <si>
    <t>天津市津西新成福利冲压件厂</t>
  </si>
  <si>
    <t>1991-04-18</t>
  </si>
  <si>
    <t>西青区中北镇小蒋庄村</t>
  </si>
  <si>
    <t>汽车配件制造;自行车零件、紧固件、涂料制造、金属冲压加工、烤漆加工、机加工。（国家有专项专营规定的按规定执行涉及行业许可的凭许可证或批准文件经营）</t>
  </si>
  <si>
    <t>天津市河东汽车配件厂</t>
  </si>
  <si>
    <t>1981-09-30</t>
  </si>
  <si>
    <t>姚台大街51号</t>
  </si>
  <si>
    <t>汽车配件制造;橡胶零件、铁木家具制造。</t>
  </si>
  <si>
    <t>天津二中仪表电器厂</t>
  </si>
  <si>
    <t>河北区昆纬路141号</t>
  </si>
  <si>
    <t>汽车配件、电压表、织物仪器制造;机加工。</t>
  </si>
  <si>
    <t>天津市南开区天力汽车配件厂</t>
  </si>
  <si>
    <t>吊销（2002-10-23）</t>
  </si>
  <si>
    <t>1997-03-17</t>
  </si>
  <si>
    <t>南开区密云路锦园里（二十七幼儿园内）</t>
  </si>
  <si>
    <t>汽车配件制造、橡胶塑料零件制造。（Ｃ－３７２７）机加工。</t>
  </si>
  <si>
    <t>天津市天洋汽车电器厂</t>
  </si>
  <si>
    <t>1993-08-06</t>
  </si>
  <si>
    <t>91120113103984874K</t>
  </si>
  <si>
    <t>北辰区延吉道小学内</t>
  </si>
  <si>
    <t>汽车配件制造、电子变压器制造。</t>
  </si>
  <si>
    <t>天津市津西青发汽车配件厂</t>
  </si>
  <si>
    <t>吊销（2001-12-10）</t>
  </si>
  <si>
    <t>1996-07-24</t>
  </si>
  <si>
    <t>西青区西青道发电厂南</t>
  </si>
  <si>
    <t>汽车零部件及配件制造。</t>
  </si>
  <si>
    <t>天津乐屹汽车装具有限公司</t>
  </si>
  <si>
    <t>注销（2018-11-19）</t>
  </si>
  <si>
    <t>2015-04-30</t>
  </si>
  <si>
    <t>91120104328609880F</t>
  </si>
  <si>
    <t>天津市南开区长江道98号9号楼156室</t>
  </si>
  <si>
    <t>汽车装具制造、加工;批发和零售业。（依法须经批准的项目,经相关部门批准后方可开展经营活动）</t>
  </si>
  <si>
    <t>天津市精顺电器有限公司</t>
  </si>
  <si>
    <t>吊销（2005-10-08）</t>
  </si>
  <si>
    <t>1999-09-17</t>
  </si>
  <si>
    <t>程林街杨台村</t>
  </si>
  <si>
    <t>120110718214155</t>
  </si>
  <si>
    <t>汽车、摩托车电器件加工;批发兼零售; 摩托车零售兼批发。</t>
  </si>
  <si>
    <t>天津市津南汽车螺丝厂</t>
  </si>
  <si>
    <t>吊销（2001-12-25）</t>
  </si>
  <si>
    <t>1985-04-17</t>
  </si>
  <si>
    <t>津南区辛庄镇中辛庄村</t>
  </si>
  <si>
    <t>汽车配件制造（双头螺丝）。</t>
  </si>
  <si>
    <t>天津市西青区旭东金属橡胶制品厂</t>
  </si>
  <si>
    <t>1992-12-08</t>
  </si>
  <si>
    <t>西青区辛口镇上辛口村</t>
  </si>
  <si>
    <t>汽车配件制造;金属配件、橡塑配件加工。</t>
  </si>
  <si>
    <t>天津市高士达汽车配件厂</t>
  </si>
  <si>
    <t>2002-06-06</t>
  </si>
  <si>
    <t>91120102MA05Q6843L</t>
  </si>
  <si>
    <t>河东区津塘公路1号门内</t>
  </si>
  <si>
    <t>制造、加工:汽车零部件制造、加工。（国家有专项专营规定的按规定执行）（经营范围中有前置审批项目的以批准件及经营时限为准）</t>
  </si>
  <si>
    <t>天津市佰仕德交通器材厂</t>
  </si>
  <si>
    <t>吊销（2004-12-14）</t>
  </si>
  <si>
    <t>1997-07-03</t>
  </si>
  <si>
    <t>河西区孚德里存车处旁</t>
  </si>
  <si>
    <t>汽车、摩托车配件及装饰用品加工、制造、销售。（国家有专项、专营规定的按国家规定执行）（涉及行业审批的经营项目及有效期限均以许可证或资质证为准）</t>
  </si>
  <si>
    <t>天津市津软汽车配件制造厂</t>
  </si>
  <si>
    <t>吊销（2006-10-25）</t>
  </si>
  <si>
    <t>1993-04-21</t>
  </si>
  <si>
    <t>河西区厦门路36号</t>
  </si>
  <si>
    <t>汽车配件制造。（国家有专项经营规定按规定执行、行业审批的经营项目的有效期限以其行业审批的有效期限为准）</t>
  </si>
  <si>
    <t>天津市红岩齿轮厂</t>
  </si>
  <si>
    <t>1988-01-23</t>
  </si>
  <si>
    <t>北辰区普济河道立交桥南</t>
  </si>
  <si>
    <t>汽车配件制造、纺织器材配件制造。</t>
  </si>
  <si>
    <t>天津市星光汽车电器有限公司</t>
  </si>
  <si>
    <t>2003-01-09</t>
  </si>
  <si>
    <t>91120113744042975A</t>
  </si>
  <si>
    <t>北辰区小淀工业区</t>
  </si>
  <si>
    <t>汽车分电器、汽车配件制造、加工。</t>
  </si>
  <si>
    <t>天津市北辰区佳兴机械厂</t>
  </si>
  <si>
    <t>北辰区上河头乡前堡村</t>
  </si>
  <si>
    <t>集体所有制（股份合作）</t>
  </si>
  <si>
    <t>汽车配件、工程机械配件加工、机加工。</t>
  </si>
  <si>
    <t>天津市仁源汽配有限公司</t>
  </si>
  <si>
    <t>1996-12-13</t>
  </si>
  <si>
    <t>91120104600844063M</t>
  </si>
  <si>
    <t>天津市南开区红旗路176号^</t>
  </si>
  <si>
    <t>加工、制造:汽车配件;批发兼零售:五金工具、电器设备、橡胶制品。</t>
  </si>
  <si>
    <t>天津市精益汽车配件厂</t>
  </si>
  <si>
    <t>1992-12-18</t>
  </si>
  <si>
    <t>河北区红星路嵩山里25号</t>
  </si>
  <si>
    <t>汽车配件制造;机加工。**经营范围中国家有专营专项规定的按专营专项规定办理**</t>
  </si>
  <si>
    <t>天津市曹氏汽车附件有限公司</t>
  </si>
  <si>
    <t>吊销（2002-09-20）</t>
  </si>
  <si>
    <t>1997-06-16</t>
  </si>
  <si>
    <t>津南区双港镇桃源沽村</t>
  </si>
  <si>
    <t>汽车附件制造铆焊。钢材、五金、水暖、机电设备、建筑材料、化工（易燃易爆易制毒品除外）的批发兼零售。</t>
  </si>
  <si>
    <t>天津市津泊轴瓦厂</t>
  </si>
  <si>
    <t>1993-02-23</t>
  </si>
  <si>
    <t>西青区杨柳青镇西青道佳苑里四号楼2-102（底商）</t>
  </si>
  <si>
    <t>内燃机轴瓦。</t>
  </si>
  <si>
    <t>天津市津西光达汽车靠垫厂</t>
  </si>
  <si>
    <t>吊销（2002-09-15）</t>
  </si>
  <si>
    <t>1996-08-21</t>
  </si>
  <si>
    <t>西青区辛口镇当城村</t>
  </si>
  <si>
    <t>汽车坐垫制造;聚胺酯材料。</t>
  </si>
  <si>
    <t>天津市北辰区津华汽摩配件厂</t>
  </si>
  <si>
    <t>1992-11-13</t>
  </si>
  <si>
    <t>北辰区双河村</t>
  </si>
  <si>
    <t>汽车配件制造。（5627）橡胶零件制造。</t>
  </si>
  <si>
    <t>天津市鑫泰汽车配件厂</t>
  </si>
  <si>
    <t>1995-11-03</t>
  </si>
  <si>
    <t>（红）丁字沽十三段永明大道</t>
  </si>
  <si>
    <t>汽车装具、汽车零部件及配件制造、加工。五金（不含消防器材）、交电、化工、百货、家具。</t>
  </si>
  <si>
    <t>天津市仁益液压机电厂</t>
  </si>
  <si>
    <t>1996-10-10</t>
  </si>
  <si>
    <t>（红）湘潭道59增4号</t>
  </si>
  <si>
    <t>汽车配件、液压件制造;机加工、模具加工。*</t>
  </si>
  <si>
    <t>天津市腾福汽车密封垫厂</t>
  </si>
  <si>
    <t>1999-09-20</t>
  </si>
  <si>
    <t>南开区宜宾道16号</t>
  </si>
  <si>
    <t>汽车密封垫制造;橡胶零件、汽车配件加工。</t>
  </si>
  <si>
    <t>天津市万云汽车配件厂</t>
  </si>
  <si>
    <t>1998-07-03</t>
  </si>
  <si>
    <t>北辰区天穆南大楼后回民食品厂院内</t>
  </si>
  <si>
    <t>汽车配件制造、冲压件、注塑件、机械加工。</t>
  </si>
  <si>
    <t>天津市西青区金科汽车配件加工厂</t>
  </si>
  <si>
    <t>吊销（2023-06-30）</t>
  </si>
  <si>
    <t>2004-05-17</t>
  </si>
  <si>
    <t>91120111761280502D</t>
  </si>
  <si>
    <t>西青区南河镇付村中学西侧</t>
  </si>
  <si>
    <t>汽车配件加工（五大总成除外）、仓储（易燃、易爆品化学危险品除外）；普通货运（在许可证有效期限内经营）。（国家有专项专营规定按规定执行；涉及行业许可的凭许可证或批准文件经营）</t>
  </si>
  <si>
    <t>天津市京警汽车配件厂</t>
  </si>
  <si>
    <t>吊销（2009-11-13）</t>
  </si>
  <si>
    <t>1996-05-02</t>
  </si>
  <si>
    <t>911201062391356871</t>
  </si>
  <si>
    <t>红）丁字沽三号路北头（武警院内</t>
  </si>
  <si>
    <t>汽车配件、摩托车配件、农机配件制造。*（国家有专项、专营规定的按规定执行）</t>
  </si>
  <si>
    <t>天津市汽车工业公司技校实习工厂</t>
  </si>
  <si>
    <t>1984-12-05</t>
  </si>
  <si>
    <t>91120113103925380L</t>
  </si>
  <si>
    <t>北辰区韩家墅汽车厂内</t>
  </si>
  <si>
    <t>汽车配件制造;汽车配件、五金（不含消防器材）、交电、化工原料、机械设备、文教用品;商品信息服务。（以上经营范围:易燃、易爆、易毒、化学危险品除外）</t>
  </si>
  <si>
    <t>天津市瑞达汽车部件有限公司</t>
  </si>
  <si>
    <t>吊销（2013-12-23）</t>
  </si>
  <si>
    <t>2003-03-13</t>
  </si>
  <si>
    <t>91120106746678731Q</t>
  </si>
  <si>
    <t>红桥区津坝公路北侧（天津市红旗垫圈厂院内）</t>
  </si>
  <si>
    <t>汽车零部件及配件、通用仪器仪表制造、加工、技术开发、信息咨询（不含中介）;五金、交电、化工（不含危险品及易制毒化学品）、机电产品（不含小轿车）、日用百货、计算机及外围设备批发兼零售。（国家有专项专营规定的,按规定执行。）</t>
  </si>
  <si>
    <t>天津市河西区广元汽车配件厂</t>
  </si>
  <si>
    <t>1994-05-20</t>
  </si>
  <si>
    <t>河西区解放南路519号</t>
  </si>
  <si>
    <t>汽车配件、橡胶板、带、管、汽缸垫、进排气垫制造、加工;汽车配件零售兼批发。（国家有专项、专营规定的按规定执行）（涉及行业审批的经营项目及有效期限均以许可证或资质证为准）</t>
  </si>
  <si>
    <t>天津市华安电器厂</t>
  </si>
  <si>
    <t>注销（2009-11-15）</t>
  </si>
  <si>
    <t>1983-11-21</t>
  </si>
  <si>
    <t>河北区中纺前街四民里33号</t>
  </si>
  <si>
    <t>汽车配件、模具制造;机械配件加工;机械修理。</t>
  </si>
  <si>
    <t>天津市津西密云汽车配件综合加工厂</t>
  </si>
  <si>
    <t>1988-11-14</t>
  </si>
  <si>
    <t>西青区西营门街小稍口村密云路西侧</t>
  </si>
  <si>
    <t>汽车配件制造;汽车装俱加工、喷漆加工。</t>
  </si>
  <si>
    <t>天津市津铁澳洋汽车安全设备厂</t>
  </si>
  <si>
    <t>吊销（2003-11-25）</t>
  </si>
  <si>
    <t>河北区民权门增光道13号</t>
  </si>
  <si>
    <t>安全带制造。台钻、金属模具制造;物资储存、劳务服务;机加工。</t>
  </si>
  <si>
    <t>天津申邦汽车部件有限公司</t>
  </si>
  <si>
    <t>注销（2017-11-17）</t>
  </si>
  <si>
    <t>2012-07-12</t>
  </si>
  <si>
    <t>91120113598726446R</t>
  </si>
  <si>
    <t>北辰区宜兴埠外环线外新开河北</t>
  </si>
  <si>
    <t>汽车配件、机械产品、钣金件、数控机床、电子产品制造、加工;从事国家法律法规允许经营的进出口业务;从事广告业务;国内货物运输代理服务（水路除外）。（以上经营范围涉及行业许可的凭许可证件,在有效期限内经营,国家有专项专营规定的按规定办理。）</t>
  </si>
  <si>
    <t>天津市德益汽车配件厂</t>
  </si>
  <si>
    <t>注销（2021-07-09）</t>
  </si>
  <si>
    <t>91120105746650202L</t>
  </si>
  <si>
    <t>河北区靖江路9号</t>
  </si>
  <si>
    <t>汽车配件、摩托车配件制造、加工;摩托车、汽车配件、机械电子设备、金属材料、五金、交电、化工（不含易毒品、危险品）、日用百货批发兼零售、代购、代销。**经营范围中国家有专营专项规定的按专营专项规定办理**</t>
  </si>
  <si>
    <t>天津市万通铸造厂</t>
  </si>
  <si>
    <t>1996-06-27</t>
  </si>
  <si>
    <t>9112011371283613XA</t>
  </si>
  <si>
    <t>北辰区小淀镇小贺庄</t>
  </si>
  <si>
    <t>汽车配件、摩托车配件制造、电气焊加工、铸造加工;水箱修理、润滑油脂分装。</t>
  </si>
  <si>
    <t>天津市滨湖交通电器厂</t>
  </si>
  <si>
    <t>1988-12-21</t>
  </si>
  <si>
    <t>南开区水上公园路53号（271医院内）</t>
  </si>
  <si>
    <t>汽车转向器。（C-3727）汽车雨刷器;以下限分支:正餐;烟酒、饮料。</t>
  </si>
  <si>
    <t>天津市北辰区华日汽车配件工贸中心</t>
  </si>
  <si>
    <t>1998-05-28</t>
  </si>
  <si>
    <t>北辰区铁东路外环线工业区</t>
  </si>
  <si>
    <t>汽车配件制造、加工、机加工、金属制品加工;汽车货运;汽车配件批发兼零售、代购代销。</t>
  </si>
  <si>
    <t>天津市北辰区龄芝汽车配件厂</t>
  </si>
  <si>
    <t>1998-01-08</t>
  </si>
  <si>
    <t>北辰区小杨庄村</t>
  </si>
  <si>
    <t>汽车配件制造、五金制品加工。</t>
  </si>
  <si>
    <t>天津市内燃机轴瓦厂</t>
  </si>
  <si>
    <t>吊销（2004-12-03）</t>
  </si>
  <si>
    <t>1992-06-25</t>
  </si>
  <si>
    <t>西青区杨柳青二经路</t>
  </si>
  <si>
    <t>汽车内燃机轴瓦制造。</t>
  </si>
  <si>
    <t>天津市亿佳汽车零部件有限公司</t>
  </si>
  <si>
    <t>吊销（2011-11-15）</t>
  </si>
  <si>
    <t>2006-08-10</t>
  </si>
  <si>
    <t>91120111792512724D</t>
  </si>
  <si>
    <t>西青区西营门街营洁路南口</t>
  </si>
  <si>
    <t>汽车零部件、摩托车零部件、电动自行车电子元器件技术开发、制造;电源整流电设备、低压开发柜、配电柜、低压电器元件、小型电机、电线、电缆制造及技术咨询服务。（国家有专项专营规定的按规定执行涉及行业许可的凭许可证或批准文件经营）</t>
  </si>
  <si>
    <t>天津市河北区通达汽车装俱装饰用品厂</t>
  </si>
  <si>
    <t>1995-04-06</t>
  </si>
  <si>
    <t>河北区金沙江路12号</t>
  </si>
  <si>
    <t>汽车装俱、装饰用品、金属门窗制造;电气焊、装饰用品安装服务;装饰用品修理;机械、电子设备、服装、日用百货、纺织品、五金、交电、化工（不含易毒品、危险品）、汽车配件零售兼批发。</t>
  </si>
  <si>
    <t>天津市汽摩化油器厂</t>
  </si>
  <si>
    <t>1996-07-08</t>
  </si>
  <si>
    <t>北辰区天穆镇郭辛庄</t>
  </si>
  <si>
    <t>汽车配件制造、机加工。</t>
  </si>
  <si>
    <t>天津市永兴汽车配件厂</t>
  </si>
  <si>
    <t>1993-02-06</t>
  </si>
  <si>
    <t>杨柳青前桑园村</t>
  </si>
  <si>
    <t>汽车配件加工</t>
  </si>
  <si>
    <t>天津市河北区津通机械实验厂</t>
  </si>
  <si>
    <t>1997-08-01</t>
  </si>
  <si>
    <t>河北区榆关道3号</t>
  </si>
  <si>
    <t>机车零部件加工、修理。清洗剂制造。</t>
  </si>
  <si>
    <t>天津市红桥区明东汽车配件厂</t>
  </si>
  <si>
    <t>1999-02-02</t>
  </si>
  <si>
    <t>（红）西青道87号</t>
  </si>
  <si>
    <t>汽车零部件制造、加工;钗金、冲压;钢材、五金。*</t>
  </si>
  <si>
    <t>天津市津卓汽车配件厂</t>
  </si>
  <si>
    <t>1997-01-15</t>
  </si>
  <si>
    <t>（红）丁字沽零号路向东道1号</t>
  </si>
  <si>
    <t>汽车化油器制造、加工、汽车配件零售兼批发。*</t>
  </si>
  <si>
    <t>天津市北辰区北环综合加工厂</t>
  </si>
  <si>
    <t>1989-03-21</t>
  </si>
  <si>
    <t>北辰区小淀小学院内</t>
  </si>
  <si>
    <t>汽车配件制造。（5627）汽车装具、工艺毯加工、建筑工具加工、铁刨花加工。</t>
  </si>
  <si>
    <t>天津市西粮散热器厂</t>
  </si>
  <si>
    <t>1983-06-27</t>
  </si>
  <si>
    <t>911201031032995864</t>
  </si>
  <si>
    <t>河西区郁江道39号</t>
  </si>
  <si>
    <t>散热器制造;汽车配件修理。</t>
  </si>
  <si>
    <t>天津市西青区华立福利汽车配件厂</t>
  </si>
  <si>
    <t>1989-01-09</t>
  </si>
  <si>
    <t>911201111038066648</t>
  </si>
  <si>
    <t>中北镇侯台村</t>
  </si>
  <si>
    <t>汽车配件制造;喷漆、烤漆加工。（国家有专项专营规定的按规定执行涉及行业许可的凭许可证或批准文件经营）</t>
  </si>
  <si>
    <t>天津市鑫利源汽车金属装饰件厂</t>
  </si>
  <si>
    <t>吊销（2010-11-15）</t>
  </si>
  <si>
    <t>1995-12-18</t>
  </si>
  <si>
    <t>天津市河北区红星支路5号</t>
  </si>
  <si>
    <t>汽车配件加工、汽车配件。五金制品、五金、化工（国家专营、易燃易爆除外）。（国家有专项专营规定的按规定执行）</t>
  </si>
  <si>
    <t>天津市北方汽车塑料配件厂</t>
  </si>
  <si>
    <t>1988-07-28</t>
  </si>
  <si>
    <t>西青区辛口镇白灰厂院内</t>
  </si>
  <si>
    <t>天津市隆铁通用配件机械厂</t>
  </si>
  <si>
    <t>2002-05-14</t>
  </si>
  <si>
    <t>河东区王串场一号路南头天津市华信电子器件厂院内8号厂房</t>
  </si>
  <si>
    <t>制造、加工、修理:机车配件、泵阀配件。零售兼批发:机电产品（不含汽车）、五金工具。（国家有专项专营规定的按规定执行）</t>
  </si>
  <si>
    <t>天津市康宏汽车油管有限公司</t>
  </si>
  <si>
    <t>吊销（2000-08-20）</t>
  </si>
  <si>
    <t>1997-05-16</t>
  </si>
  <si>
    <t>南开区密云路6号</t>
  </si>
  <si>
    <t>油管、电冰箱冷凝器管制造;金属材料、五金、交电、化工（危险品除外）、汽车配件批发兼零售。（C-3727）</t>
  </si>
  <si>
    <t>天津市顺联汽车配件厂</t>
  </si>
  <si>
    <t>西青区中北斜乡汪庄村</t>
  </si>
  <si>
    <t>汽车配件制造汽车装具制造及按装。</t>
  </si>
  <si>
    <t>天津市弘瑞汽车配件加工厂</t>
  </si>
  <si>
    <t>注销（2019-09-05）</t>
  </si>
  <si>
    <t>1993-06-15</t>
  </si>
  <si>
    <t>91120111X00607056Q</t>
  </si>
  <si>
    <t>西青区津淄公路南</t>
  </si>
  <si>
    <t>汽车配件制造、加工;曲轴修磨、汽缸镗磨。（依法须经批准的项目,经相关部门批准后方可开展经营活动）</t>
  </si>
  <si>
    <t>天津市恒瑞汽车部件有限公司</t>
  </si>
  <si>
    <t>吊销（2004-11-30）</t>
  </si>
  <si>
    <t>2003-03-19</t>
  </si>
  <si>
    <t>西青经济开发区西营门工业园北菜园小区</t>
  </si>
  <si>
    <t>制造:汽车配件（五大总成除外）、汽车电器、机械、汽车电子产品。（以上经营范围国家有专项专营规定按规定执行）</t>
  </si>
  <si>
    <t>天津市新夏汽车配件工贸中心</t>
  </si>
  <si>
    <t>1998-05-22</t>
  </si>
  <si>
    <t>南开区红旗路103号</t>
  </si>
  <si>
    <t>汽车配件加工、制造。（C-3727）汽车摩托车配件、机械设备、日用杂品、家用电器。</t>
  </si>
  <si>
    <t>天津华旭腾达汽车装具有限公司</t>
  </si>
  <si>
    <t>2008-12-04</t>
  </si>
  <si>
    <t>9112011168187452XG</t>
  </si>
  <si>
    <t>西青区大寺镇大任庄村</t>
  </si>
  <si>
    <t>汽车装具及配件、服装加工、制造。（国家有专项专营规定的按规定执行,涉及行业许可的凭许可证或批准文件经营）</t>
  </si>
  <si>
    <t>天津津围兴淀五金厂（普通合伙）</t>
  </si>
  <si>
    <t>注销（2025-05-22）</t>
  </si>
  <si>
    <t>2002-10-08</t>
  </si>
  <si>
    <t>91120113741397762L</t>
  </si>
  <si>
    <t>北辰区小淀村</t>
  </si>
  <si>
    <t>普通合伙企业</t>
  </si>
  <si>
    <t>手工具制造；铸造用卡子、五金冲压件加工、制造；机加工。（以上经营范围涉及行业许可的凭许可证件，在有效期限内经营，国家有专项专营规定的按规定办理）</t>
  </si>
  <si>
    <t>天津广达科技发展有限公司</t>
  </si>
  <si>
    <t>注销（2018-03-09）</t>
  </si>
  <si>
    <t>2005-08-16</t>
  </si>
  <si>
    <t>911201167773361282</t>
  </si>
  <si>
    <t>天津新技术产业园区华苑产业区物华道2号A座3-047室</t>
  </si>
  <si>
    <t>汽车配件、机械配件的开发、生产、销售及相关技术咨询服务；机电一体化的技术研发、咨询服务</t>
  </si>
  <si>
    <t>天津市德众汽车用品厂</t>
  </si>
  <si>
    <t>2004-04-02</t>
  </si>
  <si>
    <t>西青区辛口镇冯高庄村南</t>
  </si>
  <si>
    <t>制造、加工:汽车配件、润滑油、防冻液、制动液。（国家有专项专营规定按规定执行）</t>
  </si>
  <si>
    <t>天津仁益日丰汽车零部件有限公司</t>
  </si>
  <si>
    <t>注销（2017-03-17）</t>
  </si>
  <si>
    <t>2009-09-04</t>
  </si>
  <si>
    <t>911201116940607954</t>
  </si>
  <si>
    <t>西青区西营门街泰宁道南侧</t>
  </si>
  <si>
    <t>汽车零部件、模具、液压件、机械零部件加工、制造。（国家有专项专营规定的按规定执行,涉及行业许可的凭许可证或批准文件经营）</t>
  </si>
  <si>
    <t>天津市昌正众和汽车部件有限公司</t>
  </si>
  <si>
    <t>吊销（2023-05-26）</t>
  </si>
  <si>
    <t>2011-08-03</t>
  </si>
  <si>
    <t>91120112578344192M</t>
  </si>
  <si>
    <t>天津市津南经济开发区（西区）香港街3号A座205-97室</t>
  </si>
  <si>
    <t>汽车零部件的加工、销售。（以上经营范围涉及行业许可的凭许可证件,在有效期限内经营,国家有专项专营规定的按规定办理）</t>
  </si>
  <si>
    <t>天津市益师汽车配件产销处</t>
  </si>
  <si>
    <t>吊销（2007-12-26）</t>
  </si>
  <si>
    <t>2003-06-17</t>
  </si>
  <si>
    <t>红桥区西青道171号</t>
  </si>
  <si>
    <t>汽车配件及泵加工、制造;汽车配件、润滑油（小包装）、建筑材料、装饰材料、日用百货零售兼批发。（国家有专项专营规定的除外）</t>
  </si>
  <si>
    <t>赤坂（天津）汽车配件有限公司</t>
  </si>
  <si>
    <t>注销（2021-11-12）</t>
  </si>
  <si>
    <t>2005-07-01</t>
  </si>
  <si>
    <t>91120110773645222X</t>
  </si>
  <si>
    <t>天津市东丽开发区一经路39号</t>
  </si>
  <si>
    <t>生产、加工、销售汽车配件、金属加工、塑料树脂注塑以及以上相关业务的售后服务和技术咨询</t>
  </si>
  <si>
    <t>天津市奥鑫凯工贸中心</t>
  </si>
  <si>
    <t>2003-04-21</t>
  </si>
  <si>
    <t>911201057491078971</t>
  </si>
  <si>
    <t>河北区建昌道韩飞宿舍二楼207室</t>
  </si>
  <si>
    <t>摩托车、汽车零部件及配件、模具、服装制造、加工;机加工;金属材料、建筑材料、五金、化工（危险品、易制毒品除外）、百货零售兼批发。**经营范围中国家有专营专项规定的按专营专项规定办理**</t>
  </si>
  <si>
    <t>天津市民正工贸有限公司</t>
  </si>
  <si>
    <t>注销（2023-09-04）</t>
  </si>
  <si>
    <t>2005-08-08</t>
  </si>
  <si>
    <t>911201107773299211</t>
  </si>
  <si>
    <t>东丽区程林街小王庄村西</t>
  </si>
  <si>
    <t>汽车配件制造；润滑油调和；汽车配件、润滑油脂、五金交电、机电产品、电子产品、民用建材批发兼零售；汽车养护技术咨询；供油系统维护和油品更换。（以上经营范围涉及行业许可的凭许可证件，在有效期限内经营，国家有专项专营规定的按规定办理。）</t>
  </si>
  <si>
    <t>天津市亿鑫福汽车配件有限公司</t>
  </si>
  <si>
    <t>注销（2021-01-05）</t>
  </si>
  <si>
    <t>2012-07-19</t>
  </si>
  <si>
    <t>911201115987323286</t>
  </si>
  <si>
    <t>西青区杨柳青白滩寺村村西棚围（杨柳青农庄西侧）</t>
  </si>
  <si>
    <t>制造、加工：汽车配件、五金制品、铝制品、机械零部件；金属热处理加工。（以上经营范围涉及行业许可的凭许可证件，在有效期限内经营，国家有专项专营规定的按规定办理。）</t>
  </si>
  <si>
    <t>天津市飞驰工贸有限公司</t>
  </si>
  <si>
    <t>注销（2020-09-18）</t>
  </si>
  <si>
    <t>1996-03-10</t>
  </si>
  <si>
    <t>河北区靖江路金山道1号</t>
  </si>
  <si>
    <t>塑料制品、汽车配件、机械设备制造；模具加工；物资供销（不含汽车）、市场用煤、医疗器材、五金、交电、化工、日用杂品、建筑材料、装饰材料、电子计算机批发兼零售、代购、代销；室内外装饰、线路、管道安装。</t>
  </si>
  <si>
    <t>天津市一零九中学汽车配件有限公司</t>
  </si>
  <si>
    <t>注销（2024-11-27）</t>
  </si>
  <si>
    <t>1982-06-28</t>
  </si>
  <si>
    <t>9112010410338238XN</t>
  </si>
  <si>
    <t>天津市南开区天拖南横江路盈江里平房8号</t>
  </si>
  <si>
    <t>量具检定；量具修理；机械配件加工；冷凝管、制冷设备配件加工；制冷设备安装、修理；汽车线束、汽车用地毯、汽车配件、水暖件制造。（国家有专营专项规定的按专营专项规定办理）</t>
  </si>
  <si>
    <t>天津盈顺汽车配件有限公司</t>
  </si>
  <si>
    <t>2005-06-24</t>
  </si>
  <si>
    <t>北辰区双口镇京福公路西</t>
  </si>
  <si>
    <t>汽车冲压件、运动器材、自行车零部件、五金制品制造、销售;塑料制品加工。（国家有专营专项规定的,按专营专项规定办理）</t>
  </si>
  <si>
    <t>天津市南开区万博汽车配件厂</t>
  </si>
  <si>
    <t>注销（2023-06-16）</t>
  </si>
  <si>
    <t>2000-12-08</t>
  </si>
  <si>
    <t>91120104725712398F</t>
  </si>
  <si>
    <t>天津市南开区黄河道480号</t>
  </si>
  <si>
    <t>制造、销售：汽车配件。（国家有专营专项规定的，按专营专项规定办理）</t>
  </si>
  <si>
    <t>天津市三维汽车设备有限公司</t>
  </si>
  <si>
    <t>2000-07-28</t>
  </si>
  <si>
    <t>东丽区程林庄道汽研中心院1-101</t>
  </si>
  <si>
    <t>120110724451982</t>
  </si>
  <si>
    <t>汽车配件制造、加工;汽车设备技术开发、咨询（中介除外）、服务;五金交电、机电产品批发兼零售。（国家有专项专营规定的按规定执行）</t>
  </si>
  <si>
    <t>天津市绿达涂料厂</t>
  </si>
  <si>
    <t>注销（2024-04-11）</t>
  </si>
  <si>
    <t>1994-08-08</t>
  </si>
  <si>
    <t>911201111038509997</t>
  </si>
  <si>
    <t>西青区南河镇大南河村</t>
  </si>
  <si>
    <t>建筑物装饰；汽车配件制造；水性内外墙涂料制造；水性聚脂漆分装。（汽车五大总成除外）（国家有专项专营规定按规定执行）</t>
  </si>
  <si>
    <t>天津市佳华汽车配件厂</t>
  </si>
  <si>
    <t>2002-11-27</t>
  </si>
  <si>
    <t>河北区金钟河东街56号</t>
  </si>
  <si>
    <t>汽车零部件及配件、橡胶制品、塑料制品制造、加工、批发兼零售、代购、代销。**经营范围中国家有专营专项规定的按专营专项规定办理**</t>
  </si>
  <si>
    <t>天津信重机电有限公司</t>
  </si>
  <si>
    <t>1999-11-19</t>
  </si>
  <si>
    <t>9112011671823202XP</t>
  </si>
  <si>
    <t>天津新技术产业园区华苑产业区竹苑路6号</t>
  </si>
  <si>
    <t>生产、销售汽车、摩托车等各种动力机械的燃料供给系统、液压元件、水处理设备、各类零配件以及相关的技术咨询服务</t>
  </si>
  <si>
    <t>天津三合海龙商贸有限公司</t>
  </si>
  <si>
    <t>1998-09-01</t>
  </si>
  <si>
    <t>91120106MA05X76923</t>
  </si>
  <si>
    <t>红桥区咸阳路2号</t>
  </si>
  <si>
    <t>（机械、电子设备、计算机软件）技术开发、转让、服务、咨询、中介;玩具、电子元件制造、加工;日用百货、日用杂品、纺织品、服装、鞋帽、五金、交电、化工（不含危险品）、计算机、机械、金属材料、工艺品（不含金饰品及烟花爆竹）、印刷材料、通讯器材、电器设备、建筑装饰材料、包装材料、汽车配件、汽车装具批发兼零售。（国家有专项规定的除外）</t>
  </si>
  <si>
    <t>天津市鹏宇汽车零件配件厂</t>
  </si>
  <si>
    <t>吊销（2006-10-13）</t>
  </si>
  <si>
    <t>1996-08-15</t>
  </si>
  <si>
    <t>天津市南开区密云一支路15号</t>
  </si>
  <si>
    <t>120104X00630029</t>
  </si>
  <si>
    <t>汽车塑料件、汽车零配件</t>
  </si>
  <si>
    <t>天津市保安利汽车配件有限公司</t>
  </si>
  <si>
    <t>吊销（2012-12-07）</t>
  </si>
  <si>
    <t>1999-01-06</t>
  </si>
  <si>
    <t>91120102712824892G</t>
  </si>
  <si>
    <t>天津市河东区七纬路65号</t>
  </si>
  <si>
    <t>零售兼批发:汽车配件。服务:汽车配件、汽车装俱技术咨询服务。（国家有专项专营规定的按规定执行）</t>
  </si>
  <si>
    <t>天津天亚众恒汽车部件有限公司</t>
  </si>
  <si>
    <t>注销（2022-07-29）</t>
  </si>
  <si>
    <t>2018-10-18</t>
  </si>
  <si>
    <t>91120111MA06FLL05X</t>
  </si>
  <si>
    <t>天津市西青区中北镇中北工业园梁鸿路8号</t>
  </si>
  <si>
    <t>汽车空气弹簧、减震器、电子气囊、汽车模具制造、技术开发、销售。（依法须经批准的项目，经相关部门批准后方可开展经营活动）</t>
  </si>
  <si>
    <t>天津市北辰区洪通福利汽车装具服务部</t>
  </si>
  <si>
    <t>1991-03-22</t>
  </si>
  <si>
    <t>9112011310394678XU</t>
  </si>
  <si>
    <t>北辰区北韩公路南</t>
  </si>
  <si>
    <t>汽车装具制造;室内外装饰服务。</t>
  </si>
  <si>
    <t>天津市北辰区长龙轻工机械厂</t>
  </si>
  <si>
    <t>2001-10-25</t>
  </si>
  <si>
    <t>911201137328048646</t>
  </si>
  <si>
    <t>宜兴埠镇盛荣胡同1号</t>
  </si>
  <si>
    <t>机械加工。</t>
  </si>
  <si>
    <t>天津市西青区兴旺汽车配件综合加工厂</t>
  </si>
  <si>
    <t>1995-03-11</t>
  </si>
  <si>
    <t>西青区杨柳青十六街塔根里三条十九号</t>
  </si>
  <si>
    <t>汽车配件（五大总成除外）,塑料制品。</t>
  </si>
  <si>
    <t>天津市宏盛汽车制动器有限公司</t>
  </si>
  <si>
    <t>注销（2017-11-15）</t>
  </si>
  <si>
    <t>2016-07-04</t>
  </si>
  <si>
    <t>91120111MA05KBF30G</t>
  </si>
  <si>
    <t>天津市西青区张家窝镇泰进道29号</t>
  </si>
  <si>
    <t>汽车零配件制造、设计、销售;塑料制品、橡胶制品技术开发、制造、销售。（依法须经批准的项目,经相关部门批准后方可开展经营活动）</t>
  </si>
  <si>
    <t>天津市宏奥汽车部件有限公司</t>
  </si>
  <si>
    <t>注销（2016-04-08）</t>
  </si>
  <si>
    <t>2012-04-24</t>
  </si>
  <si>
    <t>911201115929429308</t>
  </si>
  <si>
    <t>天津中北工业园区汪庄子村综合厂房</t>
  </si>
  <si>
    <t>汽车零部件、模具生产、加工;资产管理服务（金融性资产除外）;自有房屋租赁。（以上经营范围涉及行业许可的凭许可证件,在有效期限内经营,国家有专项专营规定的按规定办理。）</t>
  </si>
  <si>
    <t>天津富松杰汽车零部件有限公司</t>
  </si>
  <si>
    <t>注销（2018-09-20）</t>
  </si>
  <si>
    <t>2016-02-26</t>
  </si>
  <si>
    <t>91120111MA06M15B7F</t>
  </si>
  <si>
    <t>天津市西青区杨柳青工业园精成路1号厂房</t>
  </si>
  <si>
    <t>汽车零部件、注塑制品、吹塑制品制造、加工。（依法须经批准的项目,经相关部门批准后方可开展经营活动）</t>
  </si>
  <si>
    <t>亚希（天津）科技发展有限公司</t>
  </si>
  <si>
    <t>2006-01-04</t>
  </si>
  <si>
    <t>91120104783306945X</t>
  </si>
  <si>
    <t>天津市西青区南河镇小卷子村</t>
  </si>
  <si>
    <t>研发、生产、设计、销售汽车配件、装具、包装材料（不含印刷）、塑料制品、模具</t>
  </si>
  <si>
    <t>天津市西青区趁源汽车装具厂</t>
  </si>
  <si>
    <t>1997-06-07</t>
  </si>
  <si>
    <t>西青区杨柳青西青道351号旁</t>
  </si>
  <si>
    <t>汽车装具制造、加工、销售。（以上经营范围国家有专项专营规定按规定执行）</t>
  </si>
  <si>
    <t>天津市瑞婷汽车配件制造有限公司</t>
  </si>
  <si>
    <t>2001-04-04</t>
  </si>
  <si>
    <t>91120102MA0674298P</t>
  </si>
  <si>
    <t>河东区万新村23区盘山道口</t>
  </si>
  <si>
    <t>制造:汽车机械、汽车配件。*（国家有专项专营规定的按规定执行）*</t>
  </si>
  <si>
    <t>天津奔驰汽车刮水器厂</t>
  </si>
  <si>
    <t>1986-09-26</t>
  </si>
  <si>
    <t>河北区民权门南里23号</t>
  </si>
  <si>
    <t>汽车配件、开关控制设备制造;冲压、钣金、机加工;汽车货运服务。</t>
  </si>
  <si>
    <t>天津金别特汽车制动器有限公司</t>
  </si>
  <si>
    <t>2003-12-17</t>
  </si>
  <si>
    <t>911201127548456164</t>
  </si>
  <si>
    <t>西青区李七庄街辛院村南</t>
  </si>
  <si>
    <t>汽车零部件及配件制造、加工;机加工。</t>
  </si>
  <si>
    <t>天津市普伦汽车部件有限公司</t>
  </si>
  <si>
    <t>2001-04-29</t>
  </si>
  <si>
    <t>911201117275166737</t>
  </si>
  <si>
    <t>天津市南开区长江道12号</t>
  </si>
  <si>
    <t>加工、销售:汽车配件;零售兼批发:机电产品（汽车除外）、五金（消防器材除外）、交电（移动电话及无线寻呼机除外）、装饰材料、化工（易燃易爆易制毒化学危险品除外）。（国家有专营专项规定的,按专营专项规定办理）</t>
  </si>
  <si>
    <t>天津盈佳工贸有限公司</t>
  </si>
  <si>
    <t>吊销（2006-12-06）</t>
  </si>
  <si>
    <t>2004-12-10</t>
  </si>
  <si>
    <t>天津开发区第三大街恂园公寓03栋</t>
  </si>
  <si>
    <t>汽车配件、化工产品（化学危险品、易制毒品除外）批发兼零售。国家有专营、专项规定的按专营专项规定办理。</t>
  </si>
  <si>
    <t>天津恒航机械配件制造有限公司</t>
  </si>
  <si>
    <t>注销（2013-12-23）</t>
  </si>
  <si>
    <t>911201067440274259</t>
  </si>
  <si>
    <t>红桥区勤俭道185号（云汉大厦213房间）</t>
  </si>
  <si>
    <t>汽车及摩托车配件加工;汽车配件、摩托车配件、金属材料、五金、交电、机械电子设备、计算机硬件及外围设备、建筑材料、装饰材料、化工（不含危险品及易制毒品）、百货批发兼零售;（机电一体化技术及产品）技术开发、转让、咨询（不含中介）、服务;企业生产及管理策划咨询（不含中介）、服务。（国家有专项专营规定的,按规定执行。）</t>
  </si>
  <si>
    <t>天津捷顺汽车用品有限公司</t>
  </si>
  <si>
    <t>注销（2008-11-15）</t>
  </si>
  <si>
    <t>2006-02-07</t>
  </si>
  <si>
    <t>河东区卫国道帝旺温泉花园雨花居3-1-402</t>
  </si>
  <si>
    <t>服务:汽车装俱及配件的技术开发、咨询、转让、服务。销售:汽车装俱、汽车配件。加工、制造:汽车装俱及配件（限分支经营）。（国家有专项专营规定的按规定执行）</t>
  </si>
  <si>
    <t>天津市万方汽车电子配件厂</t>
  </si>
  <si>
    <t>1998-11-04</t>
  </si>
  <si>
    <t>天津市河北区中山北路中山北里34号105号</t>
  </si>
  <si>
    <t>汽车电子配件制造、加工。机械电子设备、汽车配件、五金、交电、化工（不含易燃易爆品）、百货零售兼 批发;机械加工、室内外装饰服务。</t>
  </si>
  <si>
    <t>向荣（天津）机电有限公司</t>
  </si>
  <si>
    <t>吊销（2011-11-24）</t>
  </si>
  <si>
    <t>1994-07-06</t>
  </si>
  <si>
    <t>91120116600536546L</t>
  </si>
  <si>
    <t>天津华苑产业区开华道7号3层C41室</t>
  </si>
  <si>
    <t>新型机电产品和车用配件及塑胶材料的产品研究、开发、加工、销售及相关的技术咨询服务；节水设备的加工、销售、安装；节水产品的相关技术转让、咨询、服务；计算机软件的技术开发、转让、咨询、服务</t>
  </si>
  <si>
    <t>天津市爱金汽车部件有限公司</t>
  </si>
  <si>
    <t>注销（2018-05-31）</t>
  </si>
  <si>
    <t>2001-12-21</t>
  </si>
  <si>
    <t>91120111732825139L</t>
  </si>
  <si>
    <t>西青区玉门路工业小区</t>
  </si>
  <si>
    <t>汽车零部件、专用设备配件、电器配件制造、加工、批发兼零售。（国家有专项、专营规定的,按规定执行）</t>
  </si>
  <si>
    <t>天津市双佳汽车装备有限公司</t>
  </si>
  <si>
    <t>注销（2018-05-28）</t>
  </si>
  <si>
    <t>2006-02-23</t>
  </si>
  <si>
    <t>91120106783335842U</t>
  </si>
  <si>
    <t>红桥区西青道65号金兴经济联合大厦28层23室</t>
  </si>
  <si>
    <t>专用设备、物流输送设备、电气及自动化设备、汽车、摩托车、家用电器的自动化生产线的设计、安装;机电一体化、软件技术开发、转让、咨询、服务;劳务服务;机电产品（不含小轿车）、五金、交电、计算机及外围设备、建筑装饰材料、办公用品批发兼零售;机械加工。（国家有专项专营规定的按规定执行）</t>
  </si>
  <si>
    <t>天津市三友汽车配件制造有限公司</t>
  </si>
  <si>
    <t>注销（2015-03-02）</t>
  </si>
  <si>
    <t>2002-08-13</t>
  </si>
  <si>
    <t>天津市河北区泗阳道30号</t>
  </si>
  <si>
    <t>120105741367539</t>
  </si>
  <si>
    <t>汽车零部件及配件制造、机加工。**经营范围中国家有专营专项规定的按专营专项规定办理**</t>
  </si>
  <si>
    <t>天津市银桥汽车桥垫厂</t>
  </si>
  <si>
    <t>吊销（2017-06-13）</t>
  </si>
  <si>
    <t>1996-05-27</t>
  </si>
  <si>
    <t>91120104X006289144</t>
  </si>
  <si>
    <t>南开区天拖南淦江路淦江西里平房1号</t>
  </si>
  <si>
    <t>汽车桥垫、汽车配件、冲压件;机械加工、金属热处理;橡塑制品、纸及纤维制品、散热器零售兼批发。（国家有专项专营规定的按专项专营规定办理）</t>
  </si>
  <si>
    <t>天津市津西向前五金制品厂</t>
  </si>
  <si>
    <t>1996-12-26</t>
  </si>
  <si>
    <t>91120111X007703472</t>
  </si>
  <si>
    <t>西青区西营门街小稍直口村</t>
  </si>
  <si>
    <t>冲压件加工;机加工.（以上经营范围国家有专项专营规定按规定执行）</t>
  </si>
  <si>
    <t>天津市鸣远汽车部件制造有限公司</t>
  </si>
  <si>
    <t>1995-06-30</t>
  </si>
  <si>
    <t>河西区小围堤道21号</t>
  </si>
  <si>
    <t>汽车耐磨塑料件、汽车软轴、汽车配件、塑料型材、塑料软线软管制造、加工;自产自销;塑料模具加工。</t>
  </si>
  <si>
    <t>天津市富士通工贸有限公司</t>
  </si>
  <si>
    <t>2001-10-17</t>
  </si>
  <si>
    <t>91120111730389038X</t>
  </si>
  <si>
    <t>西青区李七庄街边村</t>
  </si>
  <si>
    <t>制造、加工:汽车零配件（五大总成除外）、摩托车零配件（发动机除外）、自行车零配件、自行车（喷漆除外）;销售:汽车（小轿车除外）、化工产品（危险品及易制毒品除外）、机电产品（汽车除外）、五金交电、建筑材料、钢材、日用杂品、办公用品、家用电器、日用百货、自行车。（以上经营范围国家有专项、专营规定按规定执行）</t>
  </si>
  <si>
    <t>天津市金华能汽车零部件有限公司</t>
  </si>
  <si>
    <t>吊销（2011-11-21）</t>
  </si>
  <si>
    <t>2006-09-29</t>
  </si>
  <si>
    <t>911201047925418164</t>
  </si>
  <si>
    <t>南开区天拖南横江路横江里平房3号增1号</t>
  </si>
  <si>
    <t>汽车垫片、冲压片加工、机加工、橡胶制品、纸及纤维制品加工;汽车配件、橡胶制品、纸及纤维制品零售兼批发。（国家有专营专项规定的按专营专项规定办理）</t>
  </si>
  <si>
    <t>天津大众新世纪汽车用品厂</t>
  </si>
  <si>
    <t>2006-01-25</t>
  </si>
  <si>
    <t>9112010478332457XM</t>
  </si>
  <si>
    <t>南开区渭水道11号</t>
  </si>
  <si>
    <t>汽车装饰用品加工、制造;汽车配件、化工（剧毒品、化学危险品、易制、毒品除外）零售兼批发。（国家有专项专营规定的按国家专项专营规定办理）</t>
  </si>
  <si>
    <t>天津市福尔特散热器有限公司</t>
  </si>
  <si>
    <t>2005-09-29</t>
  </si>
  <si>
    <t>天津市南开区黄河道红日南路50号</t>
  </si>
  <si>
    <t>120104780315379</t>
  </si>
  <si>
    <t>汽车零部件及配件制造;汽车配件、计算机及辅助设备、计算机散热器批发兼零售;计算机及辅助设备、计算机散热器制造。（国家有专项专营规定的按专项专营规定办理）</t>
  </si>
  <si>
    <t>天津市永旺达汽车装饰用品有限公司</t>
  </si>
  <si>
    <t>注销（2017-06-16）</t>
  </si>
  <si>
    <t>2004-04-20</t>
  </si>
  <si>
    <t>91120111761256270H</t>
  </si>
  <si>
    <t>天津中北工业园（北园）阜锦路外环实业公司院内9号</t>
  </si>
  <si>
    <t>汽车装饰用品、汽车零部件（五大总成除外）、塑料制品制造、加工;纸制品、塑料制品、汽车装饰用品、汽车配件、五金电料批发兼零售。（国家有专项、专营规定按规定执行。）</t>
  </si>
  <si>
    <t>天津市河西区德利机械配件厂</t>
  </si>
  <si>
    <t>1993-06-11</t>
  </si>
  <si>
    <t>河西区珠江道五十九号</t>
  </si>
  <si>
    <t>汽车配件、机械配件制造及机加工,模具加工,边弧钥匙、锁芯、锁具制造;电焊（取得消防部门许可后方可经营）,电器制冷安装维修。</t>
  </si>
  <si>
    <t>天津市长宏汽车拉线厂</t>
  </si>
  <si>
    <t>吊销（2004-11-18）</t>
  </si>
  <si>
    <t>1990-06-28</t>
  </si>
  <si>
    <t>西青区张家窝镇薛庄子村</t>
  </si>
  <si>
    <t>汽车拉线;汽车配件、装载机配件、橡胶零件、塑料零件制造。</t>
  </si>
  <si>
    <t>天津恒源通工贸有限公司</t>
  </si>
  <si>
    <t>2004-05-25</t>
  </si>
  <si>
    <t>91120111761276407T</t>
  </si>
  <si>
    <t>西青区杨柳青镇后桑园村（烤漆厂院内）</t>
  </si>
  <si>
    <t>汽车配件、木器、橡塑制品制造、加工、销售;机械加工;静电喷涂;办公用品、机电产品（汽车除外）、五金电料、化工产品（危险品及易制毒品除外）、钢材、建筑材料、自行车零部件批发兼零售。（国家有专项、专营规定按规定执行;涉及行业许可证的凭许可证或批准文件经营。）</t>
  </si>
  <si>
    <t>天津市纳达汽车配件有限公司</t>
  </si>
  <si>
    <t>91120113700531216C</t>
  </si>
  <si>
    <t>北辰区天穆镇王庄</t>
  </si>
  <si>
    <t>汽车配件、农机配件、工程机械配件制造、销售。</t>
  </si>
  <si>
    <t>天津市辰农汽车配件厂</t>
  </si>
  <si>
    <t>2004-01-16</t>
  </si>
  <si>
    <t>91120113758106378W</t>
  </si>
  <si>
    <t>北辰区北仓镇王秦庄新村老党校西200米处</t>
  </si>
  <si>
    <t>天津市海门汽车配件厂</t>
  </si>
  <si>
    <t>1993-08-23</t>
  </si>
  <si>
    <t>河北区海门路3号</t>
  </si>
  <si>
    <t>汽车配件加工。五金、交电、化工、工艺美术品、汽车配件、装饰材料、医疗器械、保健用品、土产品、水产品、百货、粮油食品、信息咨询。</t>
  </si>
  <si>
    <t>天津市雄鹰散热器厂</t>
  </si>
  <si>
    <t>9112010476762680XA</t>
  </si>
  <si>
    <t>南开区南泥湾路10号</t>
  </si>
  <si>
    <t>制造、安装:散热器、机加工。（国家有专项专营规定的按国家专项专营规定办理）</t>
  </si>
  <si>
    <t>天津市天保汽车塑料配件厂</t>
  </si>
  <si>
    <t>注销（2017-12-11）</t>
  </si>
  <si>
    <t>1993-10-27</t>
  </si>
  <si>
    <t>河北区民权门外（保温材料厂内）</t>
  </si>
  <si>
    <t>汽车配件、塑料耐酸泵制造；日用塑料杂品加工。</t>
  </si>
  <si>
    <t>天津市亮辉汽车电器厂</t>
  </si>
  <si>
    <t>注销（2023-03-09）</t>
  </si>
  <si>
    <t>2002-12-12</t>
  </si>
  <si>
    <t>91120113744033702X</t>
  </si>
  <si>
    <t>北辰区宜兴埠红旗路北</t>
  </si>
  <si>
    <t>汽车起动机、汽车发动机、汽车配件制造、加工。</t>
  </si>
  <si>
    <t>天津伊耶那汽车零部件有限责任公司</t>
  </si>
  <si>
    <t>注销（2020-08-18）</t>
  </si>
  <si>
    <t>2015-10-16</t>
  </si>
  <si>
    <t>91120113MA06K431X1</t>
  </si>
  <si>
    <t>天津市北辰区小淀镇小淀村四号路路南</t>
  </si>
  <si>
    <t>汽车零部件制造、销售；塑料制品、模具、钣金加工；电子元器件销售。（依法须经批准的项目，经相关部门批准后方可开展经营活动）</t>
  </si>
  <si>
    <t>天津市河北区中环电器厂</t>
  </si>
  <si>
    <t>吊销（2019-05-21）</t>
  </si>
  <si>
    <t>1997-06-04</t>
  </si>
  <si>
    <t>91120105X00653829G</t>
  </si>
  <si>
    <t>天津市河北区红星路幸福道口</t>
  </si>
  <si>
    <t>汽车电器加工制造、机械加工。**经营范围中国家有专营专项规定的按专营专项规定办理**</t>
  </si>
  <si>
    <t>天津市河北区华龙汽车配件厂</t>
  </si>
  <si>
    <t>1993-04-14</t>
  </si>
  <si>
    <t>河北区元纬路125号</t>
  </si>
  <si>
    <t>汽车配件制造;汽车配件零售兼批发。</t>
  </si>
  <si>
    <t>天津市南开区三环机械制造厂</t>
  </si>
  <si>
    <t>91120104103381838M</t>
  </si>
  <si>
    <t>南开区华苑居华里商业职专院内</t>
  </si>
  <si>
    <t>汽车摩托车配件制造;相册裱糊、机械配件加工;电机修理;低压开关柜制造。（国家有专项专营规定的按行业审批范围及时限执行）</t>
  </si>
  <si>
    <t>天津市华硕汽车装饰件厂</t>
  </si>
  <si>
    <t>2000-03-21</t>
  </si>
  <si>
    <t>西青区李楼南微型汽车厂旁（华利汽车有限公司院内）</t>
  </si>
  <si>
    <t>汽车内装饰件加工;汽车配件制造。（国家有专项专营规定的按规定执行涉及行业许可的凭许可证或批准文件经营）</t>
  </si>
  <si>
    <t>天津市华尔德商贸有限公司</t>
  </si>
  <si>
    <t>吊销（2013-12-06）</t>
  </si>
  <si>
    <t>2003-02-28</t>
  </si>
  <si>
    <t>91120101746668891L</t>
  </si>
  <si>
    <t>和平区长春道9号</t>
  </si>
  <si>
    <t>批发兼零售:汽车、摩托车配件;电子产品、机电设备（小轿车除外）、五金、交电、化工产品（危险品及易制毒品除外）、办公设备、文体设备、计算机及耗材、服装、服饰、百货、润滑油;建筑、装饰材料;金属材料。（国家有专项、专营规定的、按规定执行）</t>
  </si>
  <si>
    <t>天津市华丽汽车配件厂</t>
  </si>
  <si>
    <t>1995-02-13</t>
  </si>
  <si>
    <t>河北区宜白路北（114中学内）</t>
  </si>
  <si>
    <t>汽车配件、自行车、塑料零部件制造;冲压件、机加工。</t>
  </si>
  <si>
    <t>天津市友友工贸有限公司</t>
  </si>
  <si>
    <t>2001-04-13</t>
  </si>
  <si>
    <t>天津市河北区新大路东8经路1号</t>
  </si>
  <si>
    <t>120105727504955</t>
  </si>
  <si>
    <t>机械加工;汽车配件销售;塑料制品加工、销售。**经营范围中国家有专营专项规定的按专营专项规定办理**</t>
  </si>
  <si>
    <t>天津市津西轻机汽车配件厂</t>
  </si>
  <si>
    <t>1989-01-18</t>
  </si>
  <si>
    <t>西青区西青道270号</t>
  </si>
  <si>
    <t>汽车配件制造、储藏用金属罐及储藏用金属罐配件制造。</t>
  </si>
  <si>
    <t>天津新耀凯发汽车零部件制造有限公司</t>
  </si>
  <si>
    <t>注销（2023-11-24）</t>
  </si>
  <si>
    <t>2016-11-16</t>
  </si>
  <si>
    <t>91120113MA05LK2H2R</t>
  </si>
  <si>
    <t>天津市北辰区宜兴埠镇津围公路东侧七街工业园区内</t>
  </si>
  <si>
    <t>汽车零部件制造；模具制造；机械设备维修；金属剪切加工；金属材料、针纺织品、劳保用品、新型电子元器件批发兼零售；从事国家法律法规允许经营的进出口业务。（依法须经批准的项目，经相关部门批准后方可开展经营活动）</t>
  </si>
  <si>
    <t>天津市欧林特汽车设备高科技有限公司</t>
  </si>
  <si>
    <t>吊销（2001-07-17）</t>
  </si>
  <si>
    <t>1998-08-05</t>
  </si>
  <si>
    <t>河东区卫国道九河国际村后海河电讯原器件厂内</t>
  </si>
  <si>
    <t>制造、批发兼零售:汽车检测设备、维保设备、计算机软硬件及外围设备、仪器仪表、汽车配件、建筑装饰材料、化工（易燃、易爆、易制毒品除外）、办公设备。服务:汽车检测行业的技术咨询、技术服务。*（国家有专项专营规定的按规定执行）</t>
  </si>
  <si>
    <t>天津市铁马汽车刮水器有限公司</t>
  </si>
  <si>
    <t>吊销（2020-06-22）</t>
  </si>
  <si>
    <t>2002-01-07</t>
  </si>
  <si>
    <t>911201057328352060</t>
  </si>
  <si>
    <t>天津市河北区幸福道25号</t>
  </si>
  <si>
    <t>汽车配件、电器开关控制设备制造、机械加工、童车制造;劳务服务。（依法须经批准的项目,经相关部门批准后方可开展经营活动）</t>
  </si>
  <si>
    <t>天津市斯曼汽车配件厂</t>
  </si>
  <si>
    <t>吊销（2012-11-21）</t>
  </si>
  <si>
    <t>2004-05-09</t>
  </si>
  <si>
    <t>911201047612672018</t>
  </si>
  <si>
    <t>南开区南泥湾路6号</t>
  </si>
  <si>
    <t>汽车密封垫、油管、橡胶件、节湿器加工、制造。（国家有专项专营规定的按行业审批范围及时限执行）</t>
  </si>
  <si>
    <t>天津市帅利工贸有限公司</t>
  </si>
  <si>
    <t>吊销（2010-12-03）</t>
  </si>
  <si>
    <t>1998-12-22</t>
  </si>
  <si>
    <t>91120102712819954L</t>
  </si>
  <si>
    <t>河东区红星路180号</t>
  </si>
  <si>
    <t>加工、制造:汽车配件、摩托车配件、摸具、机械配件、小型机械、金属制品。零售兼批发:五金、建筑材料、装饰材料、橡塑制品、润滑油（限小包装）、机电产品（汽车除外）、水暖器材、金属材料、化工（易燃、易爆、易制毒品除外）、金属制品。服务:代购代销。（国家有专项专营规定的按规定执行）（涉及行业审批项目的以批准件及批准时限为准）</t>
  </si>
  <si>
    <t>天津市鑫瑞塔汽车配件有限公司</t>
  </si>
  <si>
    <t>注销（2020-03-25）</t>
  </si>
  <si>
    <t>2012-03-19</t>
  </si>
  <si>
    <t>911201045929028678</t>
  </si>
  <si>
    <t>南开区延安路6号202室</t>
  </si>
  <si>
    <t>汽车配件制造；汽车配件、汽车装具、润滑油脂、五金交电批发兼零售。（以上经营范围涉及行业许可的凭许可证件，在有效期限内经营，国家有专项专营规定的按规定办理。）</t>
  </si>
  <si>
    <t>天津市红桥区奔特微型汽车配件厂</t>
  </si>
  <si>
    <t>吊销（2002-12-30）</t>
  </si>
  <si>
    <t>1993-06-09</t>
  </si>
  <si>
    <t>红）佳宁里小区（佳宁里小学内</t>
  </si>
  <si>
    <t>建筑机械修理;汽车配件零售;修理机床;办公用品、建筑用五金零件加工;建筑用防冻剂、微沫剂、旱强剂制造;限分支机构经营:汽车配件铸造。*</t>
  </si>
  <si>
    <t>天津市河北区德宏汽车配件厂</t>
  </si>
  <si>
    <t>1999-10-25</t>
  </si>
  <si>
    <t>天津市河北区普济河道南（立交桥下）</t>
  </si>
  <si>
    <t>汽车配件、摩托车配件制造;仪表、元件、塑料加工、制造。**经营范围中国家有专营专项规定的按专营专项规定办理**</t>
  </si>
  <si>
    <t>天津市伟益汽车配件厂</t>
  </si>
  <si>
    <t>2002-01-16</t>
  </si>
  <si>
    <t>91120113732837551P</t>
  </si>
  <si>
    <t>北辰区小淀镇国税局小淀所院内</t>
  </si>
  <si>
    <t>汽车电机、电器制造;汽车配件、汽车装具零售兼批发、汽车电机、电器、电路修理。</t>
  </si>
  <si>
    <t>天津市顺达汽车电子器件厂</t>
  </si>
  <si>
    <t>1992-06-22</t>
  </si>
  <si>
    <t>河北区新大路昆云里1号楼4门底商</t>
  </si>
  <si>
    <t>汽车配件、汽车防盗、防劫电子锁制造。</t>
  </si>
  <si>
    <t>天津卓英研究开发院（普通合伙）</t>
  </si>
  <si>
    <t>注销（2023-08-02）</t>
  </si>
  <si>
    <t>2023-04-10</t>
  </si>
  <si>
    <t>91120104MA8253LM25</t>
  </si>
  <si>
    <t>天津市南开区黄河道与广开四马路交口西南侧格调春天花园34-3、4-1408-13</t>
  </si>
  <si>
    <t>一般项目：技术服务、技术开发、技术咨询、技术交流、技术转让、技术推广；业务培训（不含教育培训、职业技能培训等需取得许可的培训）；组织文化艺术交流活动；会议及展览服务；电子产品销售；计算机软硬件及辅助设备零售；日用品销售；体育用品及器材零售；办公用品销售；文具用品零售。（除依法须经批准的项目外，凭营业执照依法自主开展经营活动）</t>
  </si>
  <si>
    <t>天津市沃德汽车装备有限公司</t>
  </si>
  <si>
    <t>2012-03-28</t>
  </si>
  <si>
    <t>91120113592913769Q</t>
  </si>
  <si>
    <t>北辰区科技园区环外发展区华电道49号</t>
  </si>
  <si>
    <t>汽车配件、汽车装俱、不锈钢管、钢带制造、加工、销售。（以上经营范围涉及行业许可的凭许可证件,在有效期限内经营,国家有专项专营规定的按规定办理。）</t>
  </si>
  <si>
    <t>希捷汽车零部件（天津）有限公司</t>
  </si>
  <si>
    <t>注销（2018-12-25）</t>
  </si>
  <si>
    <t>2017-06-30</t>
  </si>
  <si>
    <t>91120000MA05T76K04</t>
  </si>
  <si>
    <t>天津市西青区李七庄街天祥工业园祥瑞路11号-3</t>
  </si>
  <si>
    <t>汽车零部件（不含外商投资准入特别管理措施项目）、机械产品的生产、研发、组装和销售；并提供产品相关的技术服务及咨询。（依法须经批准的项目，经相关部门批准后方可开展经营活动）</t>
  </si>
  <si>
    <t>天津久泰汽车部件有限公司</t>
  </si>
  <si>
    <t>注销（2020-06-29）</t>
  </si>
  <si>
    <t>2019-07-30</t>
  </si>
  <si>
    <t>91120116MA06R23T1F</t>
  </si>
  <si>
    <t>天津滨海高新区华苑产业区鑫茂科技园E座五层C1单元</t>
  </si>
  <si>
    <t>汽车零部件加工；批发和零售业。（依法须经批准的项目，经相关部门批准后方可开展经营活动）</t>
  </si>
  <si>
    <t>天津市坂东汽车国际贸易有限公司</t>
  </si>
  <si>
    <t>2005-05-27</t>
  </si>
  <si>
    <t>91120103773627673P</t>
  </si>
  <si>
    <t>河西区太湖路10号</t>
  </si>
  <si>
    <t>汽车零件（不含发动机总成）加工、制造;金属材料加工;钢材、日用百货、化工产品（易制毒品及化学危险品除外）、五金交电、工艺品、装饰材料、机电产品（小轿车除外）批发兼零售;货物、技术的进出口业务（国家限定公司经营或禁止进出口的商品及技术除外）;劳务派遣（不含中介）。（国家有专项专营规定的按专项专营规定办理）（涉及行业审批的经营项目及有效期限均以许可证或资质证为准）</t>
  </si>
  <si>
    <t>天津市瑞禧工贸有限公司</t>
  </si>
  <si>
    <t>2003-05-21</t>
  </si>
  <si>
    <t>91120101749125710L</t>
  </si>
  <si>
    <t>天津市和平区察哈尔路11号A349室</t>
  </si>
  <si>
    <t>加工（限分支）:不锈钢产品、高压电器、汽车零件;批发兼零售:不锈钢产品、高压电器、汽车零件、不锈钢板材、有色金属（钨、锡、锑矿产品、冶炼产品除外）。（国家有专项、专营规定的、按规定执行）</t>
  </si>
  <si>
    <t>天津市微型汽车附件厂</t>
  </si>
  <si>
    <t>吊销（2011-12-26）</t>
  </si>
  <si>
    <t>1997-01-06</t>
  </si>
  <si>
    <t>91120105X006324119</t>
  </si>
  <si>
    <t>天津市河北区东三经路9号</t>
  </si>
  <si>
    <t>汽车配件加工、制造;五金、水暖器材零售兼批发。**经营范围中国家有专营专项规定的按专营专项规定办理**</t>
  </si>
  <si>
    <t>天津市汽车电机配件厂</t>
  </si>
  <si>
    <t>1981-01-26</t>
  </si>
  <si>
    <t>九经路10号</t>
  </si>
  <si>
    <t>汽车配件制造;模具制造;电机修理。</t>
  </si>
  <si>
    <t>天津美亚特汽车部件有限公司</t>
  </si>
  <si>
    <t>2003-06-25</t>
  </si>
  <si>
    <t>91120113749144997J</t>
  </si>
  <si>
    <t>北辰区青光镇刘码头村</t>
  </si>
  <si>
    <t>汽车配件（发动机除外）.电线电缆制造.销售;五金电料销售兼批发</t>
  </si>
  <si>
    <t>天津创研汽车电子有限公司</t>
  </si>
  <si>
    <t>2011-06-20</t>
  </si>
  <si>
    <t>91120116578307797P</t>
  </si>
  <si>
    <t>天津开发区洞庭路66号3号楼404室</t>
  </si>
  <si>
    <t>汽车数据编码器、GPS信号放大器、轮胎压检测器、轮胎失压支承器、汽车线束和车线专用塑胶材料、铜芯线、铜接头、专用冲压机加工部件的销售。（以上经营范围涉及行业许可的凭许可证件，在有效期限内经营，国家有专营规定的按规定办理）。</t>
  </si>
  <si>
    <t>天津市鑫旺复合材料厂</t>
  </si>
  <si>
    <t>1996-10-25</t>
  </si>
  <si>
    <t>西青区南河镇小南河村</t>
  </si>
  <si>
    <t>玻璃钢汽车外壳。玻璃钢制品。</t>
  </si>
  <si>
    <t>天津力欧线束有限公司</t>
  </si>
  <si>
    <t>2005-03-11</t>
  </si>
  <si>
    <t>东丽区津塘公路北侧驯海路东侧（新乡道168号）</t>
  </si>
  <si>
    <t>机动车线束、机动车配件及电器、电线、电缆、电机、电子产品、电动控制器、电动自行车制造、销售;经营国家法律、法规允许的进出口业务。（涉及国家有专项专营规定的,按规定执行;涉及行业许可的,凭许可证或批准文件经营）</t>
  </si>
  <si>
    <t>天津利祥车料有限公司</t>
  </si>
  <si>
    <t>2003-03-12</t>
  </si>
  <si>
    <t>北辰区北仓京宝工业园</t>
  </si>
  <si>
    <t>铝制品加工;自行车车圈加工、制造。</t>
  </si>
  <si>
    <t>天津市西青区津洋制动器材厂</t>
  </si>
  <si>
    <t>1985-09-13</t>
  </si>
  <si>
    <t>西青区西横堤外玉门路</t>
  </si>
  <si>
    <t>汽车配件制造（刹车片、离合器）。</t>
  </si>
  <si>
    <t>天津市和平区诚信汽车配件厂</t>
  </si>
  <si>
    <t>1994-08-29</t>
  </si>
  <si>
    <t>和平区清和街群英后7号</t>
  </si>
  <si>
    <t>汽车配件、摩托车配件制造。机加工、橡胶制品。</t>
  </si>
  <si>
    <t>天津市三十四中学校办工厂</t>
  </si>
  <si>
    <t>注销（2020-05-13）</t>
  </si>
  <si>
    <t>91120101103110763M</t>
  </si>
  <si>
    <t>和平区河北路211号</t>
  </si>
  <si>
    <t>汽车配件制造、纺织配件制造、轧延加工。</t>
  </si>
  <si>
    <t>天津市虹旺金属结构厂</t>
  </si>
  <si>
    <t>1998-05-27</t>
  </si>
  <si>
    <t>河西区怒江道西</t>
  </si>
  <si>
    <t>汽车、摩托车配件制造;汽车、摩托车配件及电瓶批发兼零售;金属结构件制造加工、安装。（国家有专项、专营规定的按规定执行）（涉及行业审批的经营项目及有效期限均以许可证或资质证为准）</t>
  </si>
  <si>
    <t>天津市慧德福汽车用品制造厂</t>
  </si>
  <si>
    <t>注销（2017-12-12）</t>
  </si>
  <si>
    <t>1999-01-13</t>
  </si>
  <si>
    <t>91120112712828244U</t>
  </si>
  <si>
    <t>津南区辛庄工业区</t>
  </si>
  <si>
    <t>汽车装饰用品。</t>
  </si>
  <si>
    <t>天津市美亚汽车刹车盘厂</t>
  </si>
  <si>
    <t>注销（2000-08-23）</t>
  </si>
  <si>
    <t>1993-04-05</t>
  </si>
  <si>
    <t>河西区解放路郁江道37号</t>
  </si>
  <si>
    <t>汽车刹车盘制造机加工</t>
  </si>
  <si>
    <t>天津市新诺工贸有限公司</t>
  </si>
  <si>
    <t>2004-12-03</t>
  </si>
  <si>
    <t>91120104767633129Q</t>
  </si>
  <si>
    <t>天津市南开区宾水西道（排水泵站院内）</t>
  </si>
  <si>
    <t>汽车摩托车配件加工、制造;五金、交电、化工（剧毒品、化学危险品、易制毒品除外）、针纺织品、民用建材、汽车摩托车配件、机械设备（小轿车除外）、教学器材、电子产品批发兼零售;电脑调漆。（国家有专营专项规定的按专营专项规定办理）</t>
  </si>
  <si>
    <t>天津兴晨汽车部件有限公司</t>
  </si>
  <si>
    <t>2010-10-25</t>
  </si>
  <si>
    <t>9112010556267447XU</t>
  </si>
  <si>
    <t>天津市河北区张兴庄大道75号</t>
  </si>
  <si>
    <t>汽车配件、金属制品、电子产品制造、销售。＊＊经营范围中国家有专营专项规定的按专营专项规定办理</t>
  </si>
  <si>
    <t>天津市实验汽车配件厂</t>
  </si>
  <si>
    <t>注销（2020-12-23）</t>
  </si>
  <si>
    <t>1995-05-26</t>
  </si>
  <si>
    <t>91120103103375323F</t>
  </si>
  <si>
    <t>河西区平山道1号</t>
  </si>
  <si>
    <t>汽车配件制造；机械加工。（依法须经批准的项目，经相关部门批准后方可开展经营活动）</t>
  </si>
  <si>
    <t>天津市凯发工贸有限公司</t>
  </si>
  <si>
    <t>1995-06-27</t>
  </si>
  <si>
    <t>河东区七纬路88号</t>
  </si>
  <si>
    <t>制造:汽车配件。零售兼批发:汽车配件、橡胶制品、机电产品、五金、交电、化工（易燃易爆品除外）、百货、建筑装饰材料、办公设备、土产杂品、通用设备。</t>
  </si>
  <si>
    <t>天津市呈发顺汽车配件有限公司</t>
  </si>
  <si>
    <t>2010-03-26</t>
  </si>
  <si>
    <t>91120111553400442N</t>
  </si>
  <si>
    <t>西青区杨柳青镇东桑园津静公路南侧6号</t>
  </si>
  <si>
    <t>汽车配件（车用发动机除外）制造、加工。（国家有专项专营规定的按规定执行涉及行业许可的凭许可证或批准文件经营）</t>
  </si>
  <si>
    <t>天津市南开区工美汽车装饰件厂</t>
  </si>
  <si>
    <t>1993-12-28</t>
  </si>
  <si>
    <t>91120116X0062290XH</t>
  </si>
  <si>
    <t>天津市南开区红旗路330号内三楼一间（科技园）</t>
  </si>
  <si>
    <t>技术开发、咨询、转让（新材料技术及产品）;主营范围内中试产品的生产与销售;汽车配件零售。（国家有专营专项规定的按专营专项规定办理）</t>
  </si>
  <si>
    <t>天津市振雄汽车配件厂</t>
  </si>
  <si>
    <t>1999-11-24</t>
  </si>
  <si>
    <t>西青区张家窝镇周李庄村</t>
  </si>
  <si>
    <t>制造:汽车塑料配件;经营:塑料制品、小五金制品、民用建材、钢材、日用百货。（以上经营范围国家有专项、专营规定按规定执行。）</t>
  </si>
  <si>
    <t>天津市协和汽车零部件有限公司</t>
  </si>
  <si>
    <t>2001-10-26</t>
  </si>
  <si>
    <t>河西区太湖路（斯波泰克公司院内）</t>
  </si>
  <si>
    <t>汽车零部件制造、加工。（国家有专项、专营规定的按规定执行）</t>
  </si>
  <si>
    <t>天津市鸿尚汽车零部件有限公司</t>
  </si>
  <si>
    <t>2007-01-08</t>
  </si>
  <si>
    <t>西青区杨柳青镇隐贤村</t>
  </si>
  <si>
    <t>911201117972549719</t>
  </si>
  <si>
    <t>汽车配件、汽车装俱、冲压件制造、销售;塑料橡胶件、汽车线束制造;车床加工;物业管理;装饰工程施工;机械设备、管道安装、维修;针织配件、化工原料（危险品及易制毒品除外）、纸制品、劳保用品、五金交电批发兼零售。（国家有专项专营规定的按规定执行涉及行业许可的凭许可证或批准文件经营）</t>
  </si>
  <si>
    <t>天津镪盛汽车零部件有限公司</t>
  </si>
  <si>
    <t>注销（2024-06-11）</t>
  </si>
  <si>
    <t>2023-02-20</t>
  </si>
  <si>
    <t>91120113MAC7HJNH5M</t>
  </si>
  <si>
    <t>天津市北辰区双街镇创富路3号</t>
  </si>
  <si>
    <t>一般项目：汽车零部件及配件制造；机械零件、零部件加工；模具制造；钢压延加工；汽车零配件批发；金属材料销售；五金产品批发；专业设计服务；技术服务、技术开发、技术咨询、技术交流、技术转让、技术推广；货物进出口。（除依法须经批准的项目外，凭营业执照依法自主开展经营活动）</t>
  </si>
  <si>
    <t>天津市红桥区四通汽车配件厂</t>
  </si>
  <si>
    <t>（红）北竹林大街新立胡同18-1号</t>
  </si>
  <si>
    <t>汽车配件制造、加工。橡胶垫、圈、管、塑料制造、纸盒、纸袋加工、制造;机加工。</t>
  </si>
  <si>
    <t>天津市景宏塑料泡沫制品厂</t>
  </si>
  <si>
    <t>1997-04-10</t>
  </si>
  <si>
    <t>河东区万新村香山道中学内</t>
  </si>
  <si>
    <t>泡沫塑料制品（不可降解餐具除外）。（国家有专项专营规定的按规定执行）（经营范围中有前置审批项目的以批准件经营时限为准）</t>
  </si>
  <si>
    <t>天津市小客车修理厂二分厂</t>
  </si>
  <si>
    <t>1983-02-16</t>
  </si>
  <si>
    <t>911201041033876903</t>
  </si>
  <si>
    <t>南开区长江道51号</t>
  </si>
  <si>
    <t>汽车配件制造（5627）、机械配件加工；电气系统维修、供油系统维护和油品更换（有效期2008年7月23日至2011年7月23日）。（国家有专项专营规定的按国家专项专营规定办理）</t>
  </si>
  <si>
    <t>天津市希特汽车水箱厂</t>
  </si>
  <si>
    <t>1998-11-24</t>
  </si>
  <si>
    <t>南开区黄河道临潼路52路</t>
  </si>
  <si>
    <t>汽车水箱、汽车配件制造、不锈钢制品制造;汽车水箱修理。</t>
  </si>
  <si>
    <t>天津市津东富豪物资经销公司</t>
  </si>
  <si>
    <t>吊销（2001-08-04）</t>
  </si>
  <si>
    <t>1993-09-01</t>
  </si>
  <si>
    <t>张贵庄先锋路37号</t>
  </si>
  <si>
    <t>五金化工（易燃易爆、危险品除外）、建筑材料、汽车配件、轮胎、油脂、电瓶、机油、土产品、木制品、橡塑制品、钢材、农机配件批发兼零售;汽车货运;车身研磨抛光、化油器修理;空调机、暖风机修理;电气焊。</t>
  </si>
  <si>
    <t>天津市浩德工贸有限公司</t>
  </si>
  <si>
    <t>吊销（2004-12-16）</t>
  </si>
  <si>
    <t>2003-02-21</t>
  </si>
  <si>
    <t>津南区辛庄镇张满庄村</t>
  </si>
  <si>
    <t>机械设备、金属材料、有色金属材料、钢材、建筑材料、装饰材料、化工原料及产品（危险品及易制毒品除外）、五金工具、电料、日用百货、服装、纸张、润滑油脂批发兼零售;汽车零部件加工（国家有专营专项规定的,按规定执行）。</t>
  </si>
  <si>
    <t>天津市恒盾工贸有限公司</t>
  </si>
  <si>
    <t>2003-09-04</t>
  </si>
  <si>
    <t>91120113752238345K</t>
  </si>
  <si>
    <t>北辰区津京公路南仓对面</t>
  </si>
  <si>
    <t>冲压件、汽车配件加工;园林绿化种植;家政服务;汽车配件、水暖器材、建筑装饰材料、日用杂品、日用百货、办公用品、烟（限零售）、金属材料、铁制品、钢木家具批发兼零售;水暖工程维修;民用废品收购（国家有专营专项规定的按专营专项办理,生产性废旧金属除外）。</t>
  </si>
  <si>
    <t>天津市庞大华睿汽车零部件制造有限公司</t>
  </si>
  <si>
    <t>2012-01-11</t>
  </si>
  <si>
    <t>北辰区双街镇京津公路东双江道南</t>
  </si>
  <si>
    <t>汽车配件制造;机械加工。（以上经营范围涉及行业许可的凭许可证件,在有效期限内经营,国家有专项专营规定的按规定办理。）</t>
  </si>
  <si>
    <t>天津市津德汽车零部件有限公司</t>
  </si>
  <si>
    <t>吊销（2010-11-12）</t>
  </si>
  <si>
    <t>2003-12-03</t>
  </si>
  <si>
    <t>91120111754834458M</t>
  </si>
  <si>
    <t>西青区中北镇王庄村北</t>
  </si>
  <si>
    <t>制造、加工:汽车零部件（五大总成除外）;批发兼零售:汽车零配件、五金工具;汽车修理（限供油系统维护及油品更换）（有效期至2011年3月6日）。（国家有专项专营规定的按规定执行涉及行业许可证的凭许可证或批准文件经营）</t>
  </si>
  <si>
    <t>天津市河北区求实汽车配件厂</t>
  </si>
  <si>
    <t>1994-06-02</t>
  </si>
  <si>
    <t>河北区水产前街45号</t>
  </si>
  <si>
    <t>汽车配件制造、加工。</t>
  </si>
  <si>
    <t>天津市西青区杨柳青振兴电器厂</t>
  </si>
  <si>
    <t>1988-11-07</t>
  </si>
  <si>
    <t>杨柳青十五街滨河里</t>
  </si>
  <si>
    <t>电冰箱零件</t>
  </si>
  <si>
    <t>天津市舰盈商贸有限公司</t>
  </si>
  <si>
    <t>1987-11-04</t>
  </si>
  <si>
    <t>9112010410339599X7</t>
  </si>
  <si>
    <t>天津市南开区雅安道116号</t>
  </si>
  <si>
    <t>机械设备（小轿车除外）、五金、交电、仪器仪表、化工（剧毒品、化学危险品、易制毒品除外）、建筑材料、橡胶制品、电线电缆、文化办公用机械、文具用品、汽车配件、百货零售兼批发;从事国家允许的进出口业务。（国家有专营专项规定的按专营专项规定办理）。</t>
  </si>
  <si>
    <t>天津市津浩工贸有限责任公司</t>
  </si>
  <si>
    <t>2006-06-26</t>
  </si>
  <si>
    <t>911201117893694299</t>
  </si>
  <si>
    <t>西青区中北镇王庄子村北</t>
  </si>
  <si>
    <t>汽车配件制造、加工;化工产品（危险品及易制毒化学品除外）、文化体育用品、五金交电、塑料制品、建筑材料、纺织品、百货、汽车装具、汽车配件批发兼零售。（国家有专项专营规定的按规定执行涉及行业许可的凭许可证或批准文件经营）</t>
  </si>
  <si>
    <t>天津市铁东汽车配件有限公司</t>
  </si>
  <si>
    <t>北辰区铁东路东</t>
  </si>
  <si>
    <t>120113566133320</t>
  </si>
  <si>
    <t>汽车配件、机动车电线电缆加工、制造;五金交电、金属材料、建筑材料批发兼零售;劳务服务。（国家有专营、专项规定的,按专营、专项规定办理）</t>
  </si>
  <si>
    <t>天津以琳机电有限公司</t>
  </si>
  <si>
    <t>注销（2022-08-30）</t>
  </si>
  <si>
    <t>2006-06-19</t>
  </si>
  <si>
    <t>91120113789358930Q</t>
  </si>
  <si>
    <t>天津市北辰区宜兴埠镇津围公路东侧七街工业区内长喜商贸街内（第二锻压机床厂东）</t>
  </si>
  <si>
    <t>生产、加工、销售汽车减震器配件、方电机、金属部件及小型机床</t>
  </si>
  <si>
    <t>天津市海磊工贸有限公司</t>
  </si>
  <si>
    <t>注销（2021-01-27）</t>
  </si>
  <si>
    <t>1999-08-16</t>
  </si>
  <si>
    <t>91120111712945272N</t>
  </si>
  <si>
    <t>天津市西青区中北镇李楼村104国道与津杨路交口红绿灯向东60米</t>
  </si>
  <si>
    <t>制造、销售：汽车零配件、板金件加工；经营：汽车配件、五金；全地形车（汽车、专用车辆除外）制造；货物进出口；旧机动车交易服务；汽车租赁；代办车务手续。（依法须经批准的项目，经相关部门批准后方可开展经营活动）</t>
  </si>
  <si>
    <t>天津市安守机电有限公司</t>
  </si>
  <si>
    <t>1999-07-27</t>
  </si>
  <si>
    <t>红桥区西于庄小辛庄大街88号</t>
  </si>
  <si>
    <t>汽车零部件及配件制造、加工;机电产品（不含汽车）、五金（不含消防器材）、交电、化工（不含危险品及易制毒化学品）、文化用品、电子计算机、建筑材料批发兼零售。（国家有专项规定的除外）</t>
  </si>
  <si>
    <t>天津市志强垫圈有限公司</t>
  </si>
  <si>
    <t>2001-03-26</t>
  </si>
  <si>
    <t>西青区杨柳青十四街胜利路4号</t>
  </si>
  <si>
    <t>加工、制造:五金制品、汽车配件;销售:金属材料、塑料制品、装饰材料。（以上经营范围国家有专项、专营规定按规定执行）</t>
  </si>
  <si>
    <t>天津市安意达汽车部件制造有限公司</t>
  </si>
  <si>
    <t>注销（2020-04-26）</t>
  </si>
  <si>
    <t>2007-06-22</t>
  </si>
  <si>
    <t>91120110663060143U</t>
  </si>
  <si>
    <t>天津市东丽区万新街道小王庄宏亮大街16号</t>
  </si>
  <si>
    <t>汽车底盘模块的制造、销售；汽车部件、液压配件、机械产品的生产、销售、以上项目的咨询服务。（涉及国家有专项专营规定的，按规定执行；涉及行业许可的，凭许可证或批准文件经营）</t>
  </si>
  <si>
    <t>天津市双宏达汽车部件有限公司</t>
  </si>
  <si>
    <t>注销（2023-03-24）</t>
  </si>
  <si>
    <t>2012-08-20</t>
  </si>
  <si>
    <t>911201110520705618</t>
  </si>
  <si>
    <t>天津市河北区鸿顺里街道二马路日光里6号楼323-325</t>
  </si>
  <si>
    <t>一般项目:汽车零配件批发;五金产品批发。（除依法须经批准的项目外,凭营业执照依法自主开展经营活动）</t>
  </si>
  <si>
    <t>天津市腾展汽车配件有限责任公司</t>
  </si>
  <si>
    <t>吊销（2021-04-19）</t>
  </si>
  <si>
    <t>911201136906764102</t>
  </si>
  <si>
    <t>北辰区宜兴埠北电冰箱封条厂东</t>
  </si>
  <si>
    <t>汽车配件制造;冲压件、钣金加工;机加工。（国家有专营、专项规定的,按专营、专项规定办理）</t>
  </si>
  <si>
    <t>天津市富美特汽车配件有限公司</t>
  </si>
  <si>
    <t>91120113598726518J</t>
  </si>
  <si>
    <t>北辰区双口镇河北工业大学科技园3号楼302室</t>
  </si>
  <si>
    <t>汽车配件制造;机械加工;汽车配件、五金交电、日用百货、装饰装修材料（危险化学品除外）、化工原料（危险化学品、易制毒品除外）批发兼零售;金属表面处理（电镀除外）;模具加工。（以上经营范围涉及行业许可的凭许可证件,在有效期限内经营,国家有专项专营规定的按规定办理。）</t>
  </si>
  <si>
    <t>天津商顺汽车装俱加工有限公司</t>
  </si>
  <si>
    <t>吊销（2024-06-05）</t>
  </si>
  <si>
    <t>2013-03-08</t>
  </si>
  <si>
    <t>911201060640030082</t>
  </si>
  <si>
    <t>天津市红桥区洪湖东路原排水六所旁津西早市院内7号</t>
  </si>
  <si>
    <t>汽车装俱加工；五金交电、日用百货、汽车装俱批发兼零售。（以上经营范围涉及行业许可的凭许可证件，在有效期限内经营，国家有专项专营规定的按规定办理。）</t>
  </si>
  <si>
    <t>天津市天昊景然汽车配件有限公司</t>
  </si>
  <si>
    <t>2008-03-25</t>
  </si>
  <si>
    <t>9112011367370431XJ</t>
  </si>
  <si>
    <t>北辰区甬江路丹江道</t>
  </si>
  <si>
    <t>汽车、拖拉机配件制造;机加工;电气焊加工;从事国家法律、法规允许经营的进出口业务。（国家有专营专项规定的按专营专项规定办理）</t>
  </si>
  <si>
    <t>天津市远科汽车部件有限公司</t>
  </si>
  <si>
    <t>注销（2019-03-07）</t>
  </si>
  <si>
    <t>2012-07-17</t>
  </si>
  <si>
    <t>91120111598731720W</t>
  </si>
  <si>
    <t>天津中北工业园区金霞路22号</t>
  </si>
  <si>
    <t>汽车零部件制造;冲压件、金属结构件、注塑件、模具加工;机加工;仓储（危险品除外）;五金配件批发。（以上经营范围涉及行业许可的凭许可证件,在有效期限内经营,国家有专项专营规定的按规定办理。）</t>
  </si>
  <si>
    <t>天津第利进口汽车修理服务有限公司</t>
  </si>
  <si>
    <t>吊销（1996-12-31）</t>
  </si>
  <si>
    <t>1993-12-30</t>
  </si>
  <si>
    <t>天津市河东区东兴立交桥西侧</t>
  </si>
  <si>
    <t>进口汽车修理、汽车配件加工及相关的服务业务***</t>
  </si>
  <si>
    <t>天津捷能能源发展有限公司</t>
  </si>
  <si>
    <t>2000-06-27</t>
  </si>
  <si>
    <t>天津新技术产业园区华苑产业区中济科园B座231室</t>
  </si>
  <si>
    <t>开发、生产、销售汽车用燃气装置及相关零部件、配件</t>
  </si>
  <si>
    <t>盖斯威（天津）汽车装备有限公司</t>
  </si>
  <si>
    <t>1999-06-30</t>
  </si>
  <si>
    <t>天津市新技术产业园区华苑产业区火炬大厦四楼423号</t>
  </si>
  <si>
    <t>开发、生产、销售燃气汽车用燃气设备及相关的技术咨询服务</t>
  </si>
  <si>
    <t>天津市北辰区兴辰汽车配件厂</t>
  </si>
  <si>
    <t>1992-04-24</t>
  </si>
  <si>
    <t>北辰区赵虎庄村</t>
  </si>
  <si>
    <t>汽车配件制造。（5627）</t>
  </si>
  <si>
    <t>天津市汽车装俱厂分厂</t>
  </si>
  <si>
    <t>1983-01-21</t>
  </si>
  <si>
    <t>南开区长江道73号</t>
  </si>
  <si>
    <t>汽车装俱制造。（5627）汽车座套、汽车地垫制造。</t>
  </si>
  <si>
    <t>天津市时达特汽车电器有限公司分公司</t>
  </si>
  <si>
    <t>2005-03-15</t>
  </si>
  <si>
    <t>天津市东丽区澄州路B区5号</t>
  </si>
  <si>
    <t>生产汽车起动机及相关的技术开发研制与服务***</t>
  </si>
  <si>
    <t>天津市北辰区通华汽配机械厂</t>
  </si>
  <si>
    <t>1992-11-04</t>
  </si>
  <si>
    <t>北辰区桃花寺小学</t>
  </si>
  <si>
    <t>汽车配件制造。（5627）小型非标机械、小型变压器、开关柜外壳、电器元件、水处理设备配件制造、机加工、电气焊加工。</t>
  </si>
  <si>
    <t>天津市津西利发内燃机曲轴厂</t>
  </si>
  <si>
    <t>1994-11-16</t>
  </si>
  <si>
    <t>西青区李七庄乡铁道南二构件厂对过</t>
  </si>
  <si>
    <t>汽车曲轴加工。机加工。</t>
  </si>
  <si>
    <t>天津市河北区津雁汽车配件厂</t>
  </si>
  <si>
    <t>1990-05-23</t>
  </si>
  <si>
    <t>河北区五马路166号</t>
  </si>
  <si>
    <t>汽车配件制造。机加工;家用电器修理;水净化设备及橡胶零件制造。</t>
  </si>
  <si>
    <t>天津市万达微型车化油器厂</t>
  </si>
  <si>
    <t>1994-10-11</t>
  </si>
  <si>
    <t>津南区双港镇何庄子村</t>
  </si>
  <si>
    <t>汽车配件制造（汽车化油器）。</t>
  </si>
  <si>
    <t>天津开发区瑞升工贸公司武华机械厂</t>
  </si>
  <si>
    <t>1997-10-09</t>
  </si>
  <si>
    <t>河西区南京路52号</t>
  </si>
  <si>
    <t>汽车配件制造、加工。（国家有专项经营规定按规定执行）</t>
  </si>
  <si>
    <t>天津市河东区天明刹车管厂</t>
  </si>
  <si>
    <t>1993-07-30</t>
  </si>
  <si>
    <t>河东区二号桥中学内</t>
  </si>
  <si>
    <t>汽车刹车管总成汽车刹车管及配件</t>
  </si>
  <si>
    <t>天津市微型汽车工贸中心夏利装饰厂</t>
  </si>
  <si>
    <t>1997-08-20</t>
  </si>
  <si>
    <t>91120106MA06763659</t>
  </si>
  <si>
    <t>（红）丁字沽三号路33号</t>
  </si>
  <si>
    <t>汽车装具制造;汽车配件、润滑油脂、五金工具。</t>
  </si>
  <si>
    <t>天津市津杨工贸公司汽车装具空调服务部</t>
  </si>
  <si>
    <t>1994-10-07</t>
  </si>
  <si>
    <t>南开区长江道110西增6号</t>
  </si>
  <si>
    <t>汽车装具制造。（5627）五金、交电、化工、汽车装具、汽车配件、百货、针纺织品、橡胶制品、桶装机油;空调安装、修理、汽车电器修理。</t>
  </si>
  <si>
    <t>天津市六号门汽车运输场汽车配件经营部</t>
  </si>
  <si>
    <t>1995-08-08</t>
  </si>
  <si>
    <t>卫国道50号</t>
  </si>
  <si>
    <t>汽车摩托车配件、机电产品、橡胶制品。五金交电、油漆、日用百货、小包装润滑油、汽车装俱、感光继电器、日用杂品。</t>
  </si>
  <si>
    <t>天津市津京汽车配件厂</t>
  </si>
  <si>
    <t>1981-08-28</t>
  </si>
  <si>
    <t>北辰区天穆顺义道</t>
  </si>
  <si>
    <t>汽车配件制造.铸件制造;汽车货运</t>
  </si>
  <si>
    <t>天津市银泰客车桥有限公司红桥分公司</t>
  </si>
  <si>
    <t>注销（2017-04-28）</t>
  </si>
  <si>
    <t>2014-09-02</t>
  </si>
  <si>
    <t>91120106300459200X</t>
  </si>
  <si>
    <t>天津市红桥区咸阳北路48号银泰大厦2614室</t>
  </si>
  <si>
    <t>为企业提供劳务服务（不含涉外）;进出口业务;与汽车零部件生产有关的技术咨询;家具、建筑材料、水性涂料、装饰装修材料、五金交电、灯具、电子产品、电气设备、通讯设备、厨房用品、日用品、文化用品、体育用品、服装、钟表、眼镜（角膜接触镜除外）、工艺美术品、石材批发兼零售;烟零售。（依法须经批准的项目,经相关部门批准后方可开展经营活动）</t>
  </si>
  <si>
    <t>天津市众成汽配联合公司南开分公司</t>
  </si>
  <si>
    <t>1998-02-01</t>
  </si>
  <si>
    <t>南开区红旗路南路241号</t>
  </si>
  <si>
    <t>集体社团法人营业</t>
  </si>
  <si>
    <t>汽车配件制造、加工改制。（C-3727）日用杂品、百货、机油、轮胎、汽车配件;劳务服务。</t>
  </si>
  <si>
    <t>天津市微型汽车配件厂</t>
  </si>
  <si>
    <t>1996-10-11</t>
  </si>
  <si>
    <t>南开区黄河道向阳路3号（文教九厂院内）</t>
  </si>
  <si>
    <t>汽车配件加工制造。（C-3727）</t>
  </si>
  <si>
    <t>天津市东郊区张贵庄街福山路水产门市部</t>
  </si>
  <si>
    <t>1983-11-30</t>
  </si>
  <si>
    <t>张贵庄福山路市场</t>
  </si>
  <si>
    <t>水产</t>
  </si>
  <si>
    <t>天津市广发汽车装俱门市部</t>
  </si>
  <si>
    <t>1993-10-20</t>
  </si>
  <si>
    <t>和平区承德道2号</t>
  </si>
  <si>
    <t>汽车装俱制造、加工、安装、销售、汽车配件、摩托车配件、日用百货、润滑油脂。</t>
  </si>
  <si>
    <t>天津市津微汽车维修中心水箱厂</t>
  </si>
  <si>
    <t>1997-01-10</t>
  </si>
  <si>
    <t>西青区杨柳青营建路28号</t>
  </si>
  <si>
    <t>汽车水箱、汽车装具、汽车零配件制造加工。汽车内装饰服务。</t>
  </si>
  <si>
    <t>天津市南开区胜达汽车配件厂</t>
  </si>
  <si>
    <t>1992-12-28</t>
  </si>
  <si>
    <t>南开区天拖南华宁道平房5号</t>
  </si>
  <si>
    <t>天津市河东区达发汽车配件厂</t>
  </si>
  <si>
    <t>1996-09-18</t>
  </si>
  <si>
    <t>万新村11区居委会旁</t>
  </si>
  <si>
    <t>汽车配件制造加工。机械修理;机加工;家用电器维修。</t>
  </si>
  <si>
    <t>天津市南开区长征汽车配件厂</t>
  </si>
  <si>
    <t>1992-10-09</t>
  </si>
  <si>
    <t>南开区通江路9号嘉陵中学内</t>
  </si>
  <si>
    <t>汽车配件。（H-3727）冲压模具制造;电气焊。</t>
  </si>
  <si>
    <t>天津市南开区汽车电器厂</t>
  </si>
  <si>
    <t>1993-08-04</t>
  </si>
  <si>
    <t>南开区西湖道42号</t>
  </si>
  <si>
    <t>汽车配件制造。（5627）以下限分支经营:通用零件、汽车配件、摩托车、交电、装饰材料;汽车电器修理。</t>
  </si>
  <si>
    <t>天津市兴达机电公司汽车配件厂</t>
  </si>
  <si>
    <t>1996-01-30</t>
  </si>
  <si>
    <t>河西区大沽南路柳林毛纺厂院内</t>
  </si>
  <si>
    <t>汽车配件制造;电机、电梯修理、加工。（国家有专项经营规定按规定执行、行业审批的经营项目的有效期限以其行业审批的有效期限为准）</t>
  </si>
  <si>
    <t>天津市丰华刹车盘厂</t>
  </si>
  <si>
    <t>1994-07-27</t>
  </si>
  <si>
    <t>和平区西藏路1号</t>
  </si>
  <si>
    <t>汽车刹车盘加工制造。中介服务、汽车配件;水暖、制冷设备安装。</t>
  </si>
  <si>
    <t>天津市华通汽车配件厂</t>
  </si>
  <si>
    <t>1992-08-25</t>
  </si>
  <si>
    <t>北辰区果园北路</t>
  </si>
  <si>
    <t>天津市大华汽车装饰厂第二门市部</t>
  </si>
  <si>
    <t>1994-04-21</t>
  </si>
  <si>
    <t>河西区体院北道增3号</t>
  </si>
  <si>
    <t>汽车装饰制造。服装制造。</t>
  </si>
  <si>
    <t>天津市奥联汽车装饰联营公司</t>
  </si>
  <si>
    <t>1994-06-08</t>
  </si>
  <si>
    <t>程林庄道二电表胡同2号</t>
  </si>
  <si>
    <t>有限责任公司（国有控股）</t>
  </si>
  <si>
    <t>汽车装饰条制造。</t>
  </si>
  <si>
    <t>天津市河北区环达汽车配件厂</t>
  </si>
  <si>
    <t>河北区小树林娘娘庙街彤康里1号</t>
  </si>
  <si>
    <t>汽车刮水器制造。金属摸具、开关控制设备制造;机加工。</t>
  </si>
  <si>
    <t>天津市汽车转向机厂</t>
  </si>
  <si>
    <t>1981-08-30</t>
  </si>
  <si>
    <t>河东区大直沽后台</t>
  </si>
  <si>
    <t>汽车配件制造（转向机）。汽车货运;农机配件制造。</t>
  </si>
  <si>
    <t>天津市兴邦汽车锁厂</t>
  </si>
  <si>
    <t>1993-03-12</t>
  </si>
  <si>
    <t>（红）新河北大街79号</t>
  </si>
  <si>
    <t>汽车门锁、汽车配件制造。塑料包装袋制造。</t>
  </si>
  <si>
    <t>天津市万新减速机厂制动四分厂</t>
  </si>
  <si>
    <t>1990-09-10</t>
  </si>
  <si>
    <t>程林庄路天山路口</t>
  </si>
  <si>
    <t>汽车配件制造（汽车制动器）。汽车电器制造。</t>
  </si>
  <si>
    <t>天津市南开区金利康汽车配件综合制品厂</t>
  </si>
  <si>
    <t>1994-07-15</t>
  </si>
  <si>
    <t>南开区宜宾里4号</t>
  </si>
  <si>
    <t>汽车配件制造。（5627）汽车装俱制造、日用塑料杂品、塑料零件制造;机加工、纸制品加工。</t>
  </si>
  <si>
    <t>天津市西青区新华汽车制动器厂</t>
  </si>
  <si>
    <t>1992-12-19</t>
  </si>
  <si>
    <t>杨柳青十街河沿大街西渡</t>
  </si>
  <si>
    <t>汽车制动器制造</t>
  </si>
  <si>
    <t>天津市丰利华工贸发展有限公司电子分公司</t>
  </si>
  <si>
    <t>注销（2018-10-09）</t>
  </si>
  <si>
    <t>2001-07-06</t>
  </si>
  <si>
    <t>91120103730343953N</t>
  </si>
  <si>
    <t>河西区东江道29-2-6号</t>
  </si>
  <si>
    <t>汽车电器配件、电器设备元件制造、加工。（国家有专项经营规定按规定执行、行业审批的经营项目的有效期限以其行业审批的有效期限为准）</t>
  </si>
  <si>
    <t>天津市北辰区宏业汽车配件厂</t>
  </si>
  <si>
    <t>1992-05-08</t>
  </si>
  <si>
    <t>北辰区上蒲口村</t>
  </si>
  <si>
    <t>汽车配件.铆焊加工</t>
  </si>
  <si>
    <t>天津市北辰区利华环保净化设备厂</t>
  </si>
  <si>
    <t>1992-03-09</t>
  </si>
  <si>
    <t>北辰区京津公路163号</t>
  </si>
  <si>
    <t>汽车用机外净化气制造.机动车排放污染物维修;除尘设备制造、污水净化剂制造。</t>
  </si>
  <si>
    <t>天津市西青区利华汽车配件厂</t>
  </si>
  <si>
    <t>1997-06-02</t>
  </si>
  <si>
    <t>西青区中北斜乡大卞庄</t>
  </si>
  <si>
    <t>天津市南开区华海汽车配件厂</t>
  </si>
  <si>
    <t>1995-06-21</t>
  </si>
  <si>
    <t>南开区三马路通胜胡同10号</t>
  </si>
  <si>
    <t>天津市冰山机械工具制修厂汽车配件制造厂</t>
  </si>
  <si>
    <t>1995-07-19</t>
  </si>
  <si>
    <t>南开区四纬路延生里6号楼前平房</t>
  </si>
  <si>
    <t>汽车配件制造、加工。（C-3727）</t>
  </si>
  <si>
    <t>天津市北红汽车配件厂</t>
  </si>
  <si>
    <t>1996-01-23</t>
  </si>
  <si>
    <t>河北区三马路59号</t>
  </si>
  <si>
    <t>天津市北辰区兴达汽车装具厂</t>
  </si>
  <si>
    <t>1991-05-11</t>
  </si>
  <si>
    <t>北辰区京津公路270号</t>
  </si>
  <si>
    <t>汽车座垫。汽车装具、自行车零件加工。</t>
  </si>
  <si>
    <t>天津市光明汽车镜厂</t>
  </si>
  <si>
    <t>1991-10-31</t>
  </si>
  <si>
    <t>南开区东马路袜子胡同82号</t>
  </si>
  <si>
    <t>汽车镜制造。（5627）</t>
  </si>
  <si>
    <t>天津市河东区交通缸垫厂</t>
  </si>
  <si>
    <t>1988-06-20</t>
  </si>
  <si>
    <t>河东区靖江路18号</t>
  </si>
  <si>
    <t>汽车配件制造（汽车缸垫、进排气垫、接口垫）。建筑用金属结构制作、安装;电气焊、机加工。</t>
  </si>
  <si>
    <t>天津亚声散热器总公司</t>
  </si>
  <si>
    <t>1994-01-07</t>
  </si>
  <si>
    <t>南开区临潼路</t>
  </si>
  <si>
    <t>汽车配件制造。（C-3727）散热器设备、模具制造;机械加工;民用建材、五金、交电、化工、百货、电子计算机及机房设备;汽车货运。</t>
  </si>
  <si>
    <t>天津市北辰区远征汽车电器厂</t>
  </si>
  <si>
    <t>1993-07-31</t>
  </si>
  <si>
    <t>北辰区小淀中学院内</t>
  </si>
  <si>
    <t>汽车电器配件制造。（5627）冲压件、机加工、坩锅加工;汽车货运。</t>
  </si>
  <si>
    <t>天津市空调器公司佳兴汽车配件厂</t>
  </si>
  <si>
    <t>1995-05-09</t>
  </si>
  <si>
    <t>（红）丁字沽一号路（电动工具厂院内）</t>
  </si>
  <si>
    <t>汽车配件制造、加工。电动工具配件、空调器配件加工。</t>
  </si>
  <si>
    <t>天津市汽车仪表厂分厂</t>
  </si>
  <si>
    <t>1993-03-02</t>
  </si>
  <si>
    <t>河北区狮子林大街109号</t>
  </si>
  <si>
    <t>汽车配件制造。机加工、金属模具加工;电气焊。</t>
  </si>
  <si>
    <t>天津市津康实业公司宏达交通电器厂</t>
  </si>
  <si>
    <t>1996-04-15</t>
  </si>
  <si>
    <t>南开区广开三马路87号</t>
  </si>
  <si>
    <t>汽车配件加工制造。（C-3727）汽车配件、五金、交电;机加工。</t>
  </si>
  <si>
    <t>天津博大实业发展公司汽车电器厂</t>
  </si>
  <si>
    <t>（红）西青道洛川里三条1号</t>
  </si>
  <si>
    <t>汽车电器制造机加工;电器设备.机械设备修理</t>
  </si>
  <si>
    <t>天津市河北区双铃塑料滤油器厂</t>
  </si>
  <si>
    <t>河北区建国道四经路19号</t>
  </si>
  <si>
    <t>汽车滤油器制造。塑料制品、金属制品、橡胶制品、洗涤剂、玩具制造及加工;制冷设备、水暖安装、信息咨询、劳务服务;制冷设备、水暖器材修理。</t>
  </si>
  <si>
    <t>天津市津康实业公司华夏汽车电器厂</t>
  </si>
  <si>
    <t>1995-04-10</t>
  </si>
  <si>
    <t>南开区灵隐道93号</t>
  </si>
  <si>
    <t>天津市北辰区永发汽车装具综合经营部</t>
  </si>
  <si>
    <t>1992-07-27</t>
  </si>
  <si>
    <t>北辰区北仓工农新村二段一排19号</t>
  </si>
  <si>
    <t>汽车配件.汽车用装具、润滑油、五金工具、电工器材、水暖器材、油漆、建筑材料。</t>
  </si>
  <si>
    <t>天津市南开区天成汽车配件厂</t>
  </si>
  <si>
    <t>1994-12-06</t>
  </si>
  <si>
    <t>南开区北马路展家花园3号</t>
  </si>
  <si>
    <t>汽车配件制造、加工。（C-3727）摩托车修理。</t>
  </si>
  <si>
    <t>天津市北方企业总公司北方交通电器厂</t>
  </si>
  <si>
    <t>北辰区柳滩村东北空医院旁</t>
  </si>
  <si>
    <t>天津市红桥区北海实业公司汽车配件厂</t>
  </si>
  <si>
    <t>注销（2018-09-28）</t>
  </si>
  <si>
    <t>91120106797251957W</t>
  </si>
  <si>
    <t>红桥区邵公庄幸福里增9号楼底商</t>
  </si>
  <si>
    <t>机加工；汽车配件制造、加工。（国家有专项、专营规定的按规定执行）</t>
  </si>
  <si>
    <t>天津市北辰区北电器厂</t>
  </si>
  <si>
    <t>1994-05-30</t>
  </si>
  <si>
    <t>北辰区东堤村</t>
  </si>
  <si>
    <t>汽车电器。小五金、日用电器。</t>
  </si>
  <si>
    <t>天津市津辰汽车制冷设备厂</t>
  </si>
  <si>
    <t>1992-06-10</t>
  </si>
  <si>
    <t>北辰区北仓村北仓后街48号</t>
  </si>
  <si>
    <t>汽车配件及空调器制造、机加工;汽车空调及音响修理、机械设备修理及调剂。（5627）</t>
  </si>
  <si>
    <t>天津市南开区求实汽车配件厂</t>
  </si>
  <si>
    <t>1992-02-28</t>
  </si>
  <si>
    <t>南开区雅安道西头</t>
  </si>
  <si>
    <t>汽车配件制造。（C-3727）</t>
  </si>
  <si>
    <t>天津市红桥区微型汽车装饰品厂</t>
  </si>
  <si>
    <t>1996-04-09</t>
  </si>
  <si>
    <t>（红）西青道向阳里1条1号</t>
  </si>
  <si>
    <t>汽车装饰品及汽车配件制造。机加工。</t>
  </si>
  <si>
    <t>天津商德汽车部件制造有限公司北辰分公司</t>
  </si>
  <si>
    <t>吊销（2009-11-15）</t>
  </si>
  <si>
    <t>2007-07-26</t>
  </si>
  <si>
    <t>天津市北辰区铁东路北方汽贸园D区1排19号</t>
  </si>
  <si>
    <t>汽车零部件、纺织机械配件制造、加工、销售。（国家有专营、专项规定的按专营、专项规定办理）</t>
  </si>
  <si>
    <t>天津南楼集团河西百货商场有限公司华通汽车装具分公司</t>
  </si>
  <si>
    <t>2000-03-13</t>
  </si>
  <si>
    <t>911201037182938509</t>
  </si>
  <si>
    <t>河西区梅林路8-10号</t>
  </si>
  <si>
    <t>有限责任公司分公司（国有控股）</t>
  </si>
  <si>
    <t>汽车装具制造、安装、批发、零售。</t>
  </si>
  <si>
    <t>天津乌雅汗汽车设备制造有限公司西青分公司</t>
  </si>
  <si>
    <t>注销（2019-01-28）</t>
  </si>
  <si>
    <t>2013-07-11</t>
  </si>
  <si>
    <t>91120111073120388T</t>
  </si>
  <si>
    <t>天津市西青区杨柳青镇柳堤路与浴杨道交口西北侧200米</t>
  </si>
  <si>
    <t>汽车配件、汽车零部件、汽车生产线、搬运设备、装焊吊具（取得特种设备安全监察部门许可后经营）、机电产品（小轿车除外）制造、销售、设计、安装、维修、技术开发、技术服务;中水洗车;从事国家法律、法规允许经营的进出口业务;机电设备技术咨询服务。（依法须经批准的项目,经相关部门批准后方可开展经营活动）</t>
  </si>
  <si>
    <t>天津市三环汽车配件厂</t>
  </si>
  <si>
    <t>1991-12-30</t>
  </si>
  <si>
    <t>西营门乡北菜园村</t>
  </si>
  <si>
    <t>天津市南开区华通电器弹簧厂</t>
  </si>
  <si>
    <t>1983-04-02</t>
  </si>
  <si>
    <t>南开区万德庄群富里11号</t>
  </si>
  <si>
    <t>汽车配件制造。（5627）机械配件、冲压件加工。</t>
  </si>
  <si>
    <t>天津市北辰区兴宜五金厂</t>
  </si>
  <si>
    <t>1991-10-23</t>
  </si>
  <si>
    <t>北辰区宜兴埠宫西街2号</t>
  </si>
  <si>
    <t>汽车配件制造.冲压件;机加工;电器安装</t>
  </si>
  <si>
    <t>韩国天昌温水株式会社天津代表处</t>
  </si>
  <si>
    <t>2009-04-29</t>
  </si>
  <si>
    <t>911200006877181224</t>
  </si>
  <si>
    <t>天津市河东区六经路11号立达大酒店414室</t>
  </si>
  <si>
    <t>外国?</t>
  </si>
  <si>
    <t>承办本公司对华业务的咨询和联络</t>
  </si>
  <si>
    <t>天津市河北区天宇汽车配件厂</t>
  </si>
  <si>
    <t>1992-03-07</t>
  </si>
  <si>
    <t>河北区幸福道15号</t>
  </si>
  <si>
    <t>汽车配件制造。尼龙笔加工。</t>
  </si>
  <si>
    <t>天津通业汽车机械配件厂</t>
  </si>
  <si>
    <t>1998-06-16</t>
  </si>
  <si>
    <t>河北区曙光路10号</t>
  </si>
  <si>
    <t>汽车配件制造。标准件、模具、专用设备设计制造;机加工;机床修理;五金、交电、化工。</t>
  </si>
  <si>
    <t>天津市津西中亚工贸公司</t>
  </si>
  <si>
    <t>1993-11-11</t>
  </si>
  <si>
    <t>西青区西营门乡怡合村</t>
  </si>
  <si>
    <t>汽车配件 紧固件 自行车零件 其它日用五金制造 机加工</t>
  </si>
  <si>
    <t>天津市微型汽车工贸中心装饰件厂</t>
  </si>
  <si>
    <t>1997-08-22</t>
  </si>
  <si>
    <t>91120104MA05X5267D</t>
  </si>
  <si>
    <t>南开区黄河道延安路39号</t>
  </si>
  <si>
    <t>全民所有制分支机构（非法人）</t>
  </si>
  <si>
    <t>汽车零部件、汽车装具制造、加工。（C-3727）汽车配件零售兼批发。</t>
  </si>
  <si>
    <t>天津开发区光达汽车零部件公司经销处</t>
  </si>
  <si>
    <t>1995-04-26</t>
  </si>
  <si>
    <t>91120106MA067639XN</t>
  </si>
  <si>
    <t>（红）西于庄后大道28号</t>
  </si>
  <si>
    <t>汽车部件制造、维修。</t>
  </si>
  <si>
    <t>天津市雷虹脚踏机动两用车厂</t>
  </si>
  <si>
    <t>1997-07-15</t>
  </si>
  <si>
    <t>河东区程林庄道120号</t>
  </si>
  <si>
    <t>脚踏机动两用车、机动脚踏两用车及自行车配件。</t>
  </si>
  <si>
    <t>天津市南北工贸有限公司北辰分公司</t>
  </si>
  <si>
    <t>注销（2022-12-29）</t>
  </si>
  <si>
    <t>2003-07-07</t>
  </si>
  <si>
    <t>91120113752227064J</t>
  </si>
  <si>
    <t>北辰区北仓道东段南侧（奥都物资商贸中心内）</t>
  </si>
  <si>
    <t>汽车装具加工、销售；汽车音响、空调安装；汽车及摩托车配件、五金交电、轮胎、润滑油脂、日用百货零售兼批发。（以上经营范围涉及行业许可的凭许可证件，在有效期限内经营，国家有专项专营规定的按规定办理）</t>
  </si>
  <si>
    <t>中汽客车有限责任公司天津分公司</t>
  </si>
  <si>
    <t>1995-09-20</t>
  </si>
  <si>
    <t>河东区万新村天山路口</t>
  </si>
  <si>
    <t>客车、客车底盘及零部件的开发、制造、技术转让、产品销售;汽车（小轿车直接销售到最终用户）、摩托车、汽车配件、机电设备及上述业务的咨询服务。</t>
  </si>
  <si>
    <t>天津博大汽车电器公司</t>
  </si>
  <si>
    <t>1994-06-15</t>
  </si>
  <si>
    <t>（红）西青道99号</t>
  </si>
  <si>
    <t>汽车配件、摩托车配件制造。机械、电器设备、仪器仪表、化工轻工材料、金属材料（不含钢材）、五金（不含消防器材）、交电、化工、百货、日用杂品;设备安装、室内外装饰、汽车电器和摩托车电器制造技术的开发、咨询、中介服务。</t>
  </si>
  <si>
    <t>天津市北辰区通利汽车配件厂</t>
  </si>
  <si>
    <t>1994-07-08</t>
  </si>
  <si>
    <t>北辰区桃口村南头</t>
  </si>
  <si>
    <t>汽车配件制造、标准件、玻璃钢制品、五金制品、电气焊加工。（5627）</t>
  </si>
  <si>
    <t>天津市北辰区环宇微型汽车刮水器厂</t>
  </si>
  <si>
    <t>1988-09-12</t>
  </si>
  <si>
    <t>北辰区双街乡下蒲口村</t>
  </si>
  <si>
    <t>天津市河北区飞龙汽车配件厂</t>
  </si>
  <si>
    <t>1994-06-01</t>
  </si>
  <si>
    <t>天津市河北区何兴庄东窑洼114号</t>
  </si>
  <si>
    <t>汽车零件制造、加工。</t>
  </si>
  <si>
    <t>天津市南开区鑫广特汽车配件厂</t>
  </si>
  <si>
    <t>1999-07-11</t>
  </si>
  <si>
    <t>天津市南开区长江道西昌里69号增9号</t>
  </si>
  <si>
    <t>制造、销售:汽车配件、汽车电器;机电产品（小轿车除外）。</t>
  </si>
  <si>
    <t>天津市红桥区长征汽车配件厂</t>
  </si>
  <si>
    <t>1996-01-31</t>
  </si>
  <si>
    <t>（红）咸阳路复兴路1号</t>
  </si>
  <si>
    <t>汽车配件。冲压模具制造、加工、电焊。</t>
  </si>
  <si>
    <t>北方新兴（天津）汽车部件有限公司西青分公司</t>
  </si>
  <si>
    <t>注销（2017-06-02）</t>
  </si>
  <si>
    <t>2013-05-31</t>
  </si>
  <si>
    <t>91120111069870733Q</t>
  </si>
  <si>
    <t>天津市西青区西青道309号（发电厂斜对面）</t>
  </si>
  <si>
    <t>汽车零部件及配件制造；长安轿车品牌汽车销售；小型客车整车修理、总成修理、整车维护、小修、维修救援、专项修理；汽车配件、汽车装具批发兼零售；中水洗车；自有房屋租赁；汽车租赁；二手车经营。（以上经营范围涉及行业许可的凭许可证件，在有效期限内经营，国家有专项专营规定的按规定办理。）</t>
  </si>
  <si>
    <t>天津市点火线圈厂分厂</t>
  </si>
  <si>
    <t>1991-11-26</t>
  </si>
  <si>
    <t>河北区民权门外何兴庄下台</t>
  </si>
  <si>
    <t>汽车配件制造。组装汽车灯开关;暖风机、水箱加工;点火线圈线组。</t>
  </si>
  <si>
    <t>天津华正工程机械有限公司北辰分公司</t>
  </si>
  <si>
    <t>2003-01-07</t>
  </si>
  <si>
    <t>北辰区双街镇郎园村</t>
  </si>
  <si>
    <t>机械配件、汽车配件制造、销售;机电产品（汽车除外）代购代销、建筑材料、日用杂品、工艺品销售;工程机械维修。</t>
  </si>
  <si>
    <t>天津市恒兴微型汽车冲压件厂</t>
  </si>
  <si>
    <t>1988-04-11</t>
  </si>
  <si>
    <t>中北斜乡谢庄村</t>
  </si>
  <si>
    <t>天津市兴源机械修配厂</t>
  </si>
  <si>
    <t>1988-04-01</t>
  </si>
  <si>
    <t>西营门乡兴业里村</t>
  </si>
  <si>
    <t>天津市河北区北金汽车配件厂</t>
  </si>
  <si>
    <t>1990-03-21</t>
  </si>
  <si>
    <t>河北区金家窑大街116号增1号</t>
  </si>
  <si>
    <t>天津市汽车锻件厂</t>
  </si>
  <si>
    <t>1991-07-11</t>
  </si>
  <si>
    <t>河北区榆关道16号</t>
  </si>
  <si>
    <t>汽车配件制造。农具、锻件加工;汽车货运。</t>
  </si>
  <si>
    <t>天津市河西区津兴汽配厂</t>
  </si>
  <si>
    <t>1994-07-29</t>
  </si>
  <si>
    <t>河西区纪庄南里5条31号</t>
  </si>
  <si>
    <t>汽车配件,弹簧,紧固件制造、加工,建筑小五金制造;劳务服务;打字,制版。</t>
  </si>
  <si>
    <t>天津市津西育才机械厂</t>
  </si>
  <si>
    <t>1993-05-10</t>
  </si>
  <si>
    <t>西青道325号</t>
  </si>
  <si>
    <t>天津市鸿远汽车部件制造有限公司分公司</t>
  </si>
  <si>
    <t>2003-11-21</t>
  </si>
  <si>
    <t>河西区解放南路小围堤道东头（河西区蔬菜公司院内）</t>
  </si>
  <si>
    <t>汽车部件（发动机总成除外）、塑料模具加工制造。（国家有专项专营规定的按规定执行）（涉及行业审批的经营项目及有效期限均以许可证或资质证为准）</t>
  </si>
  <si>
    <t>天津市河北区兴达电器厂</t>
  </si>
  <si>
    <t>1992-05-07</t>
  </si>
  <si>
    <t>河北区王串场金钟河东街7号</t>
  </si>
  <si>
    <t>汽车配件制造（汽车刮水器）。低压开关控制柜制造;塑料制品加工。</t>
  </si>
  <si>
    <t>天津市财鑫汽车配件厂</t>
  </si>
  <si>
    <t>1995-01-05</t>
  </si>
  <si>
    <t>津南区辛庄乡柴家圈村</t>
  </si>
  <si>
    <t>天津市众成汽配联合公司</t>
  </si>
  <si>
    <t>吊销（2003-09-08）</t>
  </si>
  <si>
    <t>和平区建设路43号</t>
  </si>
  <si>
    <t>日用杂品、百货;信息咨询（不含中介）、劳务服务（不含中介）、机油、轮胎、汽车配件。</t>
  </si>
  <si>
    <t>天津市华津广源食品经销公司津艺金属门窗厂</t>
  </si>
  <si>
    <t>1993-08-17</t>
  </si>
  <si>
    <t>河东区卫国道138号</t>
  </si>
  <si>
    <t>金属门窗制造。室内外装饰。</t>
  </si>
  <si>
    <t>天津一汽夏利汽车股份有限公司内燃机制造分公司</t>
  </si>
  <si>
    <t>注销（2020-10-23）</t>
  </si>
  <si>
    <t>911201047004042848</t>
  </si>
  <si>
    <t>西青区杨柳青镇青沙路39号</t>
  </si>
  <si>
    <t>汽车发动机、汽车零部件、内燃机配件的制造；商业的批发及零售。（依法须经批准的项目，经相关部门批准后方可开展经营活动）</t>
  </si>
  <si>
    <t>天津市友鑫汽车配件厂</t>
  </si>
  <si>
    <t>1999-06-10</t>
  </si>
  <si>
    <t>天津市北辰区延吉东里</t>
  </si>
  <si>
    <t>汽车配件加工、制造、机械加工、来料加工、配件销售（国家有专营专项规定的按专营专项规定办理）。</t>
  </si>
  <si>
    <t>天津市津南西楼汽车配件厂</t>
  </si>
  <si>
    <t>1990-09-13</t>
  </si>
  <si>
    <t>河西区黑牛城道联盟里1-1号</t>
  </si>
  <si>
    <t>天津市北辰区广华汽车配件厂</t>
  </si>
  <si>
    <t>1996-07-15</t>
  </si>
  <si>
    <t>北辰区大张庄乡北何庄村</t>
  </si>
  <si>
    <t>天津市东丽区南方汽配经营部</t>
  </si>
  <si>
    <t>吊销（2001-09-18）</t>
  </si>
  <si>
    <t>1994-05-24</t>
  </si>
  <si>
    <t>东丽区金钟大街351号</t>
  </si>
  <si>
    <t>汽车配件. 里程表汽车组合开关</t>
  </si>
  <si>
    <t>天津市河北区精工电器厂</t>
  </si>
  <si>
    <t>1993-08-19</t>
  </si>
  <si>
    <t>河北区志成道马庄后街2号</t>
  </si>
  <si>
    <t>汽车配件制造。小型家用电器加工。</t>
  </si>
  <si>
    <t>天津市福信实业公司华夏汽车配件厂</t>
  </si>
  <si>
    <t>1995-11-15</t>
  </si>
  <si>
    <t>西青区大寺乡大芦北口</t>
  </si>
  <si>
    <t>天津市汽车水箱厂张兴庄分厂</t>
  </si>
  <si>
    <t>注销（2020-08-26）</t>
  </si>
  <si>
    <t>2017-07-11</t>
  </si>
  <si>
    <t>91120105MA05TGN93C</t>
  </si>
  <si>
    <t>天津市河北区铁东路街张兴庄大街北道2号</t>
  </si>
  <si>
    <t>汽车水箱总成、热器设备、模具制造；批发和零售业、普通货运。（依法须经批准的项目，经相关部门批准后方可开展经营活动）</t>
  </si>
  <si>
    <t>天津市河西区枫林机械厂</t>
  </si>
  <si>
    <t>1995-11-13</t>
  </si>
  <si>
    <t>河西区小海地五水道</t>
  </si>
  <si>
    <t>机加工,汽车配件制造,化工机械、健身器材、水暖管道零件制造、加工;以下限分支机构经营:汽车配件批发兼零售。（国家有专项经营规定按规定执行）</t>
  </si>
  <si>
    <t>天津市三特电光源技术开发有限公司分公司</t>
  </si>
  <si>
    <t>2004-05-12</t>
  </si>
  <si>
    <t>91120104767605240U</t>
  </si>
  <si>
    <t>南开区黄河道工企路2号</t>
  </si>
  <si>
    <t>有限责任公司分公司（自然人投资或控股）</t>
  </si>
  <si>
    <t>汽车配件加工、灯泡制造。（国家有专项专营规定的按行业审批范围及时限执行）</t>
  </si>
  <si>
    <t>天津市西青区华通汽车标准件厂</t>
  </si>
  <si>
    <t>1997-05-12</t>
  </si>
  <si>
    <t>西青区杨柳青三街祯祥胡同2号</t>
  </si>
  <si>
    <t>汽车标准件汽车配件</t>
  </si>
  <si>
    <t>天津市津南夏利汽车水箱厂</t>
  </si>
  <si>
    <t>1989-08-16</t>
  </si>
  <si>
    <t>河西区柳江路</t>
  </si>
  <si>
    <t>汽车配件制造（水箱）。汽车水箱修理、光鼓修理、电机修理。</t>
  </si>
  <si>
    <t>天津市北辰区小淀供销社天宇空气滤清器芯厂</t>
  </si>
  <si>
    <t>注销（2020-01-19）</t>
  </si>
  <si>
    <t>1997-10-20</t>
  </si>
  <si>
    <t>北辰区小贺庄门市部</t>
  </si>
  <si>
    <t>汽车滤清器制造。</t>
  </si>
  <si>
    <t>天津市南德工贸有限公司</t>
  </si>
  <si>
    <t>1996-03-18</t>
  </si>
  <si>
    <t>河东区津塘公路159号</t>
  </si>
  <si>
    <t>制造:汽车配件。零售兼批发:工程机械设备、电子设备、建筑材料、金属材料（不含钢材）、化工（易燃易爆品除外）。</t>
  </si>
  <si>
    <t>天津有容工贸有限公司汽车水箱分公司</t>
  </si>
  <si>
    <t>吊销（2018-06-20）</t>
  </si>
  <si>
    <t>2007-08-13</t>
  </si>
  <si>
    <t>91120112666105490G</t>
  </si>
  <si>
    <t>津南区辛庄镇白塘口村（裕和投资服务有限公司院内）</t>
  </si>
  <si>
    <t>普通机械设备、电器设备及汽车配件（发动机总成除外）加工、制造、销售、维修;经营本企业自产产品及技术的出口业务和本企业所需的机械设备、零配件、原辅材料及技术的进口业务。（国家有专营专项规定的按专营专项规定办理）</t>
  </si>
  <si>
    <t>天津众鹏汽车配件厂</t>
  </si>
  <si>
    <t>注销（2020-04-20）</t>
  </si>
  <si>
    <t>2003-08-07</t>
  </si>
  <si>
    <t>92120106MA05XYHJ8G</t>
  </si>
  <si>
    <t>红桥区湘潭道11号</t>
  </si>
  <si>
    <t>汽车配件制造、零售兼批发。（国家有专项、专营规定的按规定执行）</t>
  </si>
  <si>
    <t>天津市车宝贝汽车养护装饰用品厂</t>
  </si>
  <si>
    <t>2005-05-25</t>
  </si>
  <si>
    <t>92120113L43063389N</t>
  </si>
  <si>
    <t>万源星城底商南峰道13号-01</t>
  </si>
  <si>
    <t>车用清洁剂、防冻液、玻璃水制造、加工（危险化学品、易制毒品除外）;汽车装具、润滑油、汽车配件零售。（以上经营范围涉及行业许可的凭许可证件,在有效期限内经营,国家有专项专营规定的按规定办理）</t>
  </si>
  <si>
    <t>天津旭光汽车配件厂</t>
  </si>
  <si>
    <t>吊销（2013-12-10）</t>
  </si>
  <si>
    <t>2003-11-25</t>
  </si>
  <si>
    <t>天津市河北区增光道2号</t>
  </si>
  <si>
    <t>汽车电器加工、零售。**以上经营范围涉及行业许可的凭许可证件,在有效期限内经营,国家有专项专营规定的按规定办理**</t>
  </si>
  <si>
    <t>天津市北辰区优驾汽车饰件店</t>
  </si>
  <si>
    <t>注销（2025-02-27）</t>
  </si>
  <si>
    <t>2023-09-27</t>
  </si>
  <si>
    <t>92120113MA828PK297</t>
  </si>
  <si>
    <t>天津市北辰区宜兴埠镇津围公路西三千汽贸园4-5号二楼左数第一间</t>
  </si>
  <si>
    <t>一般项目：汽车装饰用品销售。（除依法须经批准的项目外，凭营业执照依法自主开展经营活动）</t>
  </si>
  <si>
    <t>天津市南开区籍成汽车零部件经营部</t>
  </si>
  <si>
    <t>注销（2023-12-06）</t>
  </si>
  <si>
    <t>2019-06-12</t>
  </si>
  <si>
    <t>92120104MA06PTLG27</t>
  </si>
  <si>
    <t>天津市南开区黄河道361号虹畔大厦B座9层9008室</t>
  </si>
  <si>
    <t>汽车配件、五金配件、电动工具、建筑材料、厨房用具、卫生间用具、家具、办公设备、工艺品、日用百货、图文设备、电脑耗材、通讯器材批发兼零售。（依法须经批准的项目，经相关部门批准后方可开展经营活动）</t>
  </si>
  <si>
    <t>天津市西青区宏顺原汽车饰件经营部</t>
  </si>
  <si>
    <t>注销（2021-12-10）</t>
  </si>
  <si>
    <t>2020-08-26</t>
  </si>
  <si>
    <t>92120111MA074BU14W</t>
  </si>
  <si>
    <t>天津市西青区大寺镇门道口村梨双公路与兴华十支路交口东100米</t>
  </si>
  <si>
    <t>一般项目：汽车零配件零售；汽车零配件批发；日用百货销售；汽车装饰用品销售；皮革制品销售；机械设备租赁；仓储设备租赁服务；汽车租赁；国内货物运输代理；会议及展览服务；信息咨询服务（不含许可类信息咨询服务）。（除依法须经批准的项目外，凭营业执照依法自主开展经营活动）。</t>
  </si>
  <si>
    <t>天津市红桥区维达斯汽车配件加工厂</t>
  </si>
  <si>
    <t>注销（2023-10-18）</t>
  </si>
  <si>
    <t>2006-01-05</t>
  </si>
  <si>
    <t>92120106L09735890A</t>
  </si>
  <si>
    <t>红桥区咸阳路8号</t>
  </si>
  <si>
    <t>汽车配件加工、销售。（以上经营范围涉及行业许可的凭许可证件，在有效期限内经营，国家有专项专营规定的按规定执行）</t>
  </si>
  <si>
    <t>天津市南开区陈保磊汽车电子中心</t>
  </si>
  <si>
    <t>注销（2025-04-11）</t>
  </si>
  <si>
    <t>2020-05-28</t>
  </si>
  <si>
    <t>92120104MA071Q0K3M</t>
  </si>
  <si>
    <t>天津市南开区通园路35号底商</t>
  </si>
  <si>
    <t>一般项目：电子元器件批发；汽车零配件零售；汽车装饰用品销售；专业开锁服务；日用产品修理。（除依法须经批准的项目外，凭营业执照依法自主开展经营活动）。</t>
  </si>
  <si>
    <t>天津市津南区亿博尔汽车零部件厂（个体工商户）</t>
  </si>
  <si>
    <t>注销（2025-06-10）</t>
  </si>
  <si>
    <t>2025-03-25</t>
  </si>
  <si>
    <t>92120112MA82J3X99M</t>
  </si>
  <si>
    <t>天津市津南区双港镇港鑫路6号第一车间西半部</t>
  </si>
  <si>
    <t>一般项目：汽车零部件及配件制造；汽车零配件批发；汽车零配件零售；通用设备制造（不含特种设备制造）；新能源汽车电附件销售；通用设备修理；五金产品制造；五金产品批发；五金产品研发；五金产品零售；机械设备研发；金属制品销售；电子元器件批发；模具销售。（除依法须经批准的项目外，凭营业执照依法自主开展经营活动）</t>
  </si>
  <si>
    <t>天津市红桥区维垣汽车配件中心</t>
  </si>
  <si>
    <t>注销（2019-01-18）</t>
  </si>
  <si>
    <t>2013-09-13</t>
  </si>
  <si>
    <t>92120106MA05W9X27H</t>
  </si>
  <si>
    <t>红桥区怡闲道-9号</t>
  </si>
  <si>
    <t>汽车配件零售，洗车服务，汽车维修；代办机动车车务手续。（依法须经批准的项目，经相关部门批准后方可开展经营活动）</t>
  </si>
  <si>
    <t>天津市东丽区达尼斯汽车配件加工厂</t>
  </si>
  <si>
    <t>注销（2021-06-10）</t>
  </si>
  <si>
    <t>2015-06-26</t>
  </si>
  <si>
    <t>92120110MA062E2L6X</t>
  </si>
  <si>
    <t>天津市东丽区华明街赵庄村津赤路南10号</t>
  </si>
  <si>
    <t>汽车配件加工及销售。（依法须经批准的项目，经相关部门批准后方可开展经营活动）</t>
  </si>
  <si>
    <t>天津市三勋精密机电制品有限公司</t>
  </si>
  <si>
    <t>2000-06-21</t>
  </si>
  <si>
    <t>91120112722983440R</t>
  </si>
  <si>
    <t>天津市津南区双港镇睿平道8号</t>
  </si>
  <si>
    <t>电气机械和器材制造业</t>
  </si>
  <si>
    <t>电机制造</t>
  </si>
  <si>
    <t>电动机制造</t>
  </si>
  <si>
    <t>精密电机轴及电子元件制造、加工、销售；钢材批发兼零售；钢材加工；模具制造、加工、销售。（国家有专营专项规定的按专营专项规定办理）</t>
  </si>
  <si>
    <t>天津市皇泰新型机电节能材料有限公司</t>
  </si>
  <si>
    <t>2011-01-17</t>
  </si>
  <si>
    <t>911201135661425776</t>
  </si>
  <si>
    <t>天津市北辰区天津医药医疗器械工业园腾旺道3号</t>
  </si>
  <si>
    <t>机电设备节能材料、金属复合材料制造、加工、销售；机电设备节能材料、金属复合材料技术开发、转让、咨询、服务；从事国家法律法规允许经营的进出口业务。（依法须经批准的项目，经相关部门批准后方可开展经营活动）</t>
  </si>
  <si>
    <t>天津神川电机有限公司</t>
  </si>
  <si>
    <t>2003-04-18</t>
  </si>
  <si>
    <t>911201107491055929</t>
  </si>
  <si>
    <t>天津市东丽开发区二纬路3号</t>
  </si>
  <si>
    <t>电机、减速机、配电装置制造及修理；机电产品及建筑机械零配件、电工绝缘材料批发兼零售及相关技术开发、转让、服务、咨询；航空地面设备研发、生产、销售；办公用房、厂房租赁经营；物业管理。（依法须经批准的项目，经相关部门批准后方可开展经营活动）</t>
  </si>
  <si>
    <t>天津新午星机电有限公司</t>
  </si>
  <si>
    <t>1996-03-11</t>
  </si>
  <si>
    <t>91120113600898221B</t>
  </si>
  <si>
    <t>天津市北辰区小淀镇刘安庄工业园佳丰道38号</t>
  </si>
  <si>
    <t>99</t>
  </si>
  <si>
    <t>小型电动机、遥控器、传感器、钢板、铝锭及有关部件的开发、生产、加工、销售；普通货运。（依法须经批准的项目，经相关部门批准后方可开展经营活动）</t>
  </si>
  <si>
    <t>天津市三元机电设备制造有限公司</t>
  </si>
  <si>
    <t>2004-10-21</t>
  </si>
  <si>
    <t>911201107676094521</t>
  </si>
  <si>
    <t>天津市东丽区津塘路詹庄口砖瓦厂路7号</t>
  </si>
  <si>
    <t>卷帘机、电动机、减速机、农业机械（农用运输车除外）、钢结构及附件的制造、加工、批发兼零售及相关技术开发；电净化设备、制冷设备、植保机械制造、加工；从事国家法律法规允许经营的进出口业务；五金电料、汽车配件、橡胶制品、劳保用品、农业设施批发兼零售。（依法须经批准的项目，经相关部门批准后方可开展经营活动）</t>
  </si>
  <si>
    <t>103.75万元(2021年)</t>
  </si>
  <si>
    <t>天津市福恒电机有限公司</t>
  </si>
  <si>
    <t>2000-08-28</t>
  </si>
  <si>
    <t>9112011372446605X2</t>
  </si>
  <si>
    <t>天津市北辰区天穆镇柳滩村柳东道</t>
  </si>
  <si>
    <t>电机、模具制造、维修；机械加工、冲压件、热处理加工；从事国家法律、法规允许的进出口业务。（国家有专营专项规定的，按专营专项规定办理）</t>
  </si>
  <si>
    <t>天津市睿智电气传动设备有限公司</t>
  </si>
  <si>
    <t>2007-10-26</t>
  </si>
  <si>
    <t>91120102666147041M</t>
  </si>
  <si>
    <t>天津市河东区润东大厦603</t>
  </si>
  <si>
    <t>电气传动及自动化成套设备、楼宇自动化成套设备、消防设备、制冷设备开发、制造及技术咨询服务；风力发电设备、电子产品、润滑油脂、化工产品（危险品及易制毒品除外）、电气设备、五金产品、塑料制品、装饰装修材料、家具、汽车配件、服装、日用百货批发兼零售；食品销售；货物或技术进出口（国家禁止或涉及行政审批的货物和技术进出口除外）；技术推广服务；企业管理咨询；劳务服务；机械设备维修。（依法须经批准的项目，经相关部门批准后方可开展经营活动）</t>
  </si>
  <si>
    <t>天津冠生电机有限公司</t>
  </si>
  <si>
    <t>注销（2025-08-15）</t>
  </si>
  <si>
    <t>2021-04-16</t>
  </si>
  <si>
    <t>91120113MA07AMC203</t>
  </si>
  <si>
    <t>天津市北辰区天津北辰经济技术开发区高端园通跃路12号（天津丰东热处理有限公司院内）</t>
  </si>
  <si>
    <t>一般项目：电动机制造；电机制造。（除依法须经批准的项目外，凭营业执照依法自主开展经营活动）。</t>
  </si>
  <si>
    <t>天津市华星电机制造有限公司</t>
  </si>
  <si>
    <t>2003-05-22</t>
  </si>
  <si>
    <t>91120102749127564P</t>
  </si>
  <si>
    <t>天津市河东区一号桥耐火路11号</t>
  </si>
  <si>
    <t>电机、风机、减速机、电机零件、水泵、机加工、制造；五金、机电产品的零售兼批发；电机设计、新技术开发服务。（国家有专项、专营规定的按规定执行；涉及行业审批的经营项目及有效期限均以许可证或资质证为准）</t>
  </si>
  <si>
    <t>天津申圣电器制造有限公司</t>
  </si>
  <si>
    <t>91120113566143027U</t>
  </si>
  <si>
    <t>北辰区铁东路天秀道二支路1号</t>
  </si>
  <si>
    <t>一般项目：家用电器制造；金属加工机械制造；机械电气设备制造；包装服务；塑料制品制造；塑料制品销售；服装制造；工艺美术品及礼仪用品制造（象牙及其制品除外）；工艺美术品及礼仪用品销售（象牙及其制品除外）；五金产品批发；有色金属合金销售。（除依法须经批准的项目外，凭营业执照依法自主开展经营活动）</t>
  </si>
  <si>
    <t>天津市天明电机有限公司</t>
  </si>
  <si>
    <t>2004-05-10</t>
  </si>
  <si>
    <t>91120113761271024M</t>
  </si>
  <si>
    <t>天津市北辰区天穆镇京津公路柳滩村东（南仓站对面）</t>
  </si>
  <si>
    <t>许可项目：特种设备制造；特种设备设计。（依法须经批准的项目，经相关部门批准后方可开展经营活动，具体经营项目以相关部门批准文件或许可证件为准）一般项目：技术服务、技术开发、技术咨询、技术交流、技术转让、技术推广；机械设备租赁；机械电气设备制造；机械零件、零部件销售；机械电气设备销售；机械零件、零部件加工；机械设备研发；机械设备销售；五金产品制造；五金产品批发；金属结构销售；特种设备销售；金属结构制造；工业控制计算机及系统销售；工业控制计算机及系统制造；电子产品销售；物联网设备销售；变压器、整流器和电感器制造；集成电路销售；信息系统集成服务；非金属矿及制品销售；橡胶制品销售；工程塑料及合成树脂销售；水泥制品销售；耐火材料销售；货物进出口；计算机软硬件及辅助设备批发；计算机及办公设备维修；金属制品研发；金属制品销售；金属材料制造；软件开发。（除依法须经批准的项目外，凭营业执照依法自主开展经营活动）</t>
  </si>
  <si>
    <t>天津市津南洋电机销售有限公司</t>
  </si>
  <si>
    <t>2005-08-12</t>
  </si>
  <si>
    <t>911201117773352565</t>
  </si>
  <si>
    <t>天津市北辰区天津北辰经济技术开发区科技园高新大道41号</t>
  </si>
  <si>
    <t>电动机、减速机及部件批发兼零售、加工、维修及技术咨询服务。（依法须经批准的项目，经相关部门批准后方可开展经营活动）</t>
  </si>
  <si>
    <t>天津浦莱多机电有限公司</t>
  </si>
  <si>
    <t>2012-03-09</t>
  </si>
  <si>
    <t>911201165864486455</t>
  </si>
  <si>
    <t>华苑产业区海泰发展六道6号海泰绿色产业基地J座114室</t>
  </si>
  <si>
    <t>发电机及发电机组、电动机、模具制造；机电一体化技术咨询、服务；批发和零售业。（依法须经批准的项目，经相关部门批准后方可开展经营活动）</t>
  </si>
  <si>
    <t>天津市天唯起重电机有限公司</t>
  </si>
  <si>
    <t>91120110598722074P</t>
  </si>
  <si>
    <t>天津市东丽区万新街道增兴窑村昆仑里东侧</t>
  </si>
  <si>
    <t>一般项目：电机制造；电动机制造；专用设备制造（不含许可类专业设备制造）；专用设备修理；通用设备制造（不含特种设备制造）；通用设备修理；电气设备修理；发电机及发电机组销售；微特电机及组件销售；齿轮及齿轮减、变速箱销售；轴承、齿轮和传动部件销售；钢压延加工；金属材料销售；金属制品销售；金属丝绳及其制品销售；有色金属合金销售；电工器材销售；普通机械设备安装服务；电子、机械设备维护（不含特种设备）；技术服务、技术开发、技术咨询、技术交流、技术转让、技术推广；劳务服务（不含劳务派遣）。（除依法须经批准的项目外，凭营业执照依法自主开展经营活动）</t>
  </si>
  <si>
    <t>天津创杰电机有限公司</t>
  </si>
  <si>
    <t>2009-08-20</t>
  </si>
  <si>
    <t>91120110694051338H</t>
  </si>
  <si>
    <t>天津市东丽区华明街李明庄西澄州路东侧</t>
  </si>
  <si>
    <t>电机及配件的加工、制作；铜排、铜线及有色金属加工；汽车配件、汽车电器及相关设备维修；电线电缆、电力器材及设备、机电设备、健身器材、计算机配件及网络设备、电子仪器仪表、五金及工具批发兼零售；普通机械加工。（国家有专项专营规定的，按规定执行；涉及行业许可的，凭许可证或批准文件经营）</t>
  </si>
  <si>
    <t>天津市旭润机电工贸有限公司</t>
  </si>
  <si>
    <t>2001-11-14</t>
  </si>
  <si>
    <t>91120103732808144R</t>
  </si>
  <si>
    <t>河西区黑牛城道51号</t>
  </si>
  <si>
    <t>电动机、电气控制柜、轴承制造修理；机电产品（小轿车除外）、金属材料、日用百货、五金交电、化工产品（易燃易爆易制毒化学品除外）、建筑材料、橡胶制品、电线电缆批发兼零售；机械加工。（依法须经批准的项目，经相关部门批准后方可开展经营活动）</t>
  </si>
  <si>
    <t>天津君浩电机有限公司</t>
  </si>
  <si>
    <t>歇业</t>
  </si>
  <si>
    <t>2022-07-15</t>
  </si>
  <si>
    <t>91120110MABT84JJ4H</t>
  </si>
  <si>
    <t>天津市东丽区新桂路与旌智道交口东南侧万科蓝庭广场19-1-607</t>
  </si>
  <si>
    <t>一般项目：电机制造；微特电机及组件制造；发电机及发电机组销售；海上风力发电机组销售；配电开关控制设备研发；太阳能热发电产品销售；机械电气设备制造；电气设备修理；助动车制造；电机及其控制系统研发；机床功能部件及附件销售；风力发电机组及零部件销售；轴承、齿轮和传动部件销售；风电场相关装备销售；陆上风力发电机组销售；先进电力电子装置销售；机械电气设备销售；技术服务、技术开发、技术咨询、技术交流、技术转让、技术推广；电工器材销售；微特电机及组件销售；新能源汽车电附件销售；电动机制造。（除依法须经批准的项目外，凭营业执照依法自主开展经营活动）</t>
  </si>
  <si>
    <t>天津市直流电机厂</t>
  </si>
  <si>
    <t>1958-01-01</t>
  </si>
  <si>
    <t>西青区杨柳青镇一经路北头</t>
  </si>
  <si>
    <t>120111103810276</t>
  </si>
  <si>
    <t>电动机制造、发电机制造（s1交流单项发电机）。</t>
  </si>
  <si>
    <t>天津市奥圣康工贸有限公司</t>
  </si>
  <si>
    <t>吊销（2005-10-14）</t>
  </si>
  <si>
    <t>2001-12-05</t>
  </si>
  <si>
    <t>天津市南开区兴盛里2号楼2门601-603室</t>
  </si>
  <si>
    <t>加工、制造:电机、空压机、通风机、水泵;零售兼批发:水泵、通风机、排风扇。（国家有专营专项规定的,按专营专项规定办理）</t>
  </si>
  <si>
    <t>天津市敦煌电风扇厂</t>
  </si>
  <si>
    <t>南开区滨水西道17号</t>
  </si>
  <si>
    <t>电风扇制造。（C-4012）三通防水灯头、吹风机、保险片、手提方便车、电热器具制造;场地出租、汽车货运。</t>
  </si>
  <si>
    <t>天津市南开区源动利机电设备维修经营中心</t>
  </si>
  <si>
    <t>2001-04-08</t>
  </si>
  <si>
    <t>92120104L268500571</t>
  </si>
  <si>
    <t>天津市南开区向阳路街芥园道李家园村南路6号</t>
  </si>
  <si>
    <t>维修:电机维修、机电修配;零售:机电配件。（国家有专项专营规定的按国家专项专营办理）</t>
  </si>
  <si>
    <t>天津市九州电机厂</t>
  </si>
  <si>
    <t>2001-04-16</t>
  </si>
  <si>
    <t>天津市河北区金沙江路18号</t>
  </si>
  <si>
    <t>电机、水泵、变压器制造、修理、销售。**经营范围中国家有专营专项规定的按专营专项规定办理</t>
  </si>
  <si>
    <t>天津市天北工贸实业公司</t>
  </si>
  <si>
    <t>（红）丁字沽新德道27号</t>
  </si>
  <si>
    <t>电机、泵、焊机、切割机制造、修理;机加工、塑料袋、罩热合加工;百货、针纺织品、日用杂品、五金、交电、化工（不含危险品）、木材、机械电器设备、金属材料、包装饮料、冷食。</t>
  </si>
  <si>
    <t>天津市普邦电机制造有限公司</t>
  </si>
  <si>
    <t>注销（2015-07-30）</t>
  </si>
  <si>
    <t>2011-11-02</t>
  </si>
  <si>
    <t>天津市武清区王庆坨镇西津同公路北侧</t>
  </si>
  <si>
    <t>电动自行车电机及其他电动自行车零配件、自行车及其零配件、电线电缆制造、加工、销售,电动自行车组装、销售。（以上经营范围涉及行业许可的凭许可证件,在有效期限内经营,国家有专项专营规定的按规定办理）</t>
  </si>
  <si>
    <t>天津市津西杨柳青电机配件厂</t>
  </si>
  <si>
    <t>1990-05-30</t>
  </si>
  <si>
    <t>911201111037922583</t>
  </si>
  <si>
    <t>西青区杨柳青镇十三街青沙路1号</t>
  </si>
  <si>
    <t>电动机配件加工、机加工。</t>
  </si>
  <si>
    <t>天津市科兴机电控制设备厂</t>
  </si>
  <si>
    <t>注销（2018-05-18）</t>
  </si>
  <si>
    <t>2002-11-11</t>
  </si>
  <si>
    <t>91120106744014480J</t>
  </si>
  <si>
    <t>红桥区咸阳路前园2号楼</t>
  </si>
  <si>
    <t>电机、调速装置、电气控制柜、变频柜加工、批发兼零售;电机、调速装置、电气控制柜、变频柜、仪表修理（不含计量器具）。（国家有专项专营规定的除外）</t>
  </si>
  <si>
    <t>天津市津微电机有限公司</t>
  </si>
  <si>
    <t>注销（2023-05-29）</t>
  </si>
  <si>
    <t>2003-04-22</t>
  </si>
  <si>
    <t>911201067491107114</t>
  </si>
  <si>
    <t>红桥区西青道128号</t>
  </si>
  <si>
    <t>电机及配件制造、加工、修理、批发兼零售；（电机、电机配件、电器）技术开发、转让、咨询（不含中介）、服务。（国家有专项专营规定的，按规定执行。）</t>
  </si>
  <si>
    <t>天津市达标异型电机有限公司</t>
  </si>
  <si>
    <t>注销（2017-03-24）</t>
  </si>
  <si>
    <t>2001-06-02</t>
  </si>
  <si>
    <t>911201117275266364</t>
  </si>
  <si>
    <t>西青区西青道235号</t>
  </si>
  <si>
    <t>电机制造;电机修理。（国家有专项、专营规定的除外）</t>
  </si>
  <si>
    <t>天津市欣鑫电机厂</t>
  </si>
  <si>
    <t>2003-04-23</t>
  </si>
  <si>
    <t>西青区杨柳青青沙路（新华道南）农业机械化技术学校内</t>
  </si>
  <si>
    <t>制造、加工:电动机、排风扇、水泵;加工:电机定转子。（以上经营范围国家有专项专营规定按规定执行）</t>
  </si>
  <si>
    <t>陈树楼,吴惟仁</t>
  </si>
  <si>
    <t>潘文彬,张承伟</t>
  </si>
  <si>
    <t>张承伟,潘文彬</t>
  </si>
  <si>
    <t>宋亮,潘文彬,王连珠</t>
  </si>
  <si>
    <t>潘文彬,宋亮</t>
  </si>
  <si>
    <t>潘文彬,吕彬</t>
  </si>
  <si>
    <t>常绍祥,柏建喜</t>
  </si>
  <si>
    <t>张承伟,吕斌</t>
  </si>
  <si>
    <t>潘文彬,李兴久</t>
  </si>
  <si>
    <t>潘文彬,王连珠</t>
  </si>
  <si>
    <t>宋亮,王丹</t>
  </si>
  <si>
    <t>潘洪民,龚萱</t>
  </si>
  <si>
    <t>潘洪民,徐树龙</t>
  </si>
  <si>
    <t>潘玟宇,王丹</t>
  </si>
  <si>
    <t>潘玟宇,李彧爱</t>
  </si>
  <si>
    <t>潘文彬,徐树龙</t>
  </si>
  <si>
    <t>潘文彬,李彧爱</t>
  </si>
  <si>
    <t>潘文彬,龚萱</t>
  </si>
  <si>
    <t>赵郁彬,孙丽萍</t>
  </si>
  <si>
    <t>赵郁彬,黄莹</t>
  </si>
  <si>
    <t>彭志旺,黄莹</t>
  </si>
  <si>
    <t>彭志旺,李磊</t>
  </si>
  <si>
    <t>赵郁彬,孙俪萍</t>
  </si>
  <si>
    <t>李兴久,李磊</t>
  </si>
  <si>
    <t>李兴久,冯振兴</t>
  </si>
  <si>
    <t>李兴久,孙俪萍</t>
  </si>
  <si>
    <t>栾继明,陈化国</t>
  </si>
  <si>
    <t>汪大立,韩恩贵,黄本治,沈兆武,孙金华,阎政斌,陈姝萍,胡陟冈,明润琴,李新民,李登良,朱建萍,张立</t>
  </si>
  <si>
    <t>淮南矿业学院,天津市车辆改装厂,公安部第三局</t>
  </si>
  <si>
    <t>韩恩贵,汪大立,黄本治,孙金华,沈兆武,胡陟冈,李登良,明润琴,朱建萍,李新民,陈姝萍,严正斌</t>
  </si>
  <si>
    <t>天津市车辆改装厂,淮南矿业学院,公安部第三局</t>
  </si>
  <si>
    <t>郭成平,王欢</t>
  </si>
  <si>
    <t>郭成平,王霖</t>
  </si>
  <si>
    <t>郭成平,蔡春洁</t>
  </si>
  <si>
    <t>郭成平,陶斌</t>
  </si>
  <si>
    <t>郭成平,赵桂彬</t>
  </si>
  <si>
    <t>郭成平,王宇</t>
  </si>
  <si>
    <t>郭成平,蔡春杰</t>
  </si>
  <si>
    <t>郭成平,任文娟</t>
  </si>
  <si>
    <t>郭成平,宫少杰</t>
  </si>
  <si>
    <t>郭成平,于海亮</t>
  </si>
  <si>
    <t>郭成平,田莉</t>
  </si>
  <si>
    <t>郭成平,宛立军</t>
  </si>
  <si>
    <t>郭成平,于洋</t>
  </si>
  <si>
    <t>郭成平,孙金环</t>
  </si>
  <si>
    <t>郭成平,邓宏</t>
  </si>
  <si>
    <t>王宪成,蔡春洁,宛利军</t>
  </si>
  <si>
    <t>郭成平,孟凡华</t>
  </si>
  <si>
    <t>郭成平,孟建惠</t>
  </si>
  <si>
    <t>郭成平,王亭亮</t>
  </si>
  <si>
    <t>郭成平,孙守堂</t>
  </si>
  <si>
    <t>郭成平,王磊</t>
  </si>
  <si>
    <t>郭成平,宛利军</t>
  </si>
  <si>
    <t>郭成平,王宪成</t>
  </si>
  <si>
    <t>郭成平,金文靖</t>
  </si>
  <si>
    <t>郭成平,于京鹭</t>
  </si>
  <si>
    <t>郭成平,张海丽</t>
  </si>
  <si>
    <t>郭成平,刘士伟,陶斌</t>
  </si>
  <si>
    <t>郭成平,任杰,王霖</t>
  </si>
  <si>
    <t>穆怀星,任文娟</t>
  </si>
  <si>
    <t>穆怀星,杨海龙</t>
  </si>
  <si>
    <t>穆怀星,于海亮</t>
  </si>
  <si>
    <t>穆怀星,徐志刚</t>
  </si>
  <si>
    <t>穆怀星,王亭亮</t>
  </si>
  <si>
    <t>郭成平,宋文瑞</t>
  </si>
  <si>
    <t>穆怀星,宋永强</t>
  </si>
  <si>
    <t>穆怀星,于春阳</t>
  </si>
  <si>
    <t>穆怀星,乔阳阳</t>
  </si>
  <si>
    <t>穆怀星,于京鹭</t>
  </si>
  <si>
    <t>穆怀星,王霖</t>
  </si>
  <si>
    <t>郭成平,徐志刚</t>
  </si>
  <si>
    <t>穆怀星,殷曼雄</t>
  </si>
  <si>
    <t>郭成平,任杰</t>
  </si>
  <si>
    <t>穆怀星,张珊珊</t>
  </si>
  <si>
    <t>穆怀星,宋文瑞</t>
  </si>
  <si>
    <t>穆怀星,刘甜</t>
  </si>
  <si>
    <t>穆怀星,郁霞</t>
  </si>
  <si>
    <t>谷东来,武康</t>
  </si>
  <si>
    <t>张越鹏,孟宪柱</t>
  </si>
  <si>
    <t>武康,焦雷魁</t>
  </si>
  <si>
    <t>武康,谷东来</t>
  </si>
  <si>
    <t>赫遥,焦雷魁</t>
  </si>
  <si>
    <t>赫遥,谷东来</t>
  </si>
  <si>
    <t>王建军,郝素兰,李钦生</t>
  </si>
  <si>
    <t>吴越,李瑾,刘飞腾,杨景雨,韩文超,张晓雯</t>
  </si>
  <si>
    <t>张天赐,王拓,全轶智,徐晨,毛颖龙,张祥泷,祁森,朱海龙</t>
  </si>
  <si>
    <t>张国政,荆奥迪</t>
  </si>
  <si>
    <t>张越鹏,谷东来</t>
  </si>
  <si>
    <t>孟宪柱,李永坤</t>
  </si>
  <si>
    <t>孟宪柱,谷东来</t>
  </si>
  <si>
    <t>焦雷魁,李永坤</t>
  </si>
  <si>
    <t>李永坤,焦雷魁</t>
  </si>
  <si>
    <t>谷东来,焦雷魁</t>
  </si>
  <si>
    <t>焦雷魁,张越鹏</t>
  </si>
  <si>
    <t>谷东来,李永坤</t>
  </si>
  <si>
    <t>张越鹏,焦雷魁,苏越</t>
  </si>
  <si>
    <t>陈超,高国兴,苏越</t>
  </si>
  <si>
    <t>陆成帅,赵汉望</t>
  </si>
  <si>
    <t>叶进东,郝玉亮,张连彬,李江,毕大传,单鹏</t>
  </si>
  <si>
    <t>李兵伟,赵汉望</t>
  </si>
  <si>
    <t>陈东青,贾志远,张云海</t>
  </si>
  <si>
    <t>徐大伟,杜宝伍,胡鹏浩</t>
  </si>
  <si>
    <t>贾海旭,吴巍,陈东青</t>
  </si>
  <si>
    <t>王涛,杜宝伍,胡鹏浩</t>
  </si>
  <si>
    <t>陈东青,王涛,吴巍</t>
  </si>
  <si>
    <t>张康,陈东青,段超丰</t>
  </si>
  <si>
    <t>陈东青,蒋伟,张彦飞,苗冬青</t>
  </si>
  <si>
    <t>周鹏飞,赵庚,曹海波,陆井鑫,丁学云</t>
  </si>
  <si>
    <t>贾海旭,王诗节,李光,杨凯,雷龙</t>
  </si>
  <si>
    <t>陈东青,齐书权,王磊,雷龙,莫永为</t>
  </si>
  <si>
    <t>陈东青,张彦飞,马传军,吴文龙,赵欣</t>
  </si>
  <si>
    <t>徐大伟,王嗣杰,张宏伟,李坚,冯志彬</t>
  </si>
  <si>
    <t>王涛,盖瑞波,冯景辰,冯鹤飞,孙本彦</t>
  </si>
  <si>
    <t>周鹏飞,张子豪,胡凯峰,胡鹏浩,景磊</t>
  </si>
  <si>
    <t>解秋阳,李芝祥,王建鹏,李福霞,杨涛涛</t>
  </si>
  <si>
    <t>刘立涛,张彦飞,刘春利</t>
  </si>
  <si>
    <t>赵欣,张彦飞,邵君国,彭基玉</t>
  </si>
  <si>
    <t>刘文军,孙宏,刘吉,贾志远,程声飞,郑赫男</t>
  </si>
  <si>
    <t>郑旭东,李洪健,张辰,于磊</t>
  </si>
  <si>
    <t>于磊,李洪健,张辰,郑旭东</t>
  </si>
  <si>
    <t>肖有,李洪健,张辰</t>
  </si>
  <si>
    <t>任广新,程大明,宋鹏,贾海鹏</t>
  </si>
  <si>
    <t>郑旭东,张辰,于磊,李洪健</t>
  </si>
  <si>
    <t>赵晨,李洪健,王士玉</t>
  </si>
  <si>
    <t>张辰,郑旭东</t>
  </si>
  <si>
    <t>张宗智,李洪健</t>
  </si>
  <si>
    <t>程大明,李海涛,任广新,宋鹏,贾海鹏,魏炳川</t>
  </si>
  <si>
    <t>宋鹏,程大明</t>
  </si>
  <si>
    <t>张宗智,李洪健,张辰,张同雯,陈宁,赵晨</t>
  </si>
  <si>
    <t>于磊,程大明,张辰</t>
  </si>
  <si>
    <t>张辰,程大明</t>
  </si>
  <si>
    <t>魏炳川,王小江,皮廷勇</t>
  </si>
  <si>
    <t>程大明,赵天亮,许钦恒,宋鹏,任广新</t>
  </si>
  <si>
    <t>王艳洁,程大明,李海涛</t>
  </si>
  <si>
    <t>程大明,李海涛,张辰,贾海鹏</t>
  </si>
  <si>
    <t>刘亚娜,程大明,李海涛</t>
  </si>
  <si>
    <t>宋鹏,程大明,任广新</t>
  </si>
  <si>
    <t>丁禹丰,余立超</t>
  </si>
  <si>
    <t>程大明,赵天亮,贾海鹏,宋鹏,任广新</t>
  </si>
  <si>
    <t>宋鹏,赵天亮,程大明,任广新,贾海鹏</t>
  </si>
  <si>
    <t>王小江,魏炳川,皮廷勇</t>
  </si>
  <si>
    <t>程大明,赵天亮,王鹏,郑伏雨,宋鹏,任广新</t>
  </si>
  <si>
    <t>王士玉,李孟姣,杨军,刘蕊</t>
  </si>
  <si>
    <t>曹晖,林柱,鲁岳闽,彭颖昊,福原康太</t>
  </si>
  <si>
    <t>李洪健,王璇宇</t>
  </si>
  <si>
    <t>王士玉,孙行行,李孟姣,范正品</t>
  </si>
  <si>
    <t>赵天亮,刘亚娜,高永强,许钦恒</t>
  </si>
  <si>
    <t>王瑞宁,潘生,简少华,葛鑫,唐建凯,赵丰</t>
  </si>
  <si>
    <t>凌亮,胡晓峰,唐建凯,杜超宇,简少华,王金贵</t>
  </si>
  <si>
    <t>胡晓峰,凌亮,任稳弟,简少华,郭松柏,刘西安</t>
  </si>
  <si>
    <t>许钦恒,高永强,刘志雄,刘亚娜</t>
  </si>
  <si>
    <t>简少华,高剑,袁从来,闵庆华,郭松柏,胡踏青</t>
  </si>
  <si>
    <t>简少华,胡踏青,胡晓峰,魏炳川,钟浩,刘西安</t>
  </si>
  <si>
    <t>赵丰,胡踏青,王金贵,魏炳川</t>
  </si>
  <si>
    <t>唐自清,赵天亮,程大明</t>
  </si>
  <si>
    <t>高永强,李洪健,王鹏</t>
  </si>
  <si>
    <t>王瑞宁,胡晓峰,王金贵,凌亮,刘西安,简少华</t>
  </si>
  <si>
    <t>刘亚娜,宋鹏,高永强</t>
  </si>
  <si>
    <t>简少华,杜超宇,唐建凯,任稳弟,张彬,凌亮</t>
  </si>
  <si>
    <t>王士玉,林军,李想,范正品</t>
  </si>
  <si>
    <t>张德智,林军</t>
  </si>
  <si>
    <t>王金贵,凌亮</t>
  </si>
  <si>
    <t>林军,高永强,严忠远</t>
  </si>
  <si>
    <t>钟浩,李腾飞</t>
  </si>
  <si>
    <t>王旋宇,李杨,林军,孙延涛</t>
  </si>
  <si>
    <t>杨道可,李杨,陈祥营</t>
  </si>
  <si>
    <t>林军,高永强,赵天亮</t>
  </si>
  <si>
    <t>袁从来,郭松柏</t>
  </si>
  <si>
    <t>杨振豹,郭松柏</t>
  </si>
  <si>
    <t>张彬,陈祥营,汤虎</t>
  </si>
  <si>
    <t>王士玉,林军,吴跃明,孙行行</t>
  </si>
  <si>
    <t>陈祥营,郭德望</t>
  </si>
  <si>
    <t>李孟姣,林军,王士玉</t>
  </si>
  <si>
    <t>王士玉,林军,王冠东</t>
  </si>
  <si>
    <t>周游,郭松柏,王彪</t>
  </si>
  <si>
    <t>林军,李杨,郭汉卿</t>
  </si>
  <si>
    <t>林军,赖剑友,李杨</t>
  </si>
  <si>
    <t>李想,王士玉</t>
  </si>
  <si>
    <t>郭汉卿,林军</t>
  </si>
  <si>
    <t>王士玉,李想,张波</t>
  </si>
  <si>
    <t>陈祥营,胡晓峰,王金贵</t>
  </si>
  <si>
    <t>何大鹏,袁义波,裴元辰</t>
  </si>
  <si>
    <t>薛非,姚志博,张旭,林强,傅彬</t>
  </si>
  <si>
    <t>夏苏鑫,韩玉如</t>
  </si>
  <si>
    <t>曹宏哲,张旭,叶彬,李红宝,胡彬,袁义波,傅彬,林强,薛非</t>
  </si>
  <si>
    <t>赵磊,龙帆,李洋,汤贵秋</t>
  </si>
  <si>
    <t>肖俊强,汪冰峰,张楠,高燕</t>
  </si>
  <si>
    <t>杜卓越,李东东,李利辉,张增尧,金磊</t>
  </si>
  <si>
    <t>李东东,杜卓越,李利辉,金磊,张增尧</t>
  </si>
  <si>
    <t>李利辉,张增尧,金磊,李东东,杜卓越</t>
  </si>
  <si>
    <t>张增尧,金磊,李东东,杜卓越,李利辉</t>
  </si>
  <si>
    <t>李利辉,杜卓越</t>
  </si>
  <si>
    <t>魏玉燕,魏芙蓉,杨小燕</t>
  </si>
  <si>
    <t>乔伟媛,刘卫星</t>
  </si>
  <si>
    <t>多灵溪,宋洋</t>
  </si>
  <si>
    <t>郭伟,曹毅</t>
  </si>
  <si>
    <t>郝顺卿,刘卫星</t>
  </si>
  <si>
    <t>于扬,宋洋</t>
  </si>
  <si>
    <t>宋洋,于扬</t>
  </si>
  <si>
    <t>李淑苹,于扬</t>
  </si>
  <si>
    <t>李红利,李旻</t>
  </si>
  <si>
    <t>真弓福夫,阿部裕之,费勤军,西野睦,宫坂一成</t>
  </si>
  <si>
    <t>丰田纺织(中国)有限公司,利富高(天津)精密树脂制品有限公司</t>
  </si>
  <si>
    <t>王玉哲,邢强,刘博,潘琪,周磊,李威</t>
  </si>
  <si>
    <t>潘琪,李志军,耿学松</t>
  </si>
  <si>
    <t>刘润霖,李威,潘琪</t>
  </si>
  <si>
    <t>纪金鑫,潘琪</t>
  </si>
  <si>
    <t>潘学武,许亮亮</t>
  </si>
  <si>
    <t>刘磊,黄暄瑞</t>
  </si>
  <si>
    <t>车大伟,李明</t>
  </si>
  <si>
    <t>张永臣,李培璘</t>
  </si>
  <si>
    <t>黄暄瑞,刘磊</t>
  </si>
  <si>
    <t>李立振,胡学军</t>
  </si>
  <si>
    <t>韩鑫磊,牛兴民</t>
  </si>
  <si>
    <t>李立刚,程循祥</t>
  </si>
  <si>
    <t>岳国庆,杨福昌</t>
  </si>
  <si>
    <t>李立刚,李培璘</t>
  </si>
  <si>
    <t>大桥达雄,佐藤勉,稻波学</t>
  </si>
  <si>
    <t>天津三甲中野塑料制品有限公司,天津丰田合成有限公司,天津志津精工有限公司</t>
  </si>
  <si>
    <t>天津志津精工有限公司,天津丰田合成有限公司,天津三甲中野塑料制品有限公司</t>
  </si>
  <si>
    <t>陈迪,宋成顺</t>
  </si>
  <si>
    <t>肖彩红,杨成</t>
  </si>
  <si>
    <t>刘桂艳,王永成</t>
  </si>
  <si>
    <t>闫喜双,许恩勇</t>
  </si>
  <si>
    <t>陈维刚,薛涛</t>
  </si>
  <si>
    <t>李浩,段平山</t>
  </si>
  <si>
    <t>何秉明,赵凌强</t>
  </si>
  <si>
    <t>马腾,杨东</t>
  </si>
  <si>
    <t>王春超,肖彩红</t>
  </si>
  <si>
    <t>缪丽如,肖彩红</t>
  </si>
  <si>
    <t>马腾,肖彩红</t>
  </si>
  <si>
    <t>冯晓华,肖彩红</t>
  </si>
  <si>
    <t>杨成,肖彩红</t>
  </si>
  <si>
    <t>晁辉,焦素芬</t>
  </si>
  <si>
    <t>苑久润,杨荣田</t>
  </si>
  <si>
    <t>崔文连,姚远,庄儒国,吕剑</t>
  </si>
  <si>
    <t>崔洪金,叶立祯,王树全,杨婉丽</t>
  </si>
  <si>
    <t>付善昌,孙策,田学文</t>
  </si>
  <si>
    <t>徐守凤,陈学帅,孙涛,黄贺</t>
  </si>
  <si>
    <t>郑宏良,付善昌,韩岳</t>
  </si>
  <si>
    <t>李慧,汪英博,付善昌,王建淼</t>
  </si>
  <si>
    <t>侯晓琳,张宁宁,孙锋</t>
  </si>
  <si>
    <t>李慧,付善昌</t>
  </si>
  <si>
    <t>付善昌,郭永祥,刘坤龙</t>
  </si>
  <si>
    <t>付善昌,王洪刚,刘莉莉</t>
  </si>
  <si>
    <t>付善昌,王建淼</t>
  </si>
  <si>
    <t>付善昌,郑宏良,孟玉西</t>
  </si>
  <si>
    <t>陈靖波,郑宏良,刘莉莉</t>
  </si>
  <si>
    <t>付善昌,郭永祥,韩伟</t>
  </si>
  <si>
    <t>陈靖波,郑宏良,张显峰</t>
  </si>
  <si>
    <t>陈靖波,付善昌,刘莉莉</t>
  </si>
  <si>
    <t>付善昌,刘莉莉,王建淼</t>
  </si>
  <si>
    <t>付善昌,刘莉莉,刘坤龙</t>
  </si>
  <si>
    <t>陈靖波,付善昌,李慧</t>
  </si>
  <si>
    <t>田永生,董文光,刘向东,李政山</t>
  </si>
  <si>
    <t>田永生,刘向东,董文光,李政山,石博</t>
  </si>
  <si>
    <t>刘向东,李政山,高秀荣,张百平,董文光</t>
  </si>
  <si>
    <t>高秀荣,田永生,董文光,刘向东,石博</t>
  </si>
  <si>
    <t>张百平,李政山,刘向东,石博,高秀荣</t>
  </si>
  <si>
    <t>李政山,田永生,董文光,张百平</t>
  </si>
  <si>
    <t>刘向东,石博,李政山,董文光,田永生</t>
  </si>
  <si>
    <t>石博,李政山,董文光,田永生,刘向东</t>
  </si>
  <si>
    <t>田永生,刘向东,董文光,石德泉,李政山</t>
  </si>
  <si>
    <t>田永生,刘向东,董文光,石德泉,李政山,穆牧之</t>
  </si>
  <si>
    <t>王学龙,蒋鑫明,彭霜霜</t>
  </si>
  <si>
    <t>王学龙,蒋鑫明,王学来</t>
  </si>
  <si>
    <t>王学龙,蒋鑫明,王学霞</t>
  </si>
  <si>
    <t>王学龙,蒋鑫明,杨国强</t>
  </si>
  <si>
    <t>王学龙,蒋鑫明,李忠</t>
  </si>
  <si>
    <t>王学龙,李忠,刘垒</t>
  </si>
  <si>
    <t>蒋鑫明,刘垒</t>
  </si>
  <si>
    <t>王学龙,蒋鑫明</t>
  </si>
  <si>
    <t>王学龙,刘垒</t>
  </si>
  <si>
    <t>徐洪兵,孙建军</t>
  </si>
  <si>
    <t>李兰兰,尹宝茹,董军,崔文辉,陈小庆,韩延明,赵立新</t>
  </si>
  <si>
    <t>樊玉新,庄秀凤</t>
  </si>
  <si>
    <t>樊玉新,庄秀凤,桑国阳,姜家安</t>
  </si>
  <si>
    <t>樊玉新,付中华</t>
  </si>
  <si>
    <t>樊玉新,姜家安,庄秀凤,桑国阳</t>
  </si>
  <si>
    <t>廖小华,刘建林,郑崇</t>
  </si>
  <si>
    <t>刘建林,郑崇,廖小华</t>
  </si>
  <si>
    <t>郑崇,刘建林,廖小华</t>
  </si>
  <si>
    <t>李闻,毛鑫,吴海涛</t>
  </si>
  <si>
    <t>李闻,郑新义,张凯</t>
  </si>
  <si>
    <t>李闻,郑新义,王建烨</t>
  </si>
  <si>
    <t>李闻,毛鑫,王英会</t>
  </si>
  <si>
    <t>李闻,毛鑫,王善毅</t>
  </si>
  <si>
    <t>李闻,李占伦,贠良</t>
  </si>
  <si>
    <t>李闻,李占伦,张璟晨</t>
  </si>
  <si>
    <t>高学平,高超,赵庆兰</t>
  </si>
  <si>
    <t>宋春青,高学平,赵庆兰</t>
  </si>
  <si>
    <t>高超,宋丽芳,高学平</t>
  </si>
  <si>
    <t>高超,宋丽芳,宋春青</t>
  </si>
  <si>
    <t>王巍,王岁</t>
  </si>
  <si>
    <t>邓集杰,王岁,王巍,邢尧,马楠,王宁,陈杰鸿,关朝阳,翟瑞杭</t>
  </si>
  <si>
    <t>王巍,马楠,邢尧</t>
  </si>
  <si>
    <t>王巍,陈杰鸿,王岁</t>
  </si>
  <si>
    <t>王巍,邢尧,马楠</t>
  </si>
  <si>
    <t>王巍,邢尧,王岁</t>
  </si>
  <si>
    <t>王巍,邢尧,王岁,陈杰鸿,马楠</t>
  </si>
  <si>
    <t>王巍,王一鸣,王岁,张皇,邓集杰,陈杰鸿,邢尧</t>
  </si>
  <si>
    <t>王巍,邓集杰,王岁,张皇,陈杰鸿,邢尧,王一鸣</t>
  </si>
  <si>
    <t>王巍,邓集杰,陈杰鸿,王岁,王一鸣,张皇,邢尧</t>
  </si>
  <si>
    <t>王巍,邢尧,邓集杰,王岁,张皇,陈杰鸿</t>
  </si>
  <si>
    <t>王巍,陈杰鸿,王一鸣,王岁,邓集杰,张皇,邢尧</t>
  </si>
  <si>
    <t>王巍,王岁,王一鸣,陈杰鸿,邓集杰,张皇,邢尧</t>
  </si>
  <si>
    <t>王巍,邓集杰,张皇,陈杰鸿,王岁,王一鸣,邢尧</t>
  </si>
  <si>
    <t>苑金全,苑程程</t>
  </si>
  <si>
    <t>李海军,杨建立,张淼</t>
  </si>
  <si>
    <t>李树泉,丁霜,解佳冬</t>
  </si>
  <si>
    <t>张群生,郭建深,李书永,申晓静,李国庆</t>
  </si>
  <si>
    <t>张群生,郭建深,李书永,李弈龙</t>
  </si>
  <si>
    <t>张群生,郭建深,李书永,李弈龙,申晓静,李伟</t>
  </si>
  <si>
    <t>张群生,游佐和彦</t>
  </si>
  <si>
    <t>张群生,安小光,郭建深,李书永,李弈龙,刘亚湘</t>
  </si>
  <si>
    <t>张群生,安小光,郭建深,李书永,刘亚湘</t>
  </si>
  <si>
    <t>王羽豪,王巍</t>
  </si>
  <si>
    <t>王巍,张晶,王羽豪</t>
  </si>
  <si>
    <t>王巍,刘军</t>
  </si>
  <si>
    <t>王巍,张晶,赵丽蕴</t>
  </si>
  <si>
    <t>王巍,赵丽蕴,张晶</t>
  </si>
  <si>
    <t>赵丽蕴,王巍,张晶</t>
  </si>
  <si>
    <t>王巍,刘军,董玉凤</t>
  </si>
  <si>
    <t>王巍,董玉凤,赵立蕴,杜旭东,刘军</t>
  </si>
  <si>
    <t>胡践初,冯宗磊,方海斌,李文雄</t>
  </si>
  <si>
    <t>胡燕青,赵军,冯宗磊</t>
  </si>
  <si>
    <t>汪进南,李文雄,冯宗磊,方海斌,赵军</t>
  </si>
  <si>
    <t>岳跃安,林立玉,贾祥明,王继强,杨玉娟,李维建</t>
  </si>
  <si>
    <t>李文杰,王金腾,刘经发</t>
  </si>
  <si>
    <t>杭春华,单虹,单荣</t>
  </si>
  <si>
    <t>胡茜乔,胡树斌</t>
  </si>
  <si>
    <t>陈德宜,何飞,任振强</t>
  </si>
  <si>
    <t>刘香,刘金强</t>
  </si>
  <si>
    <t>李保国,崔占君,李振博</t>
  </si>
  <si>
    <t>陈鸿,李保华</t>
  </si>
  <si>
    <t>李保华,崔占君</t>
  </si>
  <si>
    <t>郑宏良,付善昌</t>
  </si>
  <si>
    <t>陈靖波,汪英博,越云州</t>
  </si>
  <si>
    <t>田学文,刘莉莉,越云州</t>
  </si>
  <si>
    <t>刘莉莉,韩伟,付善昌</t>
  </si>
  <si>
    <t>郑宏良,陈学帅,付善昌</t>
  </si>
  <si>
    <t>汪英博,付善昌,越云州</t>
  </si>
  <si>
    <t>陈靖波,田学文,刘莉莉</t>
  </si>
  <si>
    <t>代璧辉,付善昌,孟玉西</t>
  </si>
  <si>
    <t>陈靖波,郑宏良,许高进,宁永明,陈学帅,陈德红</t>
  </si>
  <si>
    <t>陈靖波,郑宏良,侯晓琳,刘莉莉</t>
  </si>
  <si>
    <t>陈靖波,陈德红,汪英博,刘建民</t>
  </si>
  <si>
    <t>陈靖波,孟玉西,刘莉莉,刘永志</t>
  </si>
  <si>
    <t>陈靖波,郑宏良,孟玉西,刘建民</t>
  </si>
  <si>
    <t>陈靖波,付善昌,刘莉莉,陈学帅</t>
  </si>
  <si>
    <t>陈靖波,付善昌,刘莉莉,刘永志</t>
  </si>
  <si>
    <t>陈靖波,郑宏良,刘莉莉,田学文</t>
  </si>
  <si>
    <t>吴建稳,许向鹏</t>
  </si>
  <si>
    <t>李吉祥,刘玲</t>
  </si>
  <si>
    <t>李吉祥,刘玲,王天生,李国浩</t>
  </si>
  <si>
    <t>李吉祥,王天生,李国浩,刘玲</t>
  </si>
  <si>
    <t>张钧,白文强</t>
  </si>
  <si>
    <t>王文春,段立强,李志佳</t>
  </si>
  <si>
    <t>王同义,李凯,段立强,王文春</t>
  </si>
  <si>
    <t>王同义,杜辰,段立强,吴琛,王文春</t>
  </si>
  <si>
    <t>王同义,杜辰,段立强</t>
  </si>
  <si>
    <t>王同义,杜辰,李凯</t>
  </si>
  <si>
    <t>王同义,王文春,杜辰</t>
  </si>
  <si>
    <t>王同义,李凯,段立强</t>
  </si>
  <si>
    <t>王同义,杜辰,吴琛</t>
  </si>
  <si>
    <t>王同义,吴琛,王文春</t>
  </si>
  <si>
    <t>王同义,段立强,杜辰</t>
  </si>
  <si>
    <t>王同义,段立强,李志佳</t>
  </si>
  <si>
    <t>杜辰,吴琛,段立强,刘青</t>
  </si>
  <si>
    <t>王同义,段立强</t>
  </si>
  <si>
    <t>朱杰,于建生</t>
  </si>
  <si>
    <t>王立强,国存青,柴绪学</t>
  </si>
  <si>
    <t>王立强,陈光辉,刘一雄</t>
  </si>
  <si>
    <t>王立强,陈光辉,戴帅帅</t>
  </si>
  <si>
    <t>王立强,柴绪学,戴帅帅</t>
  </si>
  <si>
    <t>程流建,李帮</t>
  </si>
  <si>
    <t>万勇,朱志华,柴绪学</t>
  </si>
  <si>
    <t>万勇,朱志华</t>
  </si>
  <si>
    <t>朱志华,李帮</t>
  </si>
  <si>
    <t>朱志华,万勇,柴绪学,梁天兴</t>
  </si>
  <si>
    <t>朱志华,徐娜,万勇</t>
  </si>
  <si>
    <t>刘勇,刘占福</t>
  </si>
  <si>
    <t>董学震,王美欣,邓乔予</t>
  </si>
  <si>
    <t>董学震,王美欣</t>
  </si>
  <si>
    <t>董姝言,邓春卉,王美欣,董学震</t>
  </si>
  <si>
    <t>董姝言,邓春卉,董学震</t>
  </si>
  <si>
    <t>邓春卉,董学震,王美欣,董玉红</t>
  </si>
  <si>
    <t>董学震,邓春卉,王美欣,董玉红</t>
  </si>
  <si>
    <t>董学震,王美欣,邓春卉,董玉红</t>
  </si>
  <si>
    <t>董姝言,邓春卉,董学震,王美欣</t>
  </si>
  <si>
    <t>赵国强,吴一凡,李天庆</t>
  </si>
  <si>
    <t>张广华,王凤祥,崔宝庭</t>
  </si>
  <si>
    <t>王明财,卢箫楠,张健</t>
  </si>
  <si>
    <t>吕国铭,刘松涛</t>
  </si>
  <si>
    <t>刘东晔,韩学山</t>
  </si>
  <si>
    <t>杜元生,刘明源</t>
  </si>
  <si>
    <t>贺大伟,李鹏喜,赵光宁,孙少杰</t>
  </si>
  <si>
    <t>贺大伟,李鹏喜,孙少杰</t>
  </si>
  <si>
    <t>王树义,王建军,孔宪国</t>
  </si>
  <si>
    <t>天津市交通局科学技术研究所,天津市活塞厂</t>
  </si>
  <si>
    <t>毛忠生,李锦</t>
  </si>
  <si>
    <t>毛忠生,朱庆奇,李锦</t>
  </si>
  <si>
    <t>毛忠生,谢克洁,郭志刚,顾桂琴,霍凤茹</t>
  </si>
  <si>
    <t>李建国,张志强,李照兴</t>
  </si>
  <si>
    <t>郭晋,苏瑞霖</t>
  </si>
  <si>
    <t>张强,周世俊</t>
  </si>
  <si>
    <t>朱静,郭嘉,许贵臣</t>
  </si>
  <si>
    <t>苗立元,朱宝清</t>
  </si>
  <si>
    <t>刘杰,郭嘉,许贵臣</t>
  </si>
  <si>
    <t>崔永星,戚志武,都金钟</t>
  </si>
  <si>
    <t>许贵臣,刘杰,朱静</t>
  </si>
  <si>
    <t>郭嘉,刘杰,朱静</t>
  </si>
  <si>
    <t>刘杰,苗立元,边志文,章志国</t>
  </si>
  <si>
    <t>朱宝清,苗喜元,陈炳旭,边志文</t>
  </si>
  <si>
    <t>苗喜元,苗立元,边志文,朱宝清</t>
  </si>
  <si>
    <t>王润均,章志国,苗立元,边志文</t>
  </si>
  <si>
    <t>苗喜元,苗立元,边志文,刘杰</t>
  </si>
  <si>
    <t>沈振刚,董柱祥</t>
  </si>
  <si>
    <t>李春艳,潘立国,刘洪梅,国宝春</t>
  </si>
  <si>
    <t>刘洪梅,潘立国,李春艳,国宝春</t>
  </si>
  <si>
    <t>潘立国,李春艳,刘洪梅,国宝春</t>
  </si>
  <si>
    <t>李春艳,张秉松,王广恩,刘洪梅</t>
  </si>
  <si>
    <t>刘洪梅,王广恩,赵伯寒,张秉松,李春艳</t>
  </si>
  <si>
    <t>张秉松,李春艳,王广恩,赵伯寒,刘洪梅</t>
  </si>
  <si>
    <t>王广恩,李春艳,赵伯寒,刘洪梅,张秉松</t>
  </si>
  <si>
    <t>李春艳,刘洪梅,张秉松,赵伯寒,王广恩</t>
  </si>
  <si>
    <t>刘洪梅,张秉松,李春艳,王广恩,赵伯寒,于芳,宋微微</t>
  </si>
  <si>
    <t>李春艳,王广恩,刘洪梅,张秉松,于芳,赵伯寒,宋微微</t>
  </si>
  <si>
    <t>王广恩,张秉松,李春艳,刘洪梅,于芳,宋微微,赵伯寒</t>
  </si>
  <si>
    <t>于芳,刘洪梅,李春艳,张秉松,王广恩,赵伯寒,宋微微</t>
  </si>
  <si>
    <t>刘洪梅,张秉松,李春艳,赵伯寒,于芳</t>
  </si>
  <si>
    <t>于芳,张秉松,王广恩,赵伯寒</t>
  </si>
  <si>
    <t>李春艳,张秉松,王广恩,赵伯寒</t>
  </si>
  <si>
    <t>刘洪梅,张秉松,赵伯寒,于芳</t>
  </si>
  <si>
    <t>于芳,刘洪梅,张秉松,王广恩</t>
  </si>
  <si>
    <t>李春艳,宋微微,刘洪梅,张秉松,赵伯寒</t>
  </si>
  <si>
    <t>于芳,李春艳,张秉松,刘洪梅</t>
  </si>
  <si>
    <t>刘洪梅,张秉松,于芳,赵伯寒</t>
  </si>
  <si>
    <t>刘洪梅,张秉松,李春艳,于芳,王广恩</t>
  </si>
  <si>
    <t>刘洪梅,李春艳,张秉松,王广恩,于芳</t>
  </si>
  <si>
    <t>张秉松,刘洪梅,李春艳,王广恩,赵伯寒</t>
  </si>
  <si>
    <t>张秉松,刘洪梅,赵伯寒,王广恩</t>
  </si>
  <si>
    <t>张秉松,李春艳,刘洪梅,王广恩</t>
  </si>
  <si>
    <t>李春艳,张秉松,刘洪梅,王广恩,于芳</t>
  </si>
  <si>
    <t>于芳,王广恩,李春艳,张秉松</t>
  </si>
  <si>
    <t>张秉松,李春艳,王广恩,赵伯寒</t>
  </si>
  <si>
    <t>王广恩,张秉松,刘洪梅,李春艳,于芳,宋微微</t>
  </si>
  <si>
    <t>刘洪梅,李春艳,张秉松,王广恩,宋微微,赵伯寒</t>
  </si>
  <si>
    <t>李春艳,于芳,张秉松,刘洪梅,王广恩,杨志强</t>
  </si>
  <si>
    <t>张秉松,刘洪梅,王广恩,李春艳,杨志强,赵伯寒</t>
  </si>
  <si>
    <t>刘洪梅,李春艳,于芳,张秉松,王广恩,赵伯寒</t>
  </si>
  <si>
    <t>张秉松,王广恩,刘洪梅,李春艳,赵伯寒,杨志强</t>
  </si>
  <si>
    <t>张秉松,刘洪梅,李春艳,王广恩,杨志强</t>
  </si>
  <si>
    <t>李春艳,王广恩,刘洪梅,张秉松,于芳</t>
  </si>
  <si>
    <t>刘洪梅,王广恩,张秉松,李春艳,于芳</t>
  </si>
  <si>
    <t>张秉松,刘洪梅,李春艳,宋微微,王广恩,国宝春</t>
  </si>
  <si>
    <t>王广恩,李春艳,刘洪梅,张秉松,国宝春,宋微微</t>
  </si>
  <si>
    <t>刘洪梅,李春艳,张秉松,宋微微,王广恩,国宝春</t>
  </si>
  <si>
    <t>刘洪梅,李春艳,宋微微,张秉松,王广恩,国宝春</t>
  </si>
  <si>
    <t>李春艳,刘洪梅,张秉松,王广恩,国宝春,宋微微</t>
  </si>
  <si>
    <t>张秉松,李春艳,刘洪梅,宋微微,王广恩,国宝春</t>
  </si>
  <si>
    <t>李春艳,张秉松,刘洪梅,王广恩,宋微微,国宝春</t>
  </si>
  <si>
    <t>李春艳,刘洪梅,宋微微</t>
  </si>
  <si>
    <t>李春艳,刘洪梅,张秉松,王广恩,宋微微,国宝春</t>
  </si>
  <si>
    <t>潘立国,曹荣夏</t>
  </si>
  <si>
    <t>天津神川机电有限公司,上海振中机械制造有限公司</t>
  </si>
  <si>
    <t>王广恩,张秉松,刘洪梅,宋微微</t>
  </si>
  <si>
    <t>张秉松,王广恩,刘洪梅,宋微微</t>
  </si>
  <si>
    <t>张秉松,刘洪梅,李春艳,王广恩,宋微微,国宝春</t>
  </si>
  <si>
    <t>李春艳,王广恩,刘洪梅,张秉松,国宝春,宋微微</t>
  </si>
  <si>
    <t>刘洪梅,张秉松,王广恩,李春艳,宋微微,国宝春</t>
  </si>
  <si>
    <t>褚佳明,张秉松,毕志成,张春玉</t>
  </si>
  <si>
    <t>李春艳,刘红梅,张秉松,王广恩,褚佳明,宋微微,国宝春</t>
  </si>
  <si>
    <t>赵全祥,赵明洋</t>
  </si>
  <si>
    <t>赵世昌,赵全祥,张俊芳,罗寨玲</t>
  </si>
  <si>
    <t>刘明阳,周少华,朱秀云</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</si>
</sst>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
        <bgColor indexed="64"/>
      </patternFill>
    </fill>
    <fill>
      <patternFill patternType="solid">
        <fgColor theme="4" tint="0.5999938962981"/>
        <bgColor indexed="64"/>
      </patternFill>
    </fill>
    <fill>
      <patternFill patternType="solid">
        <fgColor theme="4" tint="0.39997558519242"/>
        <bgColor indexed="64"/>
      </patternFill>
    </fill>
    <fill>
      <patternFill patternType="solid">
        <fgColor theme="5"/>
        <bgColor indexed="64"/>
      </patternFill>
    </fill>
    <fill>
      <patternFill patternType="solid">
        <fgColor theme="5" tint="0.79998168889431"/>
        <bgColor indexed="64"/>
      </patternFill>
    </fill>
    <fill>
      <patternFill patternType="solid">
        <fgColor theme="5" tint="0.5999938962981"/>
        <bgColor indexed="64"/>
      </patternFill>
    </fill>
    <fill>
      <patternFill patternType="solid">
        <fgColor theme="5" tint="0.39997558519242"/>
        <bgColor indexed="64"/>
      </patternFill>
    </fill>
    <fill>
      <patternFill patternType="solid">
        <fgColor theme="6"/>
        <bgColor indexed="64"/>
      </patternFill>
    </fill>
    <fill>
      <patternFill patternType="solid">
        <fgColor theme="6" tint="0.79998168889431"/>
        <bgColor indexed="64"/>
      </patternFill>
    </fill>
    <fill>
      <patternFill patternType="solid">
        <fgColor theme="6" tint="0.5999938962981"/>
        <bgColor indexed="64"/>
      </patternFill>
    </fill>
    <fill>
      <patternFill patternType="solid">
        <fgColor theme="6" tint="0.39997558519242"/>
        <bgColor indexed="64"/>
      </patternFill>
    </fill>
    <fill>
      <patternFill patternType="solid">
        <fgColor theme="7"/>
        <bgColor indexed="64"/>
      </patternFill>
    </fill>
    <fill>
      <patternFill patternType="solid">
        <fgColor theme="7" tint="0.79998168889431"/>
        <bgColor indexed="64"/>
      </patternFill>
    </fill>
    <fill>
      <patternFill patternType="solid">
        <fgColor theme="7" tint="0.5999938962981"/>
        <bgColor indexed="64"/>
      </patternFill>
    </fill>
    <fill>
      <patternFill patternType="solid">
        <fgColor theme="7" tint="0.39997558519242"/>
        <bgColor indexed="64"/>
      </patternFill>
    </fill>
    <fill>
      <patternFill patternType="solid">
        <fgColor theme="8"/>
        <bgColor indexed="64"/>
      </patternFill>
    </fill>
    <fill>
      <patternFill patternType="solid">
        <fgColor theme="8" tint="0.79998168889431"/>
        <bgColor indexed="64"/>
      </patternFill>
    </fill>
    <fill>
      <patternFill patternType="solid">
        <fgColor theme="8" tint="0.5999938962981"/>
        <bgColor indexed="64"/>
      </patternFill>
    </fill>
    <fill>
      <patternFill patternType="solid">
        <fgColor theme="8" tint="0.39997558519242"/>
        <bgColor indexed="64"/>
      </patternFill>
    </fill>
    <fill>
      <patternFill patternType="solid">
        <fgColor theme="9"/>
        <bgColor indexed="64"/>
      </patternFill>
    </fill>
    <fill>
      <patternFill patternType="solid">
        <fgColor theme="9" tint="0.79998168889431"/>
        <bgColor indexed="64"/>
      </patternFill>
    </fill>
    <fill>
      <patternFill patternType="solid">
        <fgColor theme="9" tint="0.5999938962981"/>
        <bgColor indexed="64"/>
      </patternFill>
    </fill>
    <fill>
      <patternFill patternType="solid">
        <fgColor theme="9" tint="0.39997558519242"/>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1" fillId="0" borderId="0">
      <alignment vertical="center"/>
    </xf>
    <xf numFmtId="0" fontId="2" fillId="0" borderId="0">
      <alignment vertical="center"/>
    </xf>
    <xf numFmtId="0" fontId="0" fillId="2" borderId="1">
      <alignment vertical="center"/>
    </xf>
    <xf numFmtId="0" fontId="3" fillId="0" borderId="0">
      <alignment vertical="center"/>
    </xf>
    <xf numFmtId="0" fontId="4" fillId="0" borderId="0">
      <alignment vertical="center"/>
    </xf>
    <xf numFmtId="0" fontId="5" fillId="0" borderId="0">
      <alignment vertical="center"/>
    </xf>
    <xf numFmtId="0" fontId="6" fillId="0" borderId="2">
      <alignment vertical="center"/>
    </xf>
    <xf numFmtId="0" fontId="7" fillId="0" borderId="2">
      <alignment vertical="center"/>
    </xf>
    <xf numFmtId="0" fontId="8" fillId="0" borderId="3">
      <alignment vertical="center"/>
    </xf>
    <xf numFmtId="0" fontId="8" fillId="0" borderId="0">
      <alignment vertical="center"/>
    </xf>
    <xf numFmtId="0" fontId="9" fillId="3" borderId="4">
      <alignment vertical="center"/>
    </xf>
    <xf numFmtId="0" fontId="10" fillId="4" borderId="5">
      <alignment vertical="center"/>
    </xf>
    <xf numFmtId="0" fontId="11" fillId="4" borderId="4">
      <alignment vertical="center"/>
    </xf>
    <xf numFmtId="0" fontId="12" fillId="5" borderId="6">
      <alignment vertical="center"/>
    </xf>
    <xf numFmtId="0" fontId="13" fillId="0" borderId="7">
      <alignment vertical="center"/>
    </xf>
    <xf numFmtId="0" fontId="14" fillId="0" borderId="8">
      <alignment vertical="center"/>
    </xf>
    <xf numFmtId="0" fontId="15" fillId="6" borderId="0">
      <alignment vertical="center"/>
    </xf>
    <xf numFmtId="0" fontId="16" fillId="7" borderId="0">
      <alignment vertical="center"/>
    </xf>
    <xf numFmtId="0" fontId="17" fillId="8" borderId="0">
      <alignment vertical="center"/>
    </xf>
    <xf numFmtId="0" fontId="18" fillId="9" borderId="0">
      <alignment vertical="center"/>
    </xf>
    <xf numFmtId="0" fontId="19" fillId="10" borderId="0">
      <alignment vertical="center"/>
    </xf>
    <xf numFmtId="0" fontId="19" fillId="11" borderId="0">
      <alignment vertical="center"/>
    </xf>
    <xf numFmtId="0" fontId="18" fillId="12" borderId="0">
      <alignment vertical="center"/>
    </xf>
    <xf numFmtId="0" fontId="18" fillId="13" borderId="0">
      <alignment vertical="center"/>
    </xf>
    <xf numFmtId="0" fontId="19" fillId="14" borderId="0">
      <alignment vertical="center"/>
    </xf>
    <xf numFmtId="0" fontId="19" fillId="15" borderId="0">
      <alignment vertical="center"/>
    </xf>
    <xf numFmtId="0" fontId="18" fillId="16" borderId="0">
      <alignment vertical="center"/>
    </xf>
    <xf numFmtId="0" fontId="18" fillId="17" borderId="0">
      <alignment vertical="center"/>
    </xf>
    <xf numFmtId="0" fontId="19" fillId="18" borderId="0">
      <alignment vertical="center"/>
    </xf>
    <xf numFmtId="0" fontId="19" fillId="19" borderId="0">
      <alignment vertical="center"/>
    </xf>
    <xf numFmtId="0" fontId="18" fillId="20" borderId="0">
      <alignment vertical="center"/>
    </xf>
    <xf numFmtId="0" fontId="18" fillId="21" borderId="0">
      <alignment vertical="center"/>
    </xf>
    <xf numFmtId="0" fontId="19" fillId="22" borderId="0">
      <alignment vertical="center"/>
    </xf>
    <xf numFmtId="0" fontId="19" fillId="23" borderId="0">
      <alignment vertical="center"/>
    </xf>
    <xf numFmtId="0" fontId="18" fillId="24" borderId="0">
      <alignment vertical="center"/>
    </xf>
    <xf numFmtId="0" fontId="18" fillId="25" borderId="0">
      <alignment vertical="center"/>
    </xf>
    <xf numFmtId="0" fontId="19" fillId="26" borderId="0">
      <alignment vertical="center"/>
    </xf>
    <xf numFmtId="0" fontId="19" fillId="27" borderId="0">
      <alignment vertical="center"/>
    </xf>
    <xf numFmtId="0" fontId="18" fillId="28" borderId="0">
      <alignment vertical="center"/>
    </xf>
    <xf numFmtId="0" fontId="18" fillId="29" borderId="0">
      <alignment vertical="center"/>
    </xf>
    <xf numFmtId="0" fontId="19" fillId="30" borderId="0">
      <alignment vertical="center"/>
    </xf>
    <xf numFmtId="0" fontId="19" fillId="31" borderId="0">
      <alignment vertical="center"/>
    </xf>
    <xf numFmtId="0" fontId="18" fillId="32" borderId="0">
      <alignment vertical="center"/>
    </xf>
  </cellStyleXfs>
  <cellXfs count="4">
    <xf numFmtId="0" fontId="0" fillId="0" borderId="0" xfId="0" applyAlignment="1">
      <alignment vertical="center"/>
    </xf>
    <xf numFmtId="0" fontId="0" fillId="0" borderId="0" xfId="0" applyFill="1" applyAlignment="1">
      <alignment vertical="center"/>
    </xf>
    <xf numFmtId="1" fontId="0" fillId="0" borderId="0" xfId="0" applyNumberFormat="1" applyAlignment="1"/>
    <xf numFmtId="3" fontId="0" fillId="0" borderId="0" xfId="0" applyNumberFormat="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B6" sqref="B6"/>
    </sheetView>
  </sheetViews>
  <sheetFormatPr defaultColWidth="9" defaultRowHeight="14.4" outlineLevelRow="1" outlineLevelCol="5"/>
  <sheetData>
    <row r="1" spans="1:6">
      <c r="A1" t="s">
        <v>0</v>
      </c>
      <c r="B1" t="s">
        <v>1</v>
      </c>
      <c r="C1" t="s">
        <v>2</v>
      </c>
      <c r="D1" t="s">
        <v>3</v>
      </c>
      <c r="E1" t="s">
        <v>4</v>
      </c>
      <c r="F1" t="s">
        <v>5</v>
      </c>
    </row>
    <row r="2" spans="1:6">
      <c r="A2">
        <v>31</v>
      </c>
      <c r="B2" s="3">
        <v>927</v>
      </c>
      <c r="C2" t="s">
        <v>6</v>
      </c>
      <c r="D2" t="s">
        <v>7</v>
      </c>
      <c r="E2" t="s">
        <v>7</v>
      </c>
      <c r="F2" t="s">
        <v>8</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928"/>
  <sheetViews>
    <sheetView workbookViewId="0">
      <selection activeCell="U9" sqref="U9"/>
    </sheetView>
  </sheetViews>
  <sheetFormatPr defaultColWidth="9" defaultRowHeight="14.4"/>
  <cols>
    <col min="20" max="20" width="10" customWidth="1"/>
  </cols>
  <sheetData>
    <row r="1" spans="1:21">
      <c r="A1" t="s">
        <v>9</v>
      </c>
      <c r="B1" t="s">
        <v>10</v>
      </c>
      <c r="C1" t="s">
        <v>11</v>
      </c>
      <c r="D1" t="s">
        <v>12</v>
      </c>
      <c r="E1" t="s">
        <v>13</v>
      </c>
      <c r="F1" t="s">
        <v>3</v>
      </c>
      <c r="G1" t="s">
        <v>14</v>
      </c>
      <c r="H1" t="s">
        <v>15</v>
      </c>
      <c r="I1" t="s">
        <v>16</v>
      </c>
      <c r="J1" t="s">
        <v>17</v>
      </c>
      <c r="K1" t="s">
        <v>18</v>
      </c>
      <c r="L1" t="s">
        <v>19</v>
      </c>
      <c r="M1" t="s">
        <v>20</v>
      </c>
      <c r="N1" t="s">
        <v>21</v>
      </c>
      <c r="O1" t="s">
        <v>22</v>
      </c>
      <c r="P1" t="s">
        <v>23</v>
      </c>
      <c r="Q1" t="s">
        <v>24</v>
      </c>
      <c r="R1" t="s">
        <v>25</v>
      </c>
      <c r="S1" t="s">
        <v>26</v>
      </c>
      <c r="T1" t="s">
        <v>27</v>
      </c>
      <c r="U1" t="s">
        <v>28</v>
      </c>
    </row>
    <row r="2" spans="1:21">
      <c r="A2" t="s">
        <v>29</v>
      </c>
      <c r="B2" t="s">
        <v>30</v>
      </c>
      <c r="C2" t="s">
        <v>31</v>
      </c>
      <c r="D2" t="s">
        <v>32</v>
      </c>
      <c r="E2" t="s">
        <v>33</v>
      </c>
      <c r="F2" t="s">
        <v>7</v>
      </c>
      <c r="G2" t="s">
        <v>7</v>
      </c>
      <c r="H2" t="s">
        <v>34</v>
      </c>
      <c r="I2" t="s">
        <v>35</v>
      </c>
      <c r="J2" t="s">
        <v>32</v>
      </c>
      <c r="K2" t="s">
        <v>32</v>
      </c>
      <c r="L2" t="s">
        <v>32</v>
      </c>
      <c r="M2" t="s">
        <v>36</v>
      </c>
      <c r="N2" t="s">
        <v>37</v>
      </c>
      <c r="O2" t="s">
        <v>38</v>
      </c>
      <c r="P2" t="s">
        <v>38</v>
      </c>
      <c r="Q2" t="s">
        <v>32</v>
      </c>
      <c r="R2" t="s">
        <v>32</v>
      </c>
      <c r="S2" t="s">
        <v>32</v>
      </c>
      <c r="T2" s="2">
        <v>117.113362</v>
      </c>
      <c r="U2" s="2">
        <v>39.125982</v>
      </c>
    </row>
    <row r="3" spans="1:21">
      <c r="A3" t="s">
        <v>39</v>
      </c>
      <c r="B3" t="s">
        <v>40</v>
      </c>
      <c r="C3" t="s">
        <v>41</v>
      </c>
      <c r="D3" t="s">
        <v>32</v>
      </c>
      <c r="E3" t="s">
        <v>42</v>
      </c>
      <c r="F3" t="s">
        <v>7</v>
      </c>
      <c r="G3" t="s">
        <v>7</v>
      </c>
      <c r="H3" t="s">
        <v>43</v>
      </c>
      <c r="I3" t="s">
        <v>44</v>
      </c>
      <c r="J3" t="s">
        <v>32</v>
      </c>
      <c r="K3" t="s">
        <v>32</v>
      </c>
      <c r="L3" t="s">
        <v>32</v>
      </c>
      <c r="M3" t="s">
        <v>36</v>
      </c>
      <c r="N3" t="s">
        <v>37</v>
      </c>
      <c r="O3" t="s">
        <v>38</v>
      </c>
      <c r="P3" t="s">
        <v>38</v>
      </c>
      <c r="Q3" t="s">
        <v>45</v>
      </c>
      <c r="R3" t="s">
        <v>46</v>
      </c>
      <c r="S3" t="s">
        <v>32</v>
      </c>
      <c r="T3" s="2">
        <v>117.010569</v>
      </c>
      <c r="U3" s="2">
        <v>39.156228</v>
      </c>
    </row>
    <row r="4" spans="1:21">
      <c r="A4" t="s">
        <v>47</v>
      </c>
      <c r="B4" t="s">
        <v>40</v>
      </c>
      <c r="C4" t="s">
        <v>48</v>
      </c>
      <c r="D4" t="s">
        <v>32</v>
      </c>
      <c r="E4" t="s">
        <v>49</v>
      </c>
      <c r="F4" t="s">
        <v>7</v>
      </c>
      <c r="G4" t="s">
        <v>7</v>
      </c>
      <c r="H4" t="s">
        <v>50</v>
      </c>
      <c r="I4" t="s">
        <v>51</v>
      </c>
      <c r="J4" t="s">
        <v>32</v>
      </c>
      <c r="K4" t="s">
        <v>32</v>
      </c>
      <c r="L4" t="s">
        <v>32</v>
      </c>
      <c r="M4" t="s">
        <v>36</v>
      </c>
      <c r="N4" t="s">
        <v>37</v>
      </c>
      <c r="O4" t="s">
        <v>38</v>
      </c>
      <c r="P4" t="s">
        <v>38</v>
      </c>
      <c r="Q4" t="s">
        <v>45</v>
      </c>
      <c r="R4" t="s">
        <v>52</v>
      </c>
      <c r="S4" t="s">
        <v>32</v>
      </c>
      <c r="T4" s="2">
        <v>117.210657</v>
      </c>
      <c r="U4" s="2">
        <v>39.100336</v>
      </c>
    </row>
    <row r="5" spans="1:21">
      <c r="A5" t="s">
        <v>53</v>
      </c>
      <c r="B5" t="s">
        <v>40</v>
      </c>
      <c r="C5" t="s">
        <v>54</v>
      </c>
      <c r="D5" t="s">
        <v>32</v>
      </c>
      <c r="E5" t="s">
        <v>55</v>
      </c>
      <c r="F5" t="s">
        <v>7</v>
      </c>
      <c r="G5" t="s">
        <v>7</v>
      </c>
      <c r="H5" t="s">
        <v>56</v>
      </c>
      <c r="I5" t="s">
        <v>44</v>
      </c>
      <c r="J5" t="s">
        <v>32</v>
      </c>
      <c r="K5" t="s">
        <v>32</v>
      </c>
      <c r="L5" t="s">
        <v>32</v>
      </c>
      <c r="M5" t="s">
        <v>36</v>
      </c>
      <c r="N5" t="s">
        <v>37</v>
      </c>
      <c r="O5" t="s">
        <v>38</v>
      </c>
      <c r="P5" t="s">
        <v>38</v>
      </c>
      <c r="Q5" t="s">
        <v>57</v>
      </c>
      <c r="R5" t="s">
        <v>58</v>
      </c>
      <c r="S5" t="s">
        <v>32</v>
      </c>
      <c r="T5" s="2">
        <v>117.169035</v>
      </c>
      <c r="U5" s="2">
        <v>39.187627</v>
      </c>
    </row>
    <row r="6" spans="1:21">
      <c r="A6" t="s">
        <v>59</v>
      </c>
      <c r="B6" t="s">
        <v>30</v>
      </c>
      <c r="C6" t="s">
        <v>60</v>
      </c>
      <c r="D6" t="s">
        <v>61</v>
      </c>
      <c r="E6" t="s">
        <v>62</v>
      </c>
      <c r="F6" t="s">
        <v>7</v>
      </c>
      <c r="G6" t="s">
        <v>7</v>
      </c>
      <c r="H6" t="s">
        <v>63</v>
      </c>
      <c r="I6" t="s">
        <v>51</v>
      </c>
      <c r="J6" t="s">
        <v>61</v>
      </c>
      <c r="K6" t="s">
        <v>64</v>
      </c>
      <c r="L6" t="s">
        <v>65</v>
      </c>
      <c r="M6" t="s">
        <v>36</v>
      </c>
      <c r="N6" t="s">
        <v>37</v>
      </c>
      <c r="O6" t="s">
        <v>66</v>
      </c>
      <c r="P6" t="s">
        <v>66</v>
      </c>
      <c r="Q6" t="s">
        <v>45</v>
      </c>
      <c r="R6" t="s">
        <v>67</v>
      </c>
      <c r="S6" t="s">
        <v>32</v>
      </c>
      <c r="T6" s="2">
        <v>117.319874</v>
      </c>
      <c r="U6" s="2">
        <v>39.021821</v>
      </c>
    </row>
    <row r="7" spans="1:21">
      <c r="A7" t="s">
        <v>68</v>
      </c>
      <c r="B7" t="s">
        <v>69</v>
      </c>
      <c r="C7" t="s">
        <v>70</v>
      </c>
      <c r="D7" t="s">
        <v>71</v>
      </c>
      <c r="E7" t="s">
        <v>72</v>
      </c>
      <c r="F7" t="s">
        <v>7</v>
      </c>
      <c r="G7" t="s">
        <v>7</v>
      </c>
      <c r="H7" t="s">
        <v>73</v>
      </c>
      <c r="I7" t="s">
        <v>51</v>
      </c>
      <c r="J7" t="s">
        <v>71</v>
      </c>
      <c r="K7" t="s">
        <v>32</v>
      </c>
      <c r="L7" t="s">
        <v>32</v>
      </c>
      <c r="M7" t="s">
        <v>36</v>
      </c>
      <c r="N7" t="s">
        <v>37</v>
      </c>
      <c r="O7" t="s">
        <v>66</v>
      </c>
      <c r="P7" t="s">
        <v>66</v>
      </c>
      <c r="Q7" t="s">
        <v>74</v>
      </c>
      <c r="R7" t="s">
        <v>75</v>
      </c>
      <c r="S7" t="s">
        <v>32</v>
      </c>
      <c r="T7" s="2">
        <v>117.236189</v>
      </c>
      <c r="U7" s="2">
        <v>39.138018</v>
      </c>
    </row>
    <row r="8" spans="1:21">
      <c r="A8" t="s">
        <v>76</v>
      </c>
      <c r="B8" t="s">
        <v>69</v>
      </c>
      <c r="C8" t="s">
        <v>77</v>
      </c>
      <c r="D8" t="s">
        <v>78</v>
      </c>
      <c r="E8" t="s">
        <v>79</v>
      </c>
      <c r="F8" t="s">
        <v>7</v>
      </c>
      <c r="G8" t="s">
        <v>7</v>
      </c>
      <c r="H8" t="s">
        <v>34</v>
      </c>
      <c r="I8" t="s">
        <v>51</v>
      </c>
      <c r="J8" t="s">
        <v>78</v>
      </c>
      <c r="K8" t="s">
        <v>32</v>
      </c>
      <c r="L8" t="s">
        <v>32</v>
      </c>
      <c r="M8" t="s">
        <v>36</v>
      </c>
      <c r="N8" t="s">
        <v>37</v>
      </c>
      <c r="O8" t="s">
        <v>66</v>
      </c>
      <c r="P8" t="s">
        <v>66</v>
      </c>
      <c r="Q8" t="s">
        <v>45</v>
      </c>
      <c r="R8" t="s">
        <v>80</v>
      </c>
      <c r="S8" t="s">
        <v>32</v>
      </c>
      <c r="T8" s="2">
        <v>117.132697</v>
      </c>
      <c r="U8" s="2">
        <v>39.121337</v>
      </c>
    </row>
    <row r="9" spans="1:21">
      <c r="A9" t="s">
        <v>81</v>
      </c>
      <c r="B9" t="s">
        <v>30</v>
      </c>
      <c r="C9" t="s">
        <v>82</v>
      </c>
      <c r="D9" t="s">
        <v>83</v>
      </c>
      <c r="E9" t="s">
        <v>84</v>
      </c>
      <c r="F9" t="s">
        <v>7</v>
      </c>
      <c r="G9" t="s">
        <v>7</v>
      </c>
      <c r="H9" t="s">
        <v>56</v>
      </c>
      <c r="I9" t="s">
        <v>51</v>
      </c>
      <c r="J9" t="s">
        <v>83</v>
      </c>
      <c r="K9" t="s">
        <v>85</v>
      </c>
      <c r="L9" t="s">
        <v>65</v>
      </c>
      <c r="M9" t="s">
        <v>86</v>
      </c>
      <c r="N9" t="s">
        <v>87</v>
      </c>
      <c r="O9" t="s">
        <v>88</v>
      </c>
      <c r="P9" t="s">
        <v>89</v>
      </c>
      <c r="Q9" t="s">
        <v>74</v>
      </c>
      <c r="R9" t="s">
        <v>90</v>
      </c>
      <c r="S9" t="s">
        <v>32</v>
      </c>
      <c r="T9" s="2">
        <v>117.17928</v>
      </c>
      <c r="U9" s="2">
        <v>39.188023</v>
      </c>
    </row>
    <row r="10" spans="1:21">
      <c r="A10" t="s">
        <v>91</v>
      </c>
      <c r="B10" t="s">
        <v>40</v>
      </c>
      <c r="C10" t="s">
        <v>92</v>
      </c>
      <c r="D10" t="s">
        <v>32</v>
      </c>
      <c r="E10" t="s">
        <v>93</v>
      </c>
      <c r="F10" t="s">
        <v>7</v>
      </c>
      <c r="G10" t="s">
        <v>7</v>
      </c>
      <c r="H10" t="s">
        <v>43</v>
      </c>
      <c r="I10" t="s">
        <v>94</v>
      </c>
      <c r="J10" t="s">
        <v>32</v>
      </c>
      <c r="K10" t="s">
        <v>32</v>
      </c>
      <c r="L10" t="s">
        <v>32</v>
      </c>
      <c r="M10" t="s">
        <v>36</v>
      </c>
      <c r="N10" t="s">
        <v>37</v>
      </c>
      <c r="O10" t="s">
        <v>66</v>
      </c>
      <c r="P10" t="s">
        <v>66</v>
      </c>
      <c r="Q10" t="s">
        <v>74</v>
      </c>
      <c r="R10" t="s">
        <v>95</v>
      </c>
      <c r="S10" t="s">
        <v>32</v>
      </c>
      <c r="T10" s="2">
        <v>117.020592</v>
      </c>
      <c r="U10" s="2">
        <v>39.095799</v>
      </c>
    </row>
    <row r="11" spans="1:21">
      <c r="A11" t="s">
        <v>96</v>
      </c>
      <c r="B11" t="s">
        <v>97</v>
      </c>
      <c r="C11" t="s">
        <v>98</v>
      </c>
      <c r="D11" t="s">
        <v>32</v>
      </c>
      <c r="E11" t="s">
        <v>99</v>
      </c>
      <c r="F11" t="s">
        <v>7</v>
      </c>
      <c r="G11" t="s">
        <v>7</v>
      </c>
      <c r="H11" t="s">
        <v>56</v>
      </c>
      <c r="I11" t="s">
        <v>100</v>
      </c>
      <c r="J11" t="s">
        <v>32</v>
      </c>
      <c r="K11" t="s">
        <v>32</v>
      </c>
      <c r="L11" t="s">
        <v>32</v>
      </c>
      <c r="M11" t="s">
        <v>36</v>
      </c>
      <c r="N11" t="s">
        <v>37</v>
      </c>
      <c r="O11" t="s">
        <v>66</v>
      </c>
      <c r="P11" t="s">
        <v>66</v>
      </c>
      <c r="Q11" t="s">
        <v>45</v>
      </c>
      <c r="R11" t="s">
        <v>101</v>
      </c>
      <c r="S11" t="s">
        <v>32</v>
      </c>
      <c r="T11" s="2">
        <v>117.158644</v>
      </c>
      <c r="U11" s="2">
        <v>39.195877</v>
      </c>
    </row>
    <row r="12" spans="1:21">
      <c r="A12" t="s">
        <v>102</v>
      </c>
      <c r="B12" t="s">
        <v>40</v>
      </c>
      <c r="C12" t="s">
        <v>103</v>
      </c>
      <c r="D12" t="s">
        <v>32</v>
      </c>
      <c r="E12" t="s">
        <v>104</v>
      </c>
      <c r="F12" t="s">
        <v>7</v>
      </c>
      <c r="G12" t="s">
        <v>7</v>
      </c>
      <c r="H12" t="s">
        <v>105</v>
      </c>
      <c r="I12" t="s">
        <v>106</v>
      </c>
      <c r="J12" t="s">
        <v>32</v>
      </c>
      <c r="K12" t="s">
        <v>32</v>
      </c>
      <c r="L12" t="s">
        <v>32</v>
      </c>
      <c r="M12" t="s">
        <v>36</v>
      </c>
      <c r="N12" t="s">
        <v>37</v>
      </c>
      <c r="O12" t="s">
        <v>66</v>
      </c>
      <c r="P12" t="s">
        <v>66</v>
      </c>
      <c r="Q12" t="s">
        <v>32</v>
      </c>
      <c r="R12" t="s">
        <v>107</v>
      </c>
      <c r="S12" t="s">
        <v>32</v>
      </c>
      <c r="T12" s="2">
        <v>117.258363</v>
      </c>
      <c r="U12" s="2">
        <v>39.107919</v>
      </c>
    </row>
    <row r="13" spans="1:21">
      <c r="A13" t="s">
        <v>108</v>
      </c>
      <c r="B13" t="s">
        <v>69</v>
      </c>
      <c r="C13" t="s">
        <v>109</v>
      </c>
      <c r="D13" t="s">
        <v>110</v>
      </c>
      <c r="E13" t="s">
        <v>111</v>
      </c>
      <c r="F13" t="s">
        <v>7</v>
      </c>
      <c r="G13" t="s">
        <v>7</v>
      </c>
      <c r="H13" t="s">
        <v>73</v>
      </c>
      <c r="I13" t="s">
        <v>44</v>
      </c>
      <c r="J13" t="s">
        <v>110</v>
      </c>
      <c r="K13" t="s">
        <v>32</v>
      </c>
      <c r="L13" t="s">
        <v>32</v>
      </c>
      <c r="M13" t="s">
        <v>36</v>
      </c>
      <c r="N13" t="s">
        <v>112</v>
      </c>
      <c r="O13" t="s">
        <v>113</v>
      </c>
      <c r="P13" t="s">
        <v>114</v>
      </c>
      <c r="Q13" t="s">
        <v>74</v>
      </c>
      <c r="R13" t="s">
        <v>115</v>
      </c>
      <c r="S13" t="s">
        <v>32</v>
      </c>
      <c r="T13" s="2">
        <v>117.313217</v>
      </c>
      <c r="U13" s="2">
        <v>39.088354</v>
      </c>
    </row>
    <row r="14" spans="1:21">
      <c r="A14" t="s">
        <v>116</v>
      </c>
      <c r="B14" t="s">
        <v>30</v>
      </c>
      <c r="C14" t="s">
        <v>117</v>
      </c>
      <c r="D14" t="s">
        <v>118</v>
      </c>
      <c r="E14" t="s">
        <v>119</v>
      </c>
      <c r="F14" t="s">
        <v>7</v>
      </c>
      <c r="G14" t="s">
        <v>7</v>
      </c>
      <c r="H14" t="s">
        <v>43</v>
      </c>
      <c r="I14" t="s">
        <v>51</v>
      </c>
      <c r="J14" t="s">
        <v>118</v>
      </c>
      <c r="K14" t="s">
        <v>120</v>
      </c>
      <c r="L14" t="s">
        <v>65</v>
      </c>
      <c r="M14" t="s">
        <v>36</v>
      </c>
      <c r="N14" t="s">
        <v>37</v>
      </c>
      <c r="O14" t="s">
        <v>121</v>
      </c>
      <c r="P14" t="s">
        <v>122</v>
      </c>
      <c r="Q14" t="s">
        <v>74</v>
      </c>
      <c r="R14" t="s">
        <v>123</v>
      </c>
      <c r="S14" t="s">
        <v>32</v>
      </c>
      <c r="T14" s="2">
        <v>117.091798</v>
      </c>
      <c r="U14" s="2">
        <v>39.126226</v>
      </c>
    </row>
    <row r="15" spans="1:21">
      <c r="A15" t="s">
        <v>124</v>
      </c>
      <c r="B15" t="s">
        <v>40</v>
      </c>
      <c r="C15" t="s">
        <v>125</v>
      </c>
      <c r="D15" t="s">
        <v>32</v>
      </c>
      <c r="E15" t="s">
        <v>126</v>
      </c>
      <c r="F15" t="s">
        <v>7</v>
      </c>
      <c r="G15" t="s">
        <v>7</v>
      </c>
      <c r="H15" t="s">
        <v>43</v>
      </c>
      <c r="I15" t="s">
        <v>127</v>
      </c>
      <c r="J15" t="s">
        <v>32</v>
      </c>
      <c r="K15" t="s">
        <v>32</v>
      </c>
      <c r="L15" t="s">
        <v>32</v>
      </c>
      <c r="M15" t="s">
        <v>36</v>
      </c>
      <c r="N15" t="s">
        <v>37</v>
      </c>
      <c r="O15" t="s">
        <v>121</v>
      </c>
      <c r="P15" t="s">
        <v>122</v>
      </c>
      <c r="Q15" t="s">
        <v>74</v>
      </c>
      <c r="R15" t="s">
        <v>128</v>
      </c>
      <c r="S15" t="s">
        <v>32</v>
      </c>
      <c r="T15" s="2">
        <v>117.10443</v>
      </c>
      <c r="U15" s="2">
        <v>39.12663</v>
      </c>
    </row>
    <row r="16" spans="1:21">
      <c r="A16" t="s">
        <v>129</v>
      </c>
      <c r="B16" t="s">
        <v>130</v>
      </c>
      <c r="C16" t="s">
        <v>131</v>
      </c>
      <c r="D16" t="s">
        <v>32</v>
      </c>
      <c r="E16" t="s">
        <v>132</v>
      </c>
      <c r="F16" t="s">
        <v>7</v>
      </c>
      <c r="G16" t="s">
        <v>7</v>
      </c>
      <c r="H16" t="s">
        <v>133</v>
      </c>
      <c r="I16" t="s">
        <v>100</v>
      </c>
      <c r="J16" t="s">
        <v>32</v>
      </c>
      <c r="K16" t="s">
        <v>32</v>
      </c>
      <c r="L16" t="s">
        <v>32</v>
      </c>
      <c r="M16" t="s">
        <v>36</v>
      </c>
      <c r="N16" t="s">
        <v>37</v>
      </c>
      <c r="O16" t="s">
        <v>121</v>
      </c>
      <c r="P16" t="s">
        <v>122</v>
      </c>
      <c r="Q16" t="s">
        <v>45</v>
      </c>
      <c r="R16" t="s">
        <v>134</v>
      </c>
      <c r="S16" t="s">
        <v>32</v>
      </c>
      <c r="T16" s="2">
        <v>117.14746</v>
      </c>
      <c r="U16" s="2">
        <v>39.154642</v>
      </c>
    </row>
    <row r="17" spans="1:21">
      <c r="A17" t="s">
        <v>135</v>
      </c>
      <c r="B17" t="s">
        <v>136</v>
      </c>
      <c r="C17" t="s">
        <v>137</v>
      </c>
      <c r="D17" t="s">
        <v>138</v>
      </c>
      <c r="E17" t="s">
        <v>139</v>
      </c>
      <c r="F17" t="s">
        <v>7</v>
      </c>
      <c r="G17" t="s">
        <v>7</v>
      </c>
      <c r="H17" t="s">
        <v>43</v>
      </c>
      <c r="I17" t="s">
        <v>140</v>
      </c>
      <c r="J17" t="s">
        <v>138</v>
      </c>
      <c r="K17" t="s">
        <v>32</v>
      </c>
      <c r="L17" t="s">
        <v>32</v>
      </c>
      <c r="M17" t="s">
        <v>36</v>
      </c>
      <c r="N17" t="s">
        <v>37</v>
      </c>
      <c r="O17" t="s">
        <v>121</v>
      </c>
      <c r="P17" t="s">
        <v>122</v>
      </c>
      <c r="Q17" t="s">
        <v>32</v>
      </c>
      <c r="R17" t="s">
        <v>141</v>
      </c>
      <c r="S17" t="s">
        <v>32</v>
      </c>
      <c r="T17" s="2">
        <v>117.074196</v>
      </c>
      <c r="U17" s="2">
        <v>39.146414</v>
      </c>
    </row>
    <row r="18" spans="1:21">
      <c r="A18" t="s">
        <v>142</v>
      </c>
      <c r="B18" t="s">
        <v>30</v>
      </c>
      <c r="C18" t="s">
        <v>143</v>
      </c>
      <c r="D18" t="s">
        <v>144</v>
      </c>
      <c r="E18" t="s">
        <v>145</v>
      </c>
      <c r="F18" t="s">
        <v>7</v>
      </c>
      <c r="G18" t="s">
        <v>7</v>
      </c>
      <c r="H18" t="s">
        <v>146</v>
      </c>
      <c r="I18" t="s">
        <v>51</v>
      </c>
      <c r="J18" t="s">
        <v>144</v>
      </c>
      <c r="K18" t="s">
        <v>85</v>
      </c>
      <c r="L18" t="s">
        <v>65</v>
      </c>
      <c r="M18" t="s">
        <v>36</v>
      </c>
      <c r="N18" t="s">
        <v>37</v>
      </c>
      <c r="O18" t="s">
        <v>121</v>
      </c>
      <c r="P18" t="s">
        <v>147</v>
      </c>
      <c r="Q18" t="s">
        <v>74</v>
      </c>
      <c r="R18" t="s">
        <v>148</v>
      </c>
      <c r="S18" t="s">
        <v>32</v>
      </c>
      <c r="T18" s="2">
        <v>117.123105</v>
      </c>
      <c r="U18" s="2">
        <v>39.097191</v>
      </c>
    </row>
    <row r="19" spans="1:21">
      <c r="A19" t="s">
        <v>149</v>
      </c>
      <c r="B19" t="s">
        <v>150</v>
      </c>
      <c r="C19" t="s">
        <v>151</v>
      </c>
      <c r="D19" t="s">
        <v>152</v>
      </c>
      <c r="E19" t="s">
        <v>153</v>
      </c>
      <c r="F19" t="s">
        <v>7</v>
      </c>
      <c r="G19" t="s">
        <v>7</v>
      </c>
      <c r="H19" t="s">
        <v>63</v>
      </c>
      <c r="I19" t="s">
        <v>154</v>
      </c>
      <c r="J19" t="s">
        <v>152</v>
      </c>
      <c r="K19" t="s">
        <v>32</v>
      </c>
      <c r="L19" t="s">
        <v>32</v>
      </c>
      <c r="M19" t="s">
        <v>36</v>
      </c>
      <c r="N19" t="s">
        <v>37</v>
      </c>
      <c r="O19" t="s">
        <v>121</v>
      </c>
      <c r="P19" t="s">
        <v>147</v>
      </c>
      <c r="Q19" t="s">
        <v>45</v>
      </c>
      <c r="R19" t="s">
        <v>155</v>
      </c>
      <c r="S19" t="s">
        <v>32</v>
      </c>
      <c r="T19" s="2">
        <v>117.311727</v>
      </c>
      <c r="U19" s="2">
        <v>39.031398</v>
      </c>
    </row>
    <row r="20" spans="1:21">
      <c r="A20" t="s">
        <v>156</v>
      </c>
      <c r="B20" t="s">
        <v>157</v>
      </c>
      <c r="C20" t="s">
        <v>158</v>
      </c>
      <c r="D20" t="s">
        <v>159</v>
      </c>
      <c r="E20" t="s">
        <v>160</v>
      </c>
      <c r="F20" t="s">
        <v>7</v>
      </c>
      <c r="G20" t="s">
        <v>7</v>
      </c>
      <c r="H20" t="s">
        <v>43</v>
      </c>
      <c r="I20" t="s">
        <v>154</v>
      </c>
      <c r="J20" t="s">
        <v>159</v>
      </c>
      <c r="K20" t="s">
        <v>32</v>
      </c>
      <c r="L20" t="s">
        <v>32</v>
      </c>
      <c r="M20" t="s">
        <v>36</v>
      </c>
      <c r="N20" t="s">
        <v>37</v>
      </c>
      <c r="O20" t="s">
        <v>161</v>
      </c>
      <c r="P20" t="s">
        <v>161</v>
      </c>
      <c r="Q20" t="s">
        <v>45</v>
      </c>
      <c r="R20" t="s">
        <v>162</v>
      </c>
      <c r="S20" t="s">
        <v>32</v>
      </c>
      <c r="T20" s="2">
        <v>117.258759</v>
      </c>
      <c r="U20" s="2">
        <v>39.023552</v>
      </c>
    </row>
    <row r="21" spans="1:21">
      <c r="A21" t="s">
        <v>163</v>
      </c>
      <c r="B21" t="s">
        <v>30</v>
      </c>
      <c r="C21" t="s">
        <v>164</v>
      </c>
      <c r="D21" t="s">
        <v>165</v>
      </c>
      <c r="E21" t="s">
        <v>166</v>
      </c>
      <c r="F21" t="s">
        <v>7</v>
      </c>
      <c r="G21" t="s">
        <v>7</v>
      </c>
      <c r="H21" t="s">
        <v>50</v>
      </c>
      <c r="I21" t="s">
        <v>35</v>
      </c>
      <c r="J21" t="s">
        <v>165</v>
      </c>
      <c r="K21" t="s">
        <v>32</v>
      </c>
      <c r="L21" t="s">
        <v>32</v>
      </c>
      <c r="M21" t="s">
        <v>36</v>
      </c>
      <c r="N21" t="s">
        <v>37</v>
      </c>
      <c r="O21" t="s">
        <v>161</v>
      </c>
      <c r="P21" t="s">
        <v>161</v>
      </c>
      <c r="Q21" t="s">
        <v>32</v>
      </c>
      <c r="R21" t="s">
        <v>167</v>
      </c>
      <c r="S21" t="s">
        <v>32</v>
      </c>
      <c r="T21" s="2">
        <v>117.248809</v>
      </c>
      <c r="U21" s="2">
        <v>39.06925</v>
      </c>
    </row>
    <row r="22" spans="1:21">
      <c r="A22" t="s">
        <v>168</v>
      </c>
      <c r="B22" t="s">
        <v>40</v>
      </c>
      <c r="C22" t="s">
        <v>169</v>
      </c>
      <c r="D22" t="s">
        <v>32</v>
      </c>
      <c r="E22" t="s">
        <v>170</v>
      </c>
      <c r="F22" t="s">
        <v>7</v>
      </c>
      <c r="G22" t="s">
        <v>7</v>
      </c>
      <c r="H22" t="s">
        <v>34</v>
      </c>
      <c r="I22" t="s">
        <v>106</v>
      </c>
      <c r="J22" t="s">
        <v>32</v>
      </c>
      <c r="K22" t="s">
        <v>32</v>
      </c>
      <c r="L22" t="s">
        <v>32</v>
      </c>
      <c r="M22" t="s">
        <v>36</v>
      </c>
      <c r="N22" t="s">
        <v>37</v>
      </c>
      <c r="O22" t="s">
        <v>161</v>
      </c>
      <c r="P22" t="s">
        <v>161</v>
      </c>
      <c r="Q22" t="s">
        <v>32</v>
      </c>
      <c r="R22" t="s">
        <v>171</v>
      </c>
      <c r="S22" t="s">
        <v>32</v>
      </c>
      <c r="T22" s="2">
        <v>117.148424</v>
      </c>
      <c r="U22" s="2">
        <v>39.116826</v>
      </c>
    </row>
    <row r="23" spans="1:21">
      <c r="A23" t="s">
        <v>172</v>
      </c>
      <c r="B23" t="s">
        <v>173</v>
      </c>
      <c r="C23" t="s">
        <v>174</v>
      </c>
      <c r="D23" t="s">
        <v>32</v>
      </c>
      <c r="E23" t="s">
        <v>175</v>
      </c>
      <c r="F23" t="s">
        <v>7</v>
      </c>
      <c r="G23" t="s">
        <v>7</v>
      </c>
      <c r="H23" t="s">
        <v>63</v>
      </c>
      <c r="I23" t="s">
        <v>176</v>
      </c>
      <c r="J23" t="s">
        <v>32</v>
      </c>
      <c r="K23" t="s">
        <v>32</v>
      </c>
      <c r="L23" t="s">
        <v>32</v>
      </c>
      <c r="M23" t="s">
        <v>36</v>
      </c>
      <c r="N23" t="s">
        <v>37</v>
      </c>
      <c r="O23" t="s">
        <v>161</v>
      </c>
      <c r="P23" t="s">
        <v>161</v>
      </c>
      <c r="Q23" t="s">
        <v>32</v>
      </c>
      <c r="R23" t="s">
        <v>177</v>
      </c>
      <c r="S23" t="s">
        <v>32</v>
      </c>
      <c r="T23" s="2">
        <v>117.322251</v>
      </c>
      <c r="U23" s="2">
        <v>39.022185</v>
      </c>
    </row>
    <row r="24" spans="1:21">
      <c r="A24" t="s">
        <v>178</v>
      </c>
      <c r="B24" t="s">
        <v>30</v>
      </c>
      <c r="C24" t="s">
        <v>179</v>
      </c>
      <c r="D24" t="s">
        <v>180</v>
      </c>
      <c r="E24" t="s">
        <v>181</v>
      </c>
      <c r="F24" t="s">
        <v>7</v>
      </c>
      <c r="G24" t="s">
        <v>7</v>
      </c>
      <c r="H24" t="s">
        <v>34</v>
      </c>
      <c r="I24" t="s">
        <v>44</v>
      </c>
      <c r="J24" t="s">
        <v>180</v>
      </c>
      <c r="K24" t="s">
        <v>182</v>
      </c>
      <c r="L24" t="s">
        <v>65</v>
      </c>
      <c r="M24" t="s">
        <v>36</v>
      </c>
      <c r="N24" t="s">
        <v>37</v>
      </c>
      <c r="O24" t="s">
        <v>183</v>
      </c>
      <c r="P24" t="s">
        <v>183</v>
      </c>
      <c r="Q24" t="s">
        <v>45</v>
      </c>
      <c r="R24" t="s">
        <v>184</v>
      </c>
      <c r="S24" t="s">
        <v>32</v>
      </c>
      <c r="T24" s="2">
        <v>117.139101</v>
      </c>
      <c r="U24" s="2">
        <v>39.1341</v>
      </c>
    </row>
    <row r="25" spans="1:21">
      <c r="A25" t="s">
        <v>185</v>
      </c>
      <c r="B25" t="s">
        <v>30</v>
      </c>
      <c r="C25" t="s">
        <v>186</v>
      </c>
      <c r="D25" t="s">
        <v>187</v>
      </c>
      <c r="E25" t="s">
        <v>188</v>
      </c>
      <c r="F25" t="s">
        <v>7</v>
      </c>
      <c r="G25" t="s">
        <v>7</v>
      </c>
      <c r="H25" t="s">
        <v>73</v>
      </c>
      <c r="I25" t="s">
        <v>189</v>
      </c>
      <c r="J25" t="s">
        <v>187</v>
      </c>
      <c r="K25" t="s">
        <v>85</v>
      </c>
      <c r="L25" t="s">
        <v>65</v>
      </c>
      <c r="M25" t="s">
        <v>36</v>
      </c>
      <c r="N25" t="s">
        <v>37</v>
      </c>
      <c r="O25" t="s">
        <v>183</v>
      </c>
      <c r="P25" t="s">
        <v>183</v>
      </c>
      <c r="Q25" t="s">
        <v>74</v>
      </c>
      <c r="R25" t="s">
        <v>190</v>
      </c>
      <c r="S25" t="s">
        <v>32</v>
      </c>
      <c r="T25" s="2">
        <v>117.250395</v>
      </c>
      <c r="U25" s="2">
        <v>39.172618</v>
      </c>
    </row>
    <row r="26" spans="1:21">
      <c r="A26" t="s">
        <v>191</v>
      </c>
      <c r="B26" t="s">
        <v>30</v>
      </c>
      <c r="C26" t="s">
        <v>192</v>
      </c>
      <c r="D26" t="s">
        <v>193</v>
      </c>
      <c r="E26" t="s">
        <v>194</v>
      </c>
      <c r="F26" t="s">
        <v>7</v>
      </c>
      <c r="G26" t="s">
        <v>7</v>
      </c>
      <c r="H26" t="s">
        <v>50</v>
      </c>
      <c r="I26" t="s">
        <v>35</v>
      </c>
      <c r="J26" t="s">
        <v>193</v>
      </c>
      <c r="K26" t="s">
        <v>32</v>
      </c>
      <c r="L26" t="s">
        <v>32</v>
      </c>
      <c r="M26" t="s">
        <v>36</v>
      </c>
      <c r="N26" t="s">
        <v>37</v>
      </c>
      <c r="O26" t="s">
        <v>195</v>
      </c>
      <c r="P26" t="s">
        <v>195</v>
      </c>
      <c r="Q26" t="s">
        <v>32</v>
      </c>
      <c r="R26" t="s">
        <v>196</v>
      </c>
      <c r="S26" t="s">
        <v>32</v>
      </c>
      <c r="T26" s="2">
        <v>117.194033</v>
      </c>
      <c r="U26" s="2">
        <v>39.069867</v>
      </c>
    </row>
    <row r="27" spans="1:21">
      <c r="A27" t="s">
        <v>197</v>
      </c>
      <c r="B27" t="s">
        <v>198</v>
      </c>
      <c r="C27" t="s">
        <v>199</v>
      </c>
      <c r="D27" t="s">
        <v>200</v>
      </c>
      <c r="E27" t="s">
        <v>201</v>
      </c>
      <c r="F27" t="s">
        <v>7</v>
      </c>
      <c r="G27" t="s">
        <v>7</v>
      </c>
      <c r="H27" t="s">
        <v>56</v>
      </c>
      <c r="I27" t="s">
        <v>140</v>
      </c>
      <c r="J27" t="s">
        <v>200</v>
      </c>
      <c r="K27" t="s">
        <v>32</v>
      </c>
      <c r="L27" t="s">
        <v>32</v>
      </c>
      <c r="M27" t="s">
        <v>36</v>
      </c>
      <c r="N27" t="s">
        <v>37</v>
      </c>
      <c r="O27" t="s">
        <v>195</v>
      </c>
      <c r="P27" t="s">
        <v>195</v>
      </c>
      <c r="Q27" t="s">
        <v>32</v>
      </c>
      <c r="R27" t="s">
        <v>202</v>
      </c>
      <c r="S27" t="s">
        <v>32</v>
      </c>
      <c r="T27" s="2">
        <v>117.03263</v>
      </c>
      <c r="U27" s="2">
        <v>39.193555</v>
      </c>
    </row>
    <row r="28" spans="1:21">
      <c r="A28" t="s">
        <v>203</v>
      </c>
      <c r="B28" t="s">
        <v>204</v>
      </c>
      <c r="C28" t="s">
        <v>205</v>
      </c>
      <c r="D28" t="s">
        <v>32</v>
      </c>
      <c r="E28" t="s">
        <v>206</v>
      </c>
      <c r="F28" t="s">
        <v>7</v>
      </c>
      <c r="G28" t="s">
        <v>7</v>
      </c>
      <c r="H28" t="s">
        <v>34</v>
      </c>
      <c r="I28" t="s">
        <v>140</v>
      </c>
      <c r="J28" t="s">
        <v>32</v>
      </c>
      <c r="K28" t="s">
        <v>32</v>
      </c>
      <c r="L28" t="s">
        <v>32</v>
      </c>
      <c r="M28" t="s">
        <v>36</v>
      </c>
      <c r="N28" t="s">
        <v>37</v>
      </c>
      <c r="O28" t="s">
        <v>195</v>
      </c>
      <c r="P28" t="s">
        <v>195</v>
      </c>
      <c r="Q28" t="s">
        <v>32</v>
      </c>
      <c r="R28" t="s">
        <v>207</v>
      </c>
      <c r="S28" t="s">
        <v>32</v>
      </c>
      <c r="T28" s="2">
        <v>117.150638</v>
      </c>
      <c r="U28" s="2">
        <v>39.138551</v>
      </c>
    </row>
    <row r="29" spans="1:21">
      <c r="A29" t="s">
        <v>208</v>
      </c>
      <c r="B29" t="s">
        <v>209</v>
      </c>
      <c r="C29" t="s">
        <v>210</v>
      </c>
      <c r="D29" t="s">
        <v>211</v>
      </c>
      <c r="E29" t="s">
        <v>212</v>
      </c>
      <c r="F29" t="s">
        <v>7</v>
      </c>
      <c r="G29" t="s">
        <v>7</v>
      </c>
      <c r="H29" t="s">
        <v>73</v>
      </c>
      <c r="I29" t="s">
        <v>140</v>
      </c>
      <c r="J29" t="s">
        <v>211</v>
      </c>
      <c r="K29" t="s">
        <v>32</v>
      </c>
      <c r="L29" t="s">
        <v>32</v>
      </c>
      <c r="M29" t="s">
        <v>36</v>
      </c>
      <c r="N29" t="s">
        <v>37</v>
      </c>
      <c r="O29" t="s">
        <v>195</v>
      </c>
      <c r="P29" t="s">
        <v>195</v>
      </c>
      <c r="Q29" t="s">
        <v>32</v>
      </c>
      <c r="R29" t="s">
        <v>213</v>
      </c>
      <c r="S29" t="s">
        <v>32</v>
      </c>
      <c r="T29" s="2">
        <v>117.341642</v>
      </c>
      <c r="U29" s="2">
        <v>39.075721</v>
      </c>
    </row>
    <row r="30" spans="1:21">
      <c r="A30" t="s">
        <v>214</v>
      </c>
      <c r="B30" t="s">
        <v>215</v>
      </c>
      <c r="C30" t="s">
        <v>216</v>
      </c>
      <c r="D30" t="s">
        <v>32</v>
      </c>
      <c r="E30" t="s">
        <v>217</v>
      </c>
      <c r="F30" t="s">
        <v>7</v>
      </c>
      <c r="G30" t="s">
        <v>7</v>
      </c>
      <c r="H30" t="s">
        <v>63</v>
      </c>
      <c r="I30" t="s">
        <v>140</v>
      </c>
      <c r="J30" t="s">
        <v>32</v>
      </c>
      <c r="K30" t="s">
        <v>32</v>
      </c>
      <c r="L30" t="s">
        <v>32</v>
      </c>
      <c r="M30" t="s">
        <v>36</v>
      </c>
      <c r="N30" t="s">
        <v>37</v>
      </c>
      <c r="O30" t="s">
        <v>195</v>
      </c>
      <c r="P30" t="s">
        <v>195</v>
      </c>
      <c r="Q30" t="s">
        <v>32</v>
      </c>
      <c r="R30" t="s">
        <v>218</v>
      </c>
      <c r="S30" t="s">
        <v>32</v>
      </c>
      <c r="T30" s="2">
        <v>117.314156</v>
      </c>
      <c r="U30" s="2">
        <v>39.059915</v>
      </c>
    </row>
    <row r="31" spans="1:21">
      <c r="A31" t="s">
        <v>219</v>
      </c>
      <c r="B31" t="s">
        <v>30</v>
      </c>
      <c r="C31" t="s">
        <v>220</v>
      </c>
      <c r="D31" t="s">
        <v>221</v>
      </c>
      <c r="E31" t="s">
        <v>222</v>
      </c>
      <c r="F31" t="s">
        <v>7</v>
      </c>
      <c r="G31" t="s">
        <v>7</v>
      </c>
      <c r="H31" t="s">
        <v>105</v>
      </c>
      <c r="I31" t="s">
        <v>51</v>
      </c>
      <c r="J31" t="s">
        <v>221</v>
      </c>
      <c r="K31" t="s">
        <v>85</v>
      </c>
      <c r="L31" t="s">
        <v>65</v>
      </c>
      <c r="M31" t="s">
        <v>36</v>
      </c>
      <c r="N31" t="s">
        <v>37</v>
      </c>
      <c r="O31" t="s">
        <v>38</v>
      </c>
      <c r="P31" t="s">
        <v>38</v>
      </c>
      <c r="Q31" t="s">
        <v>45</v>
      </c>
      <c r="R31" t="s">
        <v>223</v>
      </c>
      <c r="S31" t="s">
        <v>32</v>
      </c>
      <c r="T31" s="2">
        <v>117.286902</v>
      </c>
      <c r="U31" s="2">
        <v>39.095596</v>
      </c>
    </row>
    <row r="32" spans="1:21">
      <c r="A32" t="s">
        <v>224</v>
      </c>
      <c r="B32" t="s">
        <v>30</v>
      </c>
      <c r="C32" t="s">
        <v>225</v>
      </c>
      <c r="D32" t="s">
        <v>226</v>
      </c>
      <c r="E32" t="s">
        <v>227</v>
      </c>
      <c r="F32" t="s">
        <v>7</v>
      </c>
      <c r="G32" t="s">
        <v>7</v>
      </c>
      <c r="H32" t="s">
        <v>105</v>
      </c>
      <c r="I32" t="s">
        <v>51</v>
      </c>
      <c r="J32" t="s">
        <v>226</v>
      </c>
      <c r="K32" t="s">
        <v>85</v>
      </c>
      <c r="L32" t="s">
        <v>65</v>
      </c>
      <c r="M32" t="s">
        <v>86</v>
      </c>
      <c r="N32" t="s">
        <v>87</v>
      </c>
      <c r="O32" t="s">
        <v>88</v>
      </c>
      <c r="P32" t="s">
        <v>228</v>
      </c>
      <c r="Q32" t="s">
        <v>45</v>
      </c>
      <c r="R32" t="s">
        <v>229</v>
      </c>
      <c r="S32" t="s">
        <v>32</v>
      </c>
      <c r="T32" s="2">
        <v>117.291934</v>
      </c>
      <c r="U32" s="2">
        <v>39.094007</v>
      </c>
    </row>
    <row r="33" spans="1:21">
      <c r="A33" t="s">
        <v>230</v>
      </c>
      <c r="B33" t="s">
        <v>173</v>
      </c>
      <c r="C33" t="s">
        <v>231</v>
      </c>
      <c r="D33" t="s">
        <v>232</v>
      </c>
      <c r="E33" t="s">
        <v>233</v>
      </c>
      <c r="F33" t="s">
        <v>7</v>
      </c>
      <c r="G33" t="s">
        <v>7</v>
      </c>
      <c r="H33" t="s">
        <v>105</v>
      </c>
      <c r="I33" t="s">
        <v>189</v>
      </c>
      <c r="J33" t="s">
        <v>232</v>
      </c>
      <c r="K33" t="s">
        <v>32</v>
      </c>
      <c r="L33" t="s">
        <v>32</v>
      </c>
      <c r="M33" t="s">
        <v>36</v>
      </c>
      <c r="N33" t="s">
        <v>37</v>
      </c>
      <c r="O33" t="s">
        <v>38</v>
      </c>
      <c r="P33" t="s">
        <v>38</v>
      </c>
      <c r="Q33" t="s">
        <v>234</v>
      </c>
      <c r="R33" t="s">
        <v>235</v>
      </c>
      <c r="S33" t="s">
        <v>32</v>
      </c>
      <c r="T33" s="2">
        <v>117.22324</v>
      </c>
      <c r="U33" s="2">
        <v>39.134261</v>
      </c>
    </row>
    <row r="34" spans="1:21">
      <c r="A34" t="s">
        <v>236</v>
      </c>
      <c r="B34" t="s">
        <v>40</v>
      </c>
      <c r="C34" t="s">
        <v>237</v>
      </c>
      <c r="D34" t="s">
        <v>32</v>
      </c>
      <c r="E34" t="s">
        <v>238</v>
      </c>
      <c r="F34" t="s">
        <v>7</v>
      </c>
      <c r="G34" t="s">
        <v>7</v>
      </c>
      <c r="H34" t="s">
        <v>34</v>
      </c>
      <c r="I34" t="s">
        <v>239</v>
      </c>
      <c r="J34" t="s">
        <v>32</v>
      </c>
      <c r="K34" t="s">
        <v>32</v>
      </c>
      <c r="L34" t="s">
        <v>32</v>
      </c>
      <c r="M34" t="s">
        <v>36</v>
      </c>
      <c r="N34" t="s">
        <v>37</v>
      </c>
      <c r="O34" t="s">
        <v>38</v>
      </c>
      <c r="P34" t="s">
        <v>38</v>
      </c>
      <c r="Q34" t="s">
        <v>57</v>
      </c>
      <c r="R34" t="s">
        <v>240</v>
      </c>
      <c r="S34" t="s">
        <v>32</v>
      </c>
      <c r="T34" s="2">
        <v>117.145397</v>
      </c>
      <c r="U34" s="2">
        <v>39.141481</v>
      </c>
    </row>
    <row r="35" spans="1:21">
      <c r="A35" t="s">
        <v>241</v>
      </c>
      <c r="B35" t="s">
        <v>242</v>
      </c>
      <c r="C35" t="s">
        <v>243</v>
      </c>
      <c r="D35" t="s">
        <v>32</v>
      </c>
      <c r="E35" t="s">
        <v>244</v>
      </c>
      <c r="F35" t="s">
        <v>7</v>
      </c>
      <c r="G35" t="s">
        <v>7</v>
      </c>
      <c r="H35" t="s">
        <v>43</v>
      </c>
      <c r="I35" t="s">
        <v>245</v>
      </c>
      <c r="J35" t="s">
        <v>32</v>
      </c>
      <c r="K35" t="s">
        <v>32</v>
      </c>
      <c r="L35" t="s">
        <v>32</v>
      </c>
      <c r="M35" t="s">
        <v>36</v>
      </c>
      <c r="N35" t="s">
        <v>37</v>
      </c>
      <c r="O35" t="s">
        <v>38</v>
      </c>
      <c r="P35" t="s">
        <v>38</v>
      </c>
      <c r="Q35" t="s">
        <v>57</v>
      </c>
      <c r="R35" t="s">
        <v>246</v>
      </c>
      <c r="S35" t="s">
        <v>32</v>
      </c>
      <c r="T35" s="2">
        <v>116.987237</v>
      </c>
      <c r="U35" s="2">
        <v>39.104169</v>
      </c>
    </row>
    <row r="36" spans="1:21">
      <c r="A36" t="s">
        <v>247</v>
      </c>
      <c r="B36" t="s">
        <v>248</v>
      </c>
      <c r="C36" t="s">
        <v>249</v>
      </c>
      <c r="D36" t="s">
        <v>250</v>
      </c>
      <c r="E36" t="s">
        <v>251</v>
      </c>
      <c r="F36" t="s">
        <v>7</v>
      </c>
      <c r="G36" t="s">
        <v>7</v>
      </c>
      <c r="H36" t="s">
        <v>43</v>
      </c>
      <c r="I36" t="s">
        <v>51</v>
      </c>
      <c r="J36" t="s">
        <v>250</v>
      </c>
      <c r="K36" t="s">
        <v>32</v>
      </c>
      <c r="L36" t="s">
        <v>32</v>
      </c>
      <c r="M36" t="s">
        <v>36</v>
      </c>
      <c r="N36" t="s">
        <v>37</v>
      </c>
      <c r="O36" t="s">
        <v>38</v>
      </c>
      <c r="P36" t="s">
        <v>38</v>
      </c>
      <c r="Q36" t="s">
        <v>45</v>
      </c>
      <c r="R36" t="s">
        <v>252</v>
      </c>
      <c r="S36" t="s">
        <v>32</v>
      </c>
      <c r="T36" s="2">
        <v>117.128412</v>
      </c>
      <c r="U36" s="2">
        <v>39.139988</v>
      </c>
    </row>
    <row r="37" spans="1:21">
      <c r="A37" t="s">
        <v>253</v>
      </c>
      <c r="B37" t="s">
        <v>254</v>
      </c>
      <c r="C37" t="s">
        <v>255</v>
      </c>
      <c r="D37" t="s">
        <v>32</v>
      </c>
      <c r="E37" t="s">
        <v>256</v>
      </c>
      <c r="F37" t="s">
        <v>7</v>
      </c>
      <c r="G37" t="s">
        <v>7</v>
      </c>
      <c r="H37" t="s">
        <v>43</v>
      </c>
      <c r="I37" t="s">
        <v>51</v>
      </c>
      <c r="J37" t="s">
        <v>32</v>
      </c>
      <c r="K37" t="s">
        <v>32</v>
      </c>
      <c r="L37" t="s">
        <v>32</v>
      </c>
      <c r="M37" t="s">
        <v>36</v>
      </c>
      <c r="N37" t="s">
        <v>37</v>
      </c>
      <c r="O37" t="s">
        <v>38</v>
      </c>
      <c r="P37" t="s">
        <v>38</v>
      </c>
      <c r="Q37" t="s">
        <v>57</v>
      </c>
      <c r="R37" t="s">
        <v>257</v>
      </c>
      <c r="S37" t="s">
        <v>32</v>
      </c>
      <c r="T37" s="2">
        <v>116.985877</v>
      </c>
      <c r="U37" s="2">
        <v>39.133615</v>
      </c>
    </row>
    <row r="38" spans="1:21">
      <c r="A38" t="s">
        <v>258</v>
      </c>
      <c r="B38" t="s">
        <v>173</v>
      </c>
      <c r="C38" t="s">
        <v>259</v>
      </c>
      <c r="D38" t="s">
        <v>260</v>
      </c>
      <c r="E38" t="s">
        <v>261</v>
      </c>
      <c r="F38" t="s">
        <v>7</v>
      </c>
      <c r="G38" t="s">
        <v>7</v>
      </c>
      <c r="H38" t="s">
        <v>262</v>
      </c>
      <c r="I38" t="s">
        <v>263</v>
      </c>
      <c r="J38" t="s">
        <v>260</v>
      </c>
      <c r="K38" t="s">
        <v>32</v>
      </c>
      <c r="L38" t="s">
        <v>32</v>
      </c>
      <c r="M38" t="s">
        <v>36</v>
      </c>
      <c r="N38" t="s">
        <v>37</v>
      </c>
      <c r="O38" t="s">
        <v>38</v>
      </c>
      <c r="P38" t="s">
        <v>38</v>
      </c>
      <c r="Q38" t="s">
        <v>74</v>
      </c>
      <c r="R38" t="s">
        <v>264</v>
      </c>
      <c r="S38" t="s">
        <v>32</v>
      </c>
      <c r="T38" s="2">
        <v>117.214717</v>
      </c>
      <c r="U38" s="2">
        <v>39.163896</v>
      </c>
    </row>
    <row r="39" spans="1:21">
      <c r="A39" t="s">
        <v>265</v>
      </c>
      <c r="B39" t="s">
        <v>266</v>
      </c>
      <c r="C39" t="s">
        <v>267</v>
      </c>
      <c r="D39" t="s">
        <v>32</v>
      </c>
      <c r="E39" t="s">
        <v>268</v>
      </c>
      <c r="F39" t="s">
        <v>7</v>
      </c>
      <c r="G39" t="s">
        <v>7</v>
      </c>
      <c r="H39" t="s">
        <v>262</v>
      </c>
      <c r="I39" t="s">
        <v>94</v>
      </c>
      <c r="J39" t="s">
        <v>32</v>
      </c>
      <c r="K39" t="s">
        <v>32</v>
      </c>
      <c r="L39" t="s">
        <v>32</v>
      </c>
      <c r="M39" t="s">
        <v>36</v>
      </c>
      <c r="N39" t="s">
        <v>37</v>
      </c>
      <c r="O39" t="s">
        <v>38</v>
      </c>
      <c r="P39" t="s">
        <v>38</v>
      </c>
      <c r="Q39" t="s">
        <v>45</v>
      </c>
      <c r="R39" t="s">
        <v>269</v>
      </c>
      <c r="S39" t="s">
        <v>32</v>
      </c>
      <c r="T39" s="2">
        <v>117.197297</v>
      </c>
      <c r="U39" s="2">
        <v>39.17162</v>
      </c>
    </row>
    <row r="40" spans="1:21">
      <c r="A40" t="s">
        <v>270</v>
      </c>
      <c r="B40" t="s">
        <v>173</v>
      </c>
      <c r="C40" t="s">
        <v>271</v>
      </c>
      <c r="D40" t="s">
        <v>272</v>
      </c>
      <c r="E40" t="s">
        <v>273</v>
      </c>
      <c r="F40" t="s">
        <v>7</v>
      </c>
      <c r="G40" t="s">
        <v>7</v>
      </c>
      <c r="H40" t="s">
        <v>43</v>
      </c>
      <c r="I40" t="s">
        <v>274</v>
      </c>
      <c r="J40" t="s">
        <v>272</v>
      </c>
      <c r="K40" t="s">
        <v>32</v>
      </c>
      <c r="L40" t="s">
        <v>32</v>
      </c>
      <c r="M40" t="s">
        <v>36</v>
      </c>
      <c r="N40" t="s">
        <v>37</v>
      </c>
      <c r="O40" t="s">
        <v>38</v>
      </c>
      <c r="P40" t="s">
        <v>38</v>
      </c>
      <c r="Q40" t="s">
        <v>57</v>
      </c>
      <c r="R40" t="s">
        <v>275</v>
      </c>
      <c r="S40" t="s">
        <v>32</v>
      </c>
      <c r="T40" s="2">
        <v>117.017441</v>
      </c>
      <c r="U40" s="2">
        <v>39.139644</v>
      </c>
    </row>
    <row r="41" spans="1:21">
      <c r="A41" t="s">
        <v>276</v>
      </c>
      <c r="B41" t="s">
        <v>277</v>
      </c>
      <c r="C41" t="s">
        <v>278</v>
      </c>
      <c r="D41" t="s">
        <v>279</v>
      </c>
      <c r="E41" t="s">
        <v>280</v>
      </c>
      <c r="F41" t="s">
        <v>7</v>
      </c>
      <c r="G41" t="s">
        <v>7</v>
      </c>
      <c r="H41" t="s">
        <v>105</v>
      </c>
      <c r="I41" t="s">
        <v>189</v>
      </c>
      <c r="J41" t="s">
        <v>279</v>
      </c>
      <c r="K41" t="s">
        <v>32</v>
      </c>
      <c r="L41" t="s">
        <v>32</v>
      </c>
      <c r="M41" t="s">
        <v>36</v>
      </c>
      <c r="N41" t="s">
        <v>37</v>
      </c>
      <c r="O41" t="s">
        <v>38</v>
      </c>
      <c r="P41" t="s">
        <v>38</v>
      </c>
      <c r="Q41" t="s">
        <v>74</v>
      </c>
      <c r="R41" t="s">
        <v>281</v>
      </c>
      <c r="S41" t="s">
        <v>32</v>
      </c>
      <c r="T41" s="2">
        <v>117.24086</v>
      </c>
      <c r="U41" s="2">
        <v>39.149712</v>
      </c>
    </row>
    <row r="42" spans="1:21">
      <c r="A42" t="s">
        <v>282</v>
      </c>
      <c r="B42" t="s">
        <v>40</v>
      </c>
      <c r="C42" t="s">
        <v>283</v>
      </c>
      <c r="D42" t="s">
        <v>32</v>
      </c>
      <c r="E42" t="s">
        <v>284</v>
      </c>
      <c r="F42" t="s">
        <v>7</v>
      </c>
      <c r="G42" t="s">
        <v>7</v>
      </c>
      <c r="H42" t="s">
        <v>56</v>
      </c>
      <c r="I42" t="s">
        <v>44</v>
      </c>
      <c r="J42" t="s">
        <v>32</v>
      </c>
      <c r="K42" t="s">
        <v>32</v>
      </c>
      <c r="L42" t="s">
        <v>32</v>
      </c>
      <c r="M42" t="s">
        <v>36</v>
      </c>
      <c r="N42" t="s">
        <v>37</v>
      </c>
      <c r="O42" t="s">
        <v>66</v>
      </c>
      <c r="P42" t="s">
        <v>66</v>
      </c>
      <c r="Q42" t="s">
        <v>45</v>
      </c>
      <c r="R42" t="s">
        <v>285</v>
      </c>
      <c r="S42" t="s">
        <v>32</v>
      </c>
      <c r="T42" s="2">
        <v>117.133471</v>
      </c>
      <c r="U42" s="2">
        <v>39.183031</v>
      </c>
    </row>
    <row r="43" spans="1:21">
      <c r="A43" t="s">
        <v>286</v>
      </c>
      <c r="B43" t="s">
        <v>40</v>
      </c>
      <c r="C43" t="s">
        <v>287</v>
      </c>
      <c r="D43" t="s">
        <v>288</v>
      </c>
      <c r="E43" t="s">
        <v>289</v>
      </c>
      <c r="F43" t="s">
        <v>7</v>
      </c>
      <c r="G43" t="s">
        <v>7</v>
      </c>
      <c r="H43" t="s">
        <v>43</v>
      </c>
      <c r="I43" t="s">
        <v>290</v>
      </c>
      <c r="J43" t="s">
        <v>288</v>
      </c>
      <c r="K43" t="s">
        <v>32</v>
      </c>
      <c r="L43" t="s">
        <v>32</v>
      </c>
      <c r="M43" t="s">
        <v>36</v>
      </c>
      <c r="N43" t="s">
        <v>37</v>
      </c>
      <c r="O43" t="s">
        <v>38</v>
      </c>
      <c r="P43" t="s">
        <v>38</v>
      </c>
      <c r="Q43" t="s">
        <v>32</v>
      </c>
      <c r="R43" t="s">
        <v>291</v>
      </c>
      <c r="S43" t="s">
        <v>32</v>
      </c>
      <c r="T43" s="2">
        <v>117.014726</v>
      </c>
      <c r="U43" s="2">
        <v>39.136614</v>
      </c>
    </row>
    <row r="44" spans="1:21">
      <c r="A44" t="s">
        <v>292</v>
      </c>
      <c r="B44" t="s">
        <v>293</v>
      </c>
      <c r="C44" t="s">
        <v>294</v>
      </c>
      <c r="D44" t="s">
        <v>295</v>
      </c>
      <c r="E44" t="s">
        <v>296</v>
      </c>
      <c r="F44" t="s">
        <v>7</v>
      </c>
      <c r="G44" t="s">
        <v>7</v>
      </c>
      <c r="H44" t="s">
        <v>34</v>
      </c>
      <c r="I44" t="s">
        <v>297</v>
      </c>
      <c r="J44" t="s">
        <v>295</v>
      </c>
      <c r="K44" t="s">
        <v>32</v>
      </c>
      <c r="L44" t="s">
        <v>32</v>
      </c>
      <c r="M44" t="s">
        <v>36</v>
      </c>
      <c r="N44" t="s">
        <v>37</v>
      </c>
      <c r="O44" t="s">
        <v>38</v>
      </c>
      <c r="P44" t="s">
        <v>38</v>
      </c>
      <c r="Q44" t="s">
        <v>74</v>
      </c>
      <c r="R44" t="s">
        <v>298</v>
      </c>
      <c r="S44" t="s">
        <v>32</v>
      </c>
      <c r="T44" s="2">
        <v>117.141621</v>
      </c>
      <c r="U44" s="2">
        <v>39.132705</v>
      </c>
    </row>
    <row r="45" spans="1:21">
      <c r="A45" t="s">
        <v>299</v>
      </c>
      <c r="B45" t="s">
        <v>300</v>
      </c>
      <c r="C45" t="s">
        <v>301</v>
      </c>
      <c r="D45" t="s">
        <v>302</v>
      </c>
      <c r="E45" t="s">
        <v>303</v>
      </c>
      <c r="F45" t="s">
        <v>7</v>
      </c>
      <c r="G45" t="s">
        <v>7</v>
      </c>
      <c r="H45" t="s">
        <v>56</v>
      </c>
      <c r="I45" t="s">
        <v>245</v>
      </c>
      <c r="J45" t="s">
        <v>302</v>
      </c>
      <c r="K45" t="s">
        <v>32</v>
      </c>
      <c r="L45" t="s">
        <v>32</v>
      </c>
      <c r="M45" t="s">
        <v>36</v>
      </c>
      <c r="N45" t="s">
        <v>37</v>
      </c>
      <c r="O45" t="s">
        <v>38</v>
      </c>
      <c r="P45" t="s">
        <v>38</v>
      </c>
      <c r="Q45" t="s">
        <v>74</v>
      </c>
      <c r="R45" t="s">
        <v>304</v>
      </c>
      <c r="S45" t="s">
        <v>32</v>
      </c>
      <c r="T45" s="2">
        <v>117.135614</v>
      </c>
      <c r="U45" s="2">
        <v>39.224638</v>
      </c>
    </row>
    <row r="46" spans="1:21">
      <c r="A46" t="s">
        <v>305</v>
      </c>
      <c r="B46" t="s">
        <v>306</v>
      </c>
      <c r="C46" t="s">
        <v>307</v>
      </c>
      <c r="D46" t="s">
        <v>308</v>
      </c>
      <c r="E46" t="s">
        <v>309</v>
      </c>
      <c r="F46" t="s">
        <v>7</v>
      </c>
      <c r="G46" t="s">
        <v>7</v>
      </c>
      <c r="H46" t="s">
        <v>63</v>
      </c>
      <c r="I46" t="s">
        <v>51</v>
      </c>
      <c r="J46" t="s">
        <v>308</v>
      </c>
      <c r="K46" t="s">
        <v>32</v>
      </c>
      <c r="L46" t="s">
        <v>32</v>
      </c>
      <c r="M46" t="s">
        <v>36</v>
      </c>
      <c r="N46" t="s">
        <v>37</v>
      </c>
      <c r="O46" t="s">
        <v>38</v>
      </c>
      <c r="P46" t="s">
        <v>38</v>
      </c>
      <c r="Q46" t="s">
        <v>74</v>
      </c>
      <c r="R46" t="s">
        <v>310</v>
      </c>
      <c r="S46" t="s">
        <v>32</v>
      </c>
      <c r="T46" s="2">
        <v>117.305457</v>
      </c>
      <c r="U46" s="2">
        <v>39.045347</v>
      </c>
    </row>
    <row r="47" spans="1:21">
      <c r="A47" t="s">
        <v>311</v>
      </c>
      <c r="B47" t="s">
        <v>277</v>
      </c>
      <c r="C47" t="s">
        <v>312</v>
      </c>
      <c r="D47" t="s">
        <v>313</v>
      </c>
      <c r="E47" t="s">
        <v>314</v>
      </c>
      <c r="F47" t="s">
        <v>7</v>
      </c>
      <c r="G47" t="s">
        <v>7</v>
      </c>
      <c r="H47" t="s">
        <v>56</v>
      </c>
      <c r="I47" t="s">
        <v>239</v>
      </c>
      <c r="J47" t="s">
        <v>313</v>
      </c>
      <c r="K47" t="s">
        <v>32</v>
      </c>
      <c r="L47" t="s">
        <v>32</v>
      </c>
      <c r="M47" t="s">
        <v>36</v>
      </c>
      <c r="N47" t="s">
        <v>37</v>
      </c>
      <c r="O47" t="s">
        <v>38</v>
      </c>
      <c r="P47" t="s">
        <v>38</v>
      </c>
      <c r="Q47" t="s">
        <v>74</v>
      </c>
      <c r="R47" t="s">
        <v>315</v>
      </c>
      <c r="S47" t="s">
        <v>32</v>
      </c>
      <c r="T47" s="2">
        <v>117.234665</v>
      </c>
      <c r="U47" s="2">
        <v>39.221131</v>
      </c>
    </row>
    <row r="48" spans="1:21">
      <c r="A48" t="s">
        <v>316</v>
      </c>
      <c r="B48" t="s">
        <v>317</v>
      </c>
      <c r="C48" t="s">
        <v>318</v>
      </c>
      <c r="D48" t="s">
        <v>32</v>
      </c>
      <c r="E48" t="s">
        <v>319</v>
      </c>
      <c r="F48" t="s">
        <v>7</v>
      </c>
      <c r="G48" t="s">
        <v>7</v>
      </c>
      <c r="H48" t="s">
        <v>320</v>
      </c>
      <c r="I48" t="s">
        <v>189</v>
      </c>
      <c r="J48" t="s">
        <v>32</v>
      </c>
      <c r="K48" t="s">
        <v>32</v>
      </c>
      <c r="L48" t="s">
        <v>32</v>
      </c>
      <c r="M48" t="s">
        <v>36</v>
      </c>
      <c r="N48" t="s">
        <v>37</v>
      </c>
      <c r="O48" t="s">
        <v>38</v>
      </c>
      <c r="P48" t="s">
        <v>38</v>
      </c>
      <c r="Q48" t="s">
        <v>57</v>
      </c>
      <c r="R48" t="s">
        <v>321</v>
      </c>
      <c r="S48" t="s">
        <v>32</v>
      </c>
      <c r="T48" s="2">
        <v>117.201509</v>
      </c>
      <c r="U48" s="2">
        <v>39.085318</v>
      </c>
    </row>
    <row r="49" spans="1:21">
      <c r="A49" t="s">
        <v>322</v>
      </c>
      <c r="B49" t="s">
        <v>323</v>
      </c>
      <c r="C49" t="s">
        <v>324</v>
      </c>
      <c r="D49" t="s">
        <v>32</v>
      </c>
      <c r="E49" t="s">
        <v>325</v>
      </c>
      <c r="F49" t="s">
        <v>7</v>
      </c>
      <c r="G49" t="s">
        <v>7</v>
      </c>
      <c r="H49" t="s">
        <v>73</v>
      </c>
      <c r="I49" t="s">
        <v>189</v>
      </c>
      <c r="J49" t="s">
        <v>32</v>
      </c>
      <c r="K49" t="s">
        <v>32</v>
      </c>
      <c r="L49" t="s">
        <v>32</v>
      </c>
      <c r="M49" t="s">
        <v>36</v>
      </c>
      <c r="N49" t="s">
        <v>37</v>
      </c>
      <c r="O49" t="s">
        <v>38</v>
      </c>
      <c r="P49" t="s">
        <v>38</v>
      </c>
      <c r="Q49" t="s">
        <v>74</v>
      </c>
      <c r="R49" t="s">
        <v>326</v>
      </c>
      <c r="S49" t="s">
        <v>32</v>
      </c>
      <c r="T49" s="2">
        <v>117.322696</v>
      </c>
      <c r="U49" s="2">
        <v>39.148817</v>
      </c>
    </row>
    <row r="50" spans="1:21">
      <c r="A50" t="s">
        <v>327</v>
      </c>
      <c r="B50" t="s">
        <v>328</v>
      </c>
      <c r="C50" t="s">
        <v>329</v>
      </c>
      <c r="D50" t="s">
        <v>32</v>
      </c>
      <c r="E50" t="s">
        <v>330</v>
      </c>
      <c r="F50" t="s">
        <v>7</v>
      </c>
      <c r="G50" t="s">
        <v>7</v>
      </c>
      <c r="H50" t="s">
        <v>34</v>
      </c>
      <c r="I50" t="s">
        <v>51</v>
      </c>
      <c r="J50" t="s">
        <v>331</v>
      </c>
      <c r="K50" t="s">
        <v>32</v>
      </c>
      <c r="L50" t="s">
        <v>32</v>
      </c>
      <c r="M50" t="s">
        <v>36</v>
      </c>
      <c r="N50" t="s">
        <v>37</v>
      </c>
      <c r="O50" t="s">
        <v>38</v>
      </c>
      <c r="P50" t="s">
        <v>38</v>
      </c>
      <c r="Q50" t="s">
        <v>45</v>
      </c>
      <c r="R50" t="s">
        <v>332</v>
      </c>
      <c r="S50" t="s">
        <v>32</v>
      </c>
      <c r="T50" s="2">
        <v>117.138465</v>
      </c>
      <c r="U50" s="2">
        <v>39.134771</v>
      </c>
    </row>
    <row r="51" spans="1:21">
      <c r="A51" t="s">
        <v>333</v>
      </c>
      <c r="B51" t="s">
        <v>40</v>
      </c>
      <c r="C51" t="s">
        <v>334</v>
      </c>
      <c r="D51" t="s">
        <v>32</v>
      </c>
      <c r="E51" t="s">
        <v>335</v>
      </c>
      <c r="F51" t="s">
        <v>7</v>
      </c>
      <c r="G51" t="s">
        <v>7</v>
      </c>
      <c r="H51" t="s">
        <v>43</v>
      </c>
      <c r="I51" t="s">
        <v>336</v>
      </c>
      <c r="J51" t="s">
        <v>32</v>
      </c>
      <c r="K51" t="s">
        <v>32</v>
      </c>
      <c r="L51" t="s">
        <v>32</v>
      </c>
      <c r="M51" t="s">
        <v>36</v>
      </c>
      <c r="N51" t="s">
        <v>37</v>
      </c>
      <c r="O51" t="s">
        <v>38</v>
      </c>
      <c r="P51" t="s">
        <v>38</v>
      </c>
      <c r="Q51" t="s">
        <v>45</v>
      </c>
      <c r="R51" t="s">
        <v>337</v>
      </c>
      <c r="S51" t="s">
        <v>32</v>
      </c>
      <c r="T51" s="2">
        <v>117.06803</v>
      </c>
      <c r="U51" s="2">
        <v>39.149304</v>
      </c>
    </row>
    <row r="52" spans="1:21">
      <c r="A52" t="s">
        <v>338</v>
      </c>
      <c r="B52" t="s">
        <v>40</v>
      </c>
      <c r="C52" t="s">
        <v>339</v>
      </c>
      <c r="D52" t="s">
        <v>32</v>
      </c>
      <c r="E52" t="s">
        <v>340</v>
      </c>
      <c r="F52" t="s">
        <v>7</v>
      </c>
      <c r="G52" t="s">
        <v>7</v>
      </c>
      <c r="H52" t="s">
        <v>56</v>
      </c>
      <c r="I52" t="s">
        <v>44</v>
      </c>
      <c r="J52" t="s">
        <v>32</v>
      </c>
      <c r="K52" t="s">
        <v>32</v>
      </c>
      <c r="L52" t="s">
        <v>32</v>
      </c>
      <c r="M52" t="s">
        <v>36</v>
      </c>
      <c r="N52" t="s">
        <v>37</v>
      </c>
      <c r="O52" t="s">
        <v>38</v>
      </c>
      <c r="P52" t="s">
        <v>38</v>
      </c>
      <c r="Q52" t="s">
        <v>45</v>
      </c>
      <c r="R52" t="s">
        <v>341</v>
      </c>
      <c r="S52" t="s">
        <v>32</v>
      </c>
      <c r="T52" s="2">
        <v>117.159852</v>
      </c>
      <c r="U52" s="2">
        <v>39.216884</v>
      </c>
    </row>
    <row r="53" spans="1:21">
      <c r="A53" t="s">
        <v>342</v>
      </c>
      <c r="B53" t="s">
        <v>343</v>
      </c>
      <c r="C53" t="s">
        <v>344</v>
      </c>
      <c r="D53" t="s">
        <v>32</v>
      </c>
      <c r="E53" t="s">
        <v>345</v>
      </c>
      <c r="F53" t="s">
        <v>7</v>
      </c>
      <c r="G53" t="s">
        <v>7</v>
      </c>
      <c r="H53" t="s">
        <v>73</v>
      </c>
      <c r="I53" t="s">
        <v>51</v>
      </c>
      <c r="J53" t="s">
        <v>32</v>
      </c>
      <c r="K53" t="s">
        <v>32</v>
      </c>
      <c r="L53" t="s">
        <v>32</v>
      </c>
      <c r="M53" t="s">
        <v>36</v>
      </c>
      <c r="N53" t="s">
        <v>37</v>
      </c>
      <c r="O53" t="s">
        <v>38</v>
      </c>
      <c r="P53" t="s">
        <v>38</v>
      </c>
      <c r="Q53" t="s">
        <v>45</v>
      </c>
      <c r="R53" t="s">
        <v>346</v>
      </c>
      <c r="S53" t="s">
        <v>32</v>
      </c>
      <c r="T53" s="2">
        <v>117.343141</v>
      </c>
      <c r="U53" s="2">
        <v>39.098636</v>
      </c>
    </row>
    <row r="54" spans="1:21">
      <c r="A54" t="s">
        <v>347</v>
      </c>
      <c r="B54" t="s">
        <v>40</v>
      </c>
      <c r="C54" t="s">
        <v>348</v>
      </c>
      <c r="D54" t="s">
        <v>32</v>
      </c>
      <c r="E54" t="s">
        <v>349</v>
      </c>
      <c r="F54" t="s">
        <v>7</v>
      </c>
      <c r="G54" t="s">
        <v>7</v>
      </c>
      <c r="H54" t="s">
        <v>43</v>
      </c>
      <c r="I54" t="s">
        <v>350</v>
      </c>
      <c r="J54" t="s">
        <v>32</v>
      </c>
      <c r="K54" t="s">
        <v>32</v>
      </c>
      <c r="L54" t="s">
        <v>32</v>
      </c>
      <c r="M54" t="s">
        <v>36</v>
      </c>
      <c r="N54" t="s">
        <v>37</v>
      </c>
      <c r="O54" t="s">
        <v>38</v>
      </c>
      <c r="P54" t="s">
        <v>38</v>
      </c>
      <c r="Q54" t="s">
        <v>45</v>
      </c>
      <c r="R54" t="s">
        <v>351</v>
      </c>
      <c r="S54" t="s">
        <v>32</v>
      </c>
      <c r="T54" s="2">
        <v>117.095751</v>
      </c>
      <c r="U54" s="2">
        <v>39.127041</v>
      </c>
    </row>
    <row r="55" spans="1:21">
      <c r="A55" t="s">
        <v>352</v>
      </c>
      <c r="B55" t="s">
        <v>353</v>
      </c>
      <c r="C55" t="s">
        <v>354</v>
      </c>
      <c r="D55" t="s">
        <v>355</v>
      </c>
      <c r="E55" t="s">
        <v>356</v>
      </c>
      <c r="F55" t="s">
        <v>7</v>
      </c>
      <c r="G55" t="s">
        <v>7</v>
      </c>
      <c r="H55" t="s">
        <v>43</v>
      </c>
      <c r="I55" t="s">
        <v>51</v>
      </c>
      <c r="J55" t="s">
        <v>355</v>
      </c>
      <c r="K55" t="s">
        <v>32</v>
      </c>
      <c r="L55" t="s">
        <v>32</v>
      </c>
      <c r="M55" t="s">
        <v>36</v>
      </c>
      <c r="N55" t="s">
        <v>37</v>
      </c>
      <c r="O55" t="s">
        <v>38</v>
      </c>
      <c r="P55" t="s">
        <v>38</v>
      </c>
      <c r="Q55" t="s">
        <v>45</v>
      </c>
      <c r="R55" t="s">
        <v>357</v>
      </c>
      <c r="S55" t="s">
        <v>32</v>
      </c>
      <c r="T55" s="2">
        <v>117.106809</v>
      </c>
      <c r="U55" s="2">
        <v>39.142054</v>
      </c>
    </row>
    <row r="56" spans="1:21">
      <c r="A56" t="s">
        <v>358</v>
      </c>
      <c r="B56" t="s">
        <v>359</v>
      </c>
      <c r="C56" t="s">
        <v>360</v>
      </c>
      <c r="D56" t="s">
        <v>32</v>
      </c>
      <c r="E56" t="s">
        <v>361</v>
      </c>
      <c r="F56" t="s">
        <v>7</v>
      </c>
      <c r="G56" t="s">
        <v>7</v>
      </c>
      <c r="H56" t="s">
        <v>43</v>
      </c>
      <c r="I56" t="s">
        <v>350</v>
      </c>
      <c r="J56" t="s">
        <v>32</v>
      </c>
      <c r="K56" t="s">
        <v>32</v>
      </c>
      <c r="L56" t="s">
        <v>32</v>
      </c>
      <c r="M56" t="s">
        <v>36</v>
      </c>
      <c r="N56" t="s">
        <v>37</v>
      </c>
      <c r="O56" t="s">
        <v>38</v>
      </c>
      <c r="P56" t="s">
        <v>38</v>
      </c>
      <c r="Q56" t="s">
        <v>45</v>
      </c>
      <c r="R56" t="s">
        <v>362</v>
      </c>
      <c r="S56" t="s">
        <v>32</v>
      </c>
      <c r="T56" s="2">
        <v>117.106264</v>
      </c>
      <c r="U56" s="2">
        <v>39.14221</v>
      </c>
    </row>
    <row r="57" spans="1:21">
      <c r="A57" t="s">
        <v>363</v>
      </c>
      <c r="B57" t="s">
        <v>364</v>
      </c>
      <c r="C57" t="s">
        <v>365</v>
      </c>
      <c r="D57" t="s">
        <v>32</v>
      </c>
      <c r="E57" t="s">
        <v>366</v>
      </c>
      <c r="F57" t="s">
        <v>7</v>
      </c>
      <c r="G57" t="s">
        <v>7</v>
      </c>
      <c r="H57" t="s">
        <v>133</v>
      </c>
      <c r="I57" t="s">
        <v>51</v>
      </c>
      <c r="J57" t="s">
        <v>32</v>
      </c>
      <c r="K57" t="s">
        <v>32</v>
      </c>
      <c r="L57" t="s">
        <v>32</v>
      </c>
      <c r="M57" t="s">
        <v>36</v>
      </c>
      <c r="N57" t="s">
        <v>37</v>
      </c>
      <c r="O57" t="s">
        <v>38</v>
      </c>
      <c r="P57" t="s">
        <v>38</v>
      </c>
      <c r="Q57" t="s">
        <v>45</v>
      </c>
      <c r="R57" t="s">
        <v>367</v>
      </c>
      <c r="S57" t="s">
        <v>32</v>
      </c>
      <c r="T57" s="2">
        <v>117.147412</v>
      </c>
      <c r="U57" s="2">
        <v>39.177884</v>
      </c>
    </row>
    <row r="58" spans="1:21">
      <c r="A58" t="s">
        <v>368</v>
      </c>
      <c r="B58" t="s">
        <v>369</v>
      </c>
      <c r="C58" t="s">
        <v>370</v>
      </c>
      <c r="D58" t="s">
        <v>32</v>
      </c>
      <c r="E58" t="s">
        <v>371</v>
      </c>
      <c r="F58" t="s">
        <v>7</v>
      </c>
      <c r="G58" t="s">
        <v>7</v>
      </c>
      <c r="H58" t="s">
        <v>63</v>
      </c>
      <c r="I58" t="s">
        <v>51</v>
      </c>
      <c r="J58" t="s">
        <v>32</v>
      </c>
      <c r="K58" t="s">
        <v>32</v>
      </c>
      <c r="L58" t="s">
        <v>32</v>
      </c>
      <c r="M58" t="s">
        <v>36</v>
      </c>
      <c r="N58" t="s">
        <v>37</v>
      </c>
      <c r="O58" t="s">
        <v>38</v>
      </c>
      <c r="P58" t="s">
        <v>38</v>
      </c>
      <c r="Q58" t="s">
        <v>45</v>
      </c>
      <c r="R58" t="s">
        <v>372</v>
      </c>
      <c r="S58" t="s">
        <v>32</v>
      </c>
      <c r="T58" s="2">
        <v>117.292197</v>
      </c>
      <c r="U58" s="2">
        <v>39.053197</v>
      </c>
    </row>
    <row r="59" spans="1:21">
      <c r="A59" t="s">
        <v>373</v>
      </c>
      <c r="B59" t="s">
        <v>374</v>
      </c>
      <c r="C59" t="s">
        <v>375</v>
      </c>
      <c r="D59" t="s">
        <v>32</v>
      </c>
      <c r="E59" t="s">
        <v>376</v>
      </c>
      <c r="F59" t="s">
        <v>7</v>
      </c>
      <c r="G59" t="s">
        <v>7</v>
      </c>
      <c r="H59" t="s">
        <v>73</v>
      </c>
      <c r="I59" t="s">
        <v>44</v>
      </c>
      <c r="J59" t="s">
        <v>32</v>
      </c>
      <c r="K59" t="s">
        <v>32</v>
      </c>
      <c r="L59" t="s">
        <v>32</v>
      </c>
      <c r="M59" t="s">
        <v>36</v>
      </c>
      <c r="N59" t="s">
        <v>37</v>
      </c>
      <c r="O59" t="s">
        <v>38</v>
      </c>
      <c r="P59" t="s">
        <v>38</v>
      </c>
      <c r="Q59" t="s">
        <v>45</v>
      </c>
      <c r="R59" t="s">
        <v>377</v>
      </c>
      <c r="S59" t="s">
        <v>32</v>
      </c>
      <c r="T59" s="2">
        <v>117.34553</v>
      </c>
      <c r="U59" s="2">
        <v>39.097235</v>
      </c>
    </row>
    <row r="60" spans="1:21">
      <c r="A60" t="s">
        <v>378</v>
      </c>
      <c r="B60" t="s">
        <v>40</v>
      </c>
      <c r="C60" t="s">
        <v>379</v>
      </c>
      <c r="D60" t="s">
        <v>32</v>
      </c>
      <c r="E60" t="s">
        <v>380</v>
      </c>
      <c r="F60" t="s">
        <v>7</v>
      </c>
      <c r="G60" t="s">
        <v>7</v>
      </c>
      <c r="H60" t="s">
        <v>73</v>
      </c>
      <c r="I60" t="s">
        <v>350</v>
      </c>
      <c r="J60" t="s">
        <v>32</v>
      </c>
      <c r="K60" t="s">
        <v>32</v>
      </c>
      <c r="L60" t="s">
        <v>32</v>
      </c>
      <c r="M60" t="s">
        <v>36</v>
      </c>
      <c r="N60" t="s">
        <v>37</v>
      </c>
      <c r="O60" t="s">
        <v>66</v>
      </c>
      <c r="P60" t="s">
        <v>66</v>
      </c>
      <c r="Q60" t="s">
        <v>45</v>
      </c>
      <c r="R60" t="s">
        <v>381</v>
      </c>
      <c r="S60" t="s">
        <v>32</v>
      </c>
      <c r="T60" s="2">
        <v>117.328263</v>
      </c>
      <c r="U60" s="2">
        <v>39.090847</v>
      </c>
    </row>
    <row r="61" spans="1:21">
      <c r="A61" t="s">
        <v>382</v>
      </c>
      <c r="B61" t="s">
        <v>383</v>
      </c>
      <c r="C61" t="s">
        <v>384</v>
      </c>
      <c r="D61" t="s">
        <v>32</v>
      </c>
      <c r="E61" t="s">
        <v>385</v>
      </c>
      <c r="F61" t="s">
        <v>7</v>
      </c>
      <c r="G61" t="s">
        <v>7</v>
      </c>
      <c r="H61" t="s">
        <v>262</v>
      </c>
      <c r="I61" t="s">
        <v>51</v>
      </c>
      <c r="J61" t="s">
        <v>386</v>
      </c>
      <c r="K61" t="s">
        <v>32</v>
      </c>
      <c r="L61" t="s">
        <v>32</v>
      </c>
      <c r="M61" t="s">
        <v>36</v>
      </c>
      <c r="N61" t="s">
        <v>37</v>
      </c>
      <c r="O61" t="s">
        <v>38</v>
      </c>
      <c r="P61" t="s">
        <v>38</v>
      </c>
      <c r="Q61" t="s">
        <v>45</v>
      </c>
      <c r="R61" t="s">
        <v>387</v>
      </c>
      <c r="S61" t="s">
        <v>32</v>
      </c>
      <c r="T61" s="2">
        <v>117.214298</v>
      </c>
      <c r="U61" s="2">
        <v>39.18319</v>
      </c>
    </row>
    <row r="62" spans="1:21">
      <c r="A62" t="s">
        <v>388</v>
      </c>
      <c r="B62" t="s">
        <v>389</v>
      </c>
      <c r="C62" t="s">
        <v>390</v>
      </c>
      <c r="D62" t="s">
        <v>32</v>
      </c>
      <c r="E62" t="s">
        <v>391</v>
      </c>
      <c r="F62" t="s">
        <v>7</v>
      </c>
      <c r="G62" t="s">
        <v>7</v>
      </c>
      <c r="H62" t="s">
        <v>50</v>
      </c>
      <c r="I62" t="s">
        <v>189</v>
      </c>
      <c r="J62" t="s">
        <v>32</v>
      </c>
      <c r="K62" t="s">
        <v>32</v>
      </c>
      <c r="L62" t="s">
        <v>32</v>
      </c>
      <c r="M62" t="s">
        <v>36</v>
      </c>
      <c r="N62" t="s">
        <v>37</v>
      </c>
      <c r="O62" t="s">
        <v>38</v>
      </c>
      <c r="P62" t="s">
        <v>38</v>
      </c>
      <c r="Q62" t="s">
        <v>74</v>
      </c>
      <c r="R62" t="s">
        <v>392</v>
      </c>
      <c r="S62" t="s">
        <v>32</v>
      </c>
      <c r="T62" s="2">
        <v>117.249621</v>
      </c>
      <c r="U62" s="2">
        <v>39.027711</v>
      </c>
    </row>
    <row r="63" spans="1:21">
      <c r="A63" t="s">
        <v>393</v>
      </c>
      <c r="B63" t="s">
        <v>394</v>
      </c>
      <c r="C63" t="s">
        <v>395</v>
      </c>
      <c r="D63" t="s">
        <v>32</v>
      </c>
      <c r="E63" t="s">
        <v>396</v>
      </c>
      <c r="F63" t="s">
        <v>7</v>
      </c>
      <c r="G63" t="s">
        <v>7</v>
      </c>
      <c r="H63" t="s">
        <v>73</v>
      </c>
      <c r="I63" t="s">
        <v>44</v>
      </c>
      <c r="J63" t="s">
        <v>32</v>
      </c>
      <c r="K63" t="s">
        <v>32</v>
      </c>
      <c r="L63" t="s">
        <v>32</v>
      </c>
      <c r="M63" t="s">
        <v>36</v>
      </c>
      <c r="N63" t="s">
        <v>37</v>
      </c>
      <c r="O63" t="s">
        <v>38</v>
      </c>
      <c r="P63" t="s">
        <v>38</v>
      </c>
      <c r="Q63" t="s">
        <v>45</v>
      </c>
      <c r="R63" t="s">
        <v>397</v>
      </c>
      <c r="S63" t="s">
        <v>32</v>
      </c>
      <c r="T63" s="2">
        <v>117.260203</v>
      </c>
      <c r="U63" s="2">
        <v>39.186105</v>
      </c>
    </row>
    <row r="64" spans="1:21">
      <c r="A64" t="s">
        <v>398</v>
      </c>
      <c r="B64" t="s">
        <v>399</v>
      </c>
      <c r="C64" t="s">
        <v>400</v>
      </c>
      <c r="D64" t="s">
        <v>32</v>
      </c>
      <c r="E64" t="s">
        <v>401</v>
      </c>
      <c r="F64" t="s">
        <v>7</v>
      </c>
      <c r="G64" t="s">
        <v>7</v>
      </c>
      <c r="H64" t="s">
        <v>73</v>
      </c>
      <c r="I64" t="s">
        <v>245</v>
      </c>
      <c r="J64" t="s">
        <v>32</v>
      </c>
      <c r="K64" t="s">
        <v>32</v>
      </c>
      <c r="L64" t="s">
        <v>32</v>
      </c>
      <c r="M64" t="s">
        <v>36</v>
      </c>
      <c r="N64" t="s">
        <v>37</v>
      </c>
      <c r="O64" t="s">
        <v>38</v>
      </c>
      <c r="P64" t="s">
        <v>38</v>
      </c>
      <c r="Q64" t="s">
        <v>74</v>
      </c>
      <c r="R64" t="s">
        <v>402</v>
      </c>
      <c r="S64" t="s">
        <v>32</v>
      </c>
      <c r="T64" s="2">
        <v>117.276328</v>
      </c>
      <c r="U64" s="2">
        <v>39.1138</v>
      </c>
    </row>
    <row r="65" spans="1:21">
      <c r="A65" t="s">
        <v>403</v>
      </c>
      <c r="B65" t="s">
        <v>404</v>
      </c>
      <c r="C65" t="s">
        <v>405</v>
      </c>
      <c r="D65" t="s">
        <v>32</v>
      </c>
      <c r="E65" t="s">
        <v>406</v>
      </c>
      <c r="F65" t="s">
        <v>7</v>
      </c>
      <c r="G65" t="s">
        <v>7</v>
      </c>
      <c r="H65" t="s">
        <v>407</v>
      </c>
      <c r="I65" t="s">
        <v>245</v>
      </c>
      <c r="J65" t="s">
        <v>32</v>
      </c>
      <c r="K65" t="s">
        <v>32</v>
      </c>
      <c r="L65" t="s">
        <v>32</v>
      </c>
      <c r="M65" t="s">
        <v>36</v>
      </c>
      <c r="N65" t="s">
        <v>37</v>
      </c>
      <c r="O65" t="s">
        <v>38</v>
      </c>
      <c r="P65" t="s">
        <v>38</v>
      </c>
      <c r="Q65" t="s">
        <v>74</v>
      </c>
      <c r="R65" t="s">
        <v>408</v>
      </c>
      <c r="S65" t="s">
        <v>32</v>
      </c>
      <c r="T65" s="2">
        <v>117.201301</v>
      </c>
      <c r="U65" s="2">
        <v>39.105425</v>
      </c>
    </row>
    <row r="66" spans="1:21">
      <c r="A66" t="s">
        <v>409</v>
      </c>
      <c r="B66" t="s">
        <v>410</v>
      </c>
      <c r="C66" t="s">
        <v>411</v>
      </c>
      <c r="D66" t="s">
        <v>32</v>
      </c>
      <c r="E66" t="s">
        <v>412</v>
      </c>
      <c r="F66" t="s">
        <v>7</v>
      </c>
      <c r="G66" t="s">
        <v>7</v>
      </c>
      <c r="H66" t="s">
        <v>34</v>
      </c>
      <c r="I66" t="s">
        <v>245</v>
      </c>
      <c r="J66" t="s">
        <v>32</v>
      </c>
      <c r="K66" t="s">
        <v>32</v>
      </c>
      <c r="L66" t="s">
        <v>32</v>
      </c>
      <c r="M66" t="s">
        <v>36</v>
      </c>
      <c r="N66" t="s">
        <v>37</v>
      </c>
      <c r="O66" t="s">
        <v>38</v>
      </c>
      <c r="P66" t="s">
        <v>38</v>
      </c>
      <c r="Q66" t="s">
        <v>74</v>
      </c>
      <c r="R66" t="s">
        <v>413</v>
      </c>
      <c r="S66" t="s">
        <v>32</v>
      </c>
      <c r="T66" s="2">
        <v>117.164339</v>
      </c>
      <c r="U66" s="2">
        <v>39.129998</v>
      </c>
    </row>
    <row r="67" spans="1:21">
      <c r="A67" t="s">
        <v>414</v>
      </c>
      <c r="B67" t="s">
        <v>415</v>
      </c>
      <c r="C67" t="s">
        <v>416</v>
      </c>
      <c r="D67" t="s">
        <v>32</v>
      </c>
      <c r="E67" t="s">
        <v>417</v>
      </c>
      <c r="F67" t="s">
        <v>7</v>
      </c>
      <c r="G67" t="s">
        <v>7</v>
      </c>
      <c r="H67" t="s">
        <v>50</v>
      </c>
      <c r="I67" t="s">
        <v>189</v>
      </c>
      <c r="J67" t="s">
        <v>32</v>
      </c>
      <c r="K67" t="s">
        <v>32</v>
      </c>
      <c r="L67" t="s">
        <v>32</v>
      </c>
      <c r="M67" t="s">
        <v>36</v>
      </c>
      <c r="N67" t="s">
        <v>37</v>
      </c>
      <c r="O67" t="s">
        <v>38</v>
      </c>
      <c r="P67" t="s">
        <v>38</v>
      </c>
      <c r="Q67" t="s">
        <v>74</v>
      </c>
      <c r="R67" t="s">
        <v>418</v>
      </c>
      <c r="S67" t="s">
        <v>32</v>
      </c>
      <c r="T67" s="2">
        <v>117.264336</v>
      </c>
      <c r="U67" s="2">
        <v>39.059033</v>
      </c>
    </row>
    <row r="68" spans="1:21">
      <c r="A68" t="s">
        <v>419</v>
      </c>
      <c r="B68" t="s">
        <v>410</v>
      </c>
      <c r="C68" t="s">
        <v>420</v>
      </c>
      <c r="D68" t="s">
        <v>32</v>
      </c>
      <c r="E68" t="s">
        <v>421</v>
      </c>
      <c r="F68" t="s">
        <v>7</v>
      </c>
      <c r="G68" t="s">
        <v>7</v>
      </c>
      <c r="H68" t="s">
        <v>105</v>
      </c>
      <c r="I68" t="s">
        <v>189</v>
      </c>
      <c r="J68" t="s">
        <v>32</v>
      </c>
      <c r="K68" t="s">
        <v>32</v>
      </c>
      <c r="L68" t="s">
        <v>32</v>
      </c>
      <c r="M68" t="s">
        <v>36</v>
      </c>
      <c r="N68" t="s">
        <v>37</v>
      </c>
      <c r="O68" t="s">
        <v>38</v>
      </c>
      <c r="P68" t="s">
        <v>38</v>
      </c>
      <c r="Q68" t="s">
        <v>74</v>
      </c>
      <c r="R68" t="s">
        <v>422</v>
      </c>
      <c r="S68" t="s">
        <v>32</v>
      </c>
      <c r="T68" s="2">
        <v>117.311751</v>
      </c>
      <c r="U68" s="2">
        <v>39.088961</v>
      </c>
    </row>
    <row r="69" spans="1:21">
      <c r="A69" t="s">
        <v>423</v>
      </c>
      <c r="B69" t="s">
        <v>410</v>
      </c>
      <c r="C69" t="s">
        <v>424</v>
      </c>
      <c r="D69" t="s">
        <v>32</v>
      </c>
      <c r="E69" t="s">
        <v>425</v>
      </c>
      <c r="F69" t="s">
        <v>7</v>
      </c>
      <c r="G69" t="s">
        <v>7</v>
      </c>
      <c r="H69" t="s">
        <v>43</v>
      </c>
      <c r="I69" t="s">
        <v>189</v>
      </c>
      <c r="J69" t="s">
        <v>32</v>
      </c>
      <c r="K69" t="s">
        <v>32</v>
      </c>
      <c r="L69" t="s">
        <v>32</v>
      </c>
      <c r="M69" t="s">
        <v>36</v>
      </c>
      <c r="N69" t="s">
        <v>37</v>
      </c>
      <c r="O69" t="s">
        <v>38</v>
      </c>
      <c r="P69" t="s">
        <v>38</v>
      </c>
      <c r="Q69" t="s">
        <v>74</v>
      </c>
      <c r="R69" t="s">
        <v>426</v>
      </c>
      <c r="S69" t="s">
        <v>32</v>
      </c>
      <c r="T69" s="2">
        <v>117.122619</v>
      </c>
      <c r="U69" s="2">
        <v>39.004922</v>
      </c>
    </row>
    <row r="70" spans="1:21">
      <c r="A70" t="s">
        <v>427</v>
      </c>
      <c r="B70" t="s">
        <v>428</v>
      </c>
      <c r="C70" t="s">
        <v>429</v>
      </c>
      <c r="D70" t="s">
        <v>32</v>
      </c>
      <c r="E70" t="s">
        <v>430</v>
      </c>
      <c r="F70" t="s">
        <v>7</v>
      </c>
      <c r="G70" t="s">
        <v>7</v>
      </c>
      <c r="H70" t="s">
        <v>133</v>
      </c>
      <c r="I70" t="s">
        <v>189</v>
      </c>
      <c r="J70" t="s">
        <v>32</v>
      </c>
      <c r="K70" t="s">
        <v>32</v>
      </c>
      <c r="L70" t="s">
        <v>32</v>
      </c>
      <c r="M70" t="s">
        <v>36</v>
      </c>
      <c r="N70" t="s">
        <v>37</v>
      </c>
      <c r="O70" t="s">
        <v>38</v>
      </c>
      <c r="P70" t="s">
        <v>38</v>
      </c>
      <c r="Q70" t="s">
        <v>74</v>
      </c>
      <c r="R70" t="s">
        <v>431</v>
      </c>
      <c r="S70" t="s">
        <v>32</v>
      </c>
      <c r="T70" s="2">
        <v>117.148712</v>
      </c>
      <c r="U70" s="2">
        <v>39.177459</v>
      </c>
    </row>
    <row r="71" spans="1:21">
      <c r="A71" t="s">
        <v>432</v>
      </c>
      <c r="B71" t="s">
        <v>40</v>
      </c>
      <c r="C71" t="s">
        <v>433</v>
      </c>
      <c r="D71" t="s">
        <v>32</v>
      </c>
      <c r="E71" t="s">
        <v>434</v>
      </c>
      <c r="F71" t="s">
        <v>7</v>
      </c>
      <c r="G71" t="s">
        <v>7</v>
      </c>
      <c r="H71" t="s">
        <v>43</v>
      </c>
      <c r="I71" t="s">
        <v>350</v>
      </c>
      <c r="J71" t="s">
        <v>32</v>
      </c>
      <c r="K71" t="s">
        <v>32</v>
      </c>
      <c r="L71" t="s">
        <v>32</v>
      </c>
      <c r="M71" t="s">
        <v>36</v>
      </c>
      <c r="N71" t="s">
        <v>37</v>
      </c>
      <c r="O71" t="s">
        <v>38</v>
      </c>
      <c r="P71" t="s">
        <v>38</v>
      </c>
      <c r="Q71" t="s">
        <v>45</v>
      </c>
      <c r="R71" t="s">
        <v>435</v>
      </c>
      <c r="S71" t="s">
        <v>32</v>
      </c>
      <c r="T71" s="2">
        <v>117.06942</v>
      </c>
      <c r="U71" s="2">
        <v>39.109879</v>
      </c>
    </row>
    <row r="72" spans="1:21">
      <c r="A72" t="s">
        <v>436</v>
      </c>
      <c r="B72" t="s">
        <v>40</v>
      </c>
      <c r="C72" t="s">
        <v>437</v>
      </c>
      <c r="D72" t="s">
        <v>32</v>
      </c>
      <c r="E72" t="s">
        <v>438</v>
      </c>
      <c r="F72" t="s">
        <v>7</v>
      </c>
      <c r="G72" t="s">
        <v>7</v>
      </c>
      <c r="H72" t="s">
        <v>50</v>
      </c>
      <c r="I72" t="s">
        <v>350</v>
      </c>
      <c r="J72" t="s">
        <v>32</v>
      </c>
      <c r="K72" t="s">
        <v>32</v>
      </c>
      <c r="L72" t="s">
        <v>32</v>
      </c>
      <c r="M72" t="s">
        <v>36</v>
      </c>
      <c r="N72" t="s">
        <v>37</v>
      </c>
      <c r="O72" t="s">
        <v>38</v>
      </c>
      <c r="P72" t="s">
        <v>38</v>
      </c>
      <c r="Q72" t="s">
        <v>45</v>
      </c>
      <c r="R72" t="s">
        <v>439</v>
      </c>
      <c r="S72" t="s">
        <v>32</v>
      </c>
      <c r="T72" s="2">
        <v>117.229814</v>
      </c>
      <c r="U72" s="2">
        <v>39.087015</v>
      </c>
    </row>
    <row r="73" spans="1:21">
      <c r="A73" t="s">
        <v>440</v>
      </c>
      <c r="B73" t="s">
        <v>40</v>
      </c>
      <c r="C73" t="s">
        <v>441</v>
      </c>
      <c r="D73" t="s">
        <v>32</v>
      </c>
      <c r="E73" t="s">
        <v>442</v>
      </c>
      <c r="F73" t="s">
        <v>7</v>
      </c>
      <c r="G73" t="s">
        <v>7</v>
      </c>
      <c r="H73" t="s">
        <v>50</v>
      </c>
      <c r="I73" t="s">
        <v>350</v>
      </c>
      <c r="J73" t="s">
        <v>32</v>
      </c>
      <c r="K73" t="s">
        <v>32</v>
      </c>
      <c r="L73" t="s">
        <v>32</v>
      </c>
      <c r="M73" t="s">
        <v>36</v>
      </c>
      <c r="N73" t="s">
        <v>37</v>
      </c>
      <c r="O73" t="s">
        <v>38</v>
      </c>
      <c r="P73" t="s">
        <v>38</v>
      </c>
      <c r="Q73" t="s">
        <v>45</v>
      </c>
      <c r="R73" t="s">
        <v>443</v>
      </c>
      <c r="S73" t="s">
        <v>32</v>
      </c>
      <c r="T73" s="2">
        <v>117.248263</v>
      </c>
      <c r="U73" s="2">
        <v>39.06209</v>
      </c>
    </row>
    <row r="74" spans="1:21">
      <c r="A74" t="s">
        <v>444</v>
      </c>
      <c r="B74" t="s">
        <v>40</v>
      </c>
      <c r="C74" t="s">
        <v>445</v>
      </c>
      <c r="D74" t="s">
        <v>32</v>
      </c>
      <c r="E74" t="s">
        <v>446</v>
      </c>
      <c r="F74" t="s">
        <v>7</v>
      </c>
      <c r="G74" t="s">
        <v>7</v>
      </c>
      <c r="H74" t="s">
        <v>50</v>
      </c>
      <c r="I74" t="s">
        <v>350</v>
      </c>
      <c r="J74" t="s">
        <v>32</v>
      </c>
      <c r="K74" t="s">
        <v>32</v>
      </c>
      <c r="L74" t="s">
        <v>32</v>
      </c>
      <c r="M74" t="s">
        <v>36</v>
      </c>
      <c r="N74" t="s">
        <v>37</v>
      </c>
      <c r="O74" t="s">
        <v>38</v>
      </c>
      <c r="P74" t="s">
        <v>38</v>
      </c>
      <c r="Q74" t="s">
        <v>45</v>
      </c>
      <c r="R74" t="s">
        <v>447</v>
      </c>
      <c r="S74" t="s">
        <v>32</v>
      </c>
      <c r="T74" s="2">
        <v>117.219023</v>
      </c>
      <c r="U74" s="2">
        <v>39.108054</v>
      </c>
    </row>
    <row r="75" spans="1:21">
      <c r="A75" t="s">
        <v>448</v>
      </c>
      <c r="B75" t="s">
        <v>40</v>
      </c>
      <c r="C75" t="s">
        <v>449</v>
      </c>
      <c r="D75" t="s">
        <v>32</v>
      </c>
      <c r="E75" t="s">
        <v>450</v>
      </c>
      <c r="F75" t="s">
        <v>7</v>
      </c>
      <c r="G75" t="s">
        <v>7</v>
      </c>
      <c r="H75" t="s">
        <v>56</v>
      </c>
      <c r="I75" t="s">
        <v>350</v>
      </c>
      <c r="J75" t="s">
        <v>32</v>
      </c>
      <c r="K75" t="s">
        <v>32</v>
      </c>
      <c r="L75" t="s">
        <v>32</v>
      </c>
      <c r="M75" t="s">
        <v>36</v>
      </c>
      <c r="N75" t="s">
        <v>37</v>
      </c>
      <c r="O75" t="s">
        <v>38</v>
      </c>
      <c r="P75" t="s">
        <v>38</v>
      </c>
      <c r="Q75" t="s">
        <v>45</v>
      </c>
      <c r="R75" t="s">
        <v>451</v>
      </c>
      <c r="S75" t="s">
        <v>32</v>
      </c>
      <c r="T75" s="2">
        <v>117.217429</v>
      </c>
      <c r="U75" s="2">
        <v>39.198171</v>
      </c>
    </row>
    <row r="76" spans="1:21">
      <c r="A76" t="s">
        <v>452</v>
      </c>
      <c r="B76" t="s">
        <v>242</v>
      </c>
      <c r="C76" t="s">
        <v>453</v>
      </c>
      <c r="D76" t="s">
        <v>32</v>
      </c>
      <c r="E76" t="s">
        <v>454</v>
      </c>
      <c r="F76" t="s">
        <v>7</v>
      </c>
      <c r="G76" t="s">
        <v>7</v>
      </c>
      <c r="H76" t="s">
        <v>43</v>
      </c>
      <c r="I76" t="s">
        <v>189</v>
      </c>
      <c r="J76" t="s">
        <v>32</v>
      </c>
      <c r="K76" t="s">
        <v>32</v>
      </c>
      <c r="L76" t="s">
        <v>32</v>
      </c>
      <c r="M76" t="s">
        <v>36</v>
      </c>
      <c r="N76" t="s">
        <v>37</v>
      </c>
      <c r="O76" t="s">
        <v>38</v>
      </c>
      <c r="P76" t="s">
        <v>38</v>
      </c>
      <c r="Q76" t="s">
        <v>74</v>
      </c>
      <c r="R76" t="s">
        <v>455</v>
      </c>
      <c r="S76" t="s">
        <v>32</v>
      </c>
      <c r="T76" s="2">
        <v>117.008994</v>
      </c>
      <c r="U76" s="2">
        <v>39.141811</v>
      </c>
    </row>
    <row r="77" spans="1:21">
      <c r="A77" t="s">
        <v>456</v>
      </c>
      <c r="B77" t="s">
        <v>173</v>
      </c>
      <c r="C77" t="s">
        <v>457</v>
      </c>
      <c r="D77" t="s">
        <v>458</v>
      </c>
      <c r="E77" t="s">
        <v>459</v>
      </c>
      <c r="F77" t="s">
        <v>7</v>
      </c>
      <c r="G77" t="s">
        <v>7</v>
      </c>
      <c r="H77" t="s">
        <v>63</v>
      </c>
      <c r="I77" t="s">
        <v>460</v>
      </c>
      <c r="J77" t="s">
        <v>458</v>
      </c>
      <c r="K77" t="s">
        <v>32</v>
      </c>
      <c r="L77" t="s">
        <v>32</v>
      </c>
      <c r="M77" t="s">
        <v>36</v>
      </c>
      <c r="N77" t="s">
        <v>37</v>
      </c>
      <c r="O77" t="s">
        <v>38</v>
      </c>
      <c r="P77" t="s">
        <v>38</v>
      </c>
      <c r="Q77" t="s">
        <v>32</v>
      </c>
      <c r="R77" t="s">
        <v>461</v>
      </c>
      <c r="S77" t="s">
        <v>32</v>
      </c>
      <c r="T77" s="2">
        <v>117.307949</v>
      </c>
      <c r="U77" s="2">
        <v>39.038798</v>
      </c>
    </row>
    <row r="78" spans="1:21">
      <c r="A78" t="s">
        <v>462</v>
      </c>
      <c r="B78" t="s">
        <v>328</v>
      </c>
      <c r="C78" t="s">
        <v>463</v>
      </c>
      <c r="D78" t="s">
        <v>32</v>
      </c>
      <c r="E78" t="s">
        <v>464</v>
      </c>
      <c r="F78" t="s">
        <v>7</v>
      </c>
      <c r="G78" t="s">
        <v>7</v>
      </c>
      <c r="H78" t="s">
        <v>50</v>
      </c>
      <c r="I78" t="s">
        <v>245</v>
      </c>
      <c r="J78" t="s">
        <v>32</v>
      </c>
      <c r="K78" t="s">
        <v>32</v>
      </c>
      <c r="L78" t="s">
        <v>32</v>
      </c>
      <c r="M78" t="s">
        <v>36</v>
      </c>
      <c r="N78" t="s">
        <v>37</v>
      </c>
      <c r="O78" t="s">
        <v>38</v>
      </c>
      <c r="P78" t="s">
        <v>38</v>
      </c>
      <c r="Q78" t="s">
        <v>45</v>
      </c>
      <c r="R78" t="s">
        <v>465</v>
      </c>
      <c r="S78" t="s">
        <v>32</v>
      </c>
      <c r="T78" s="2">
        <v>117.185769</v>
      </c>
      <c r="U78" s="2">
        <v>39.084677</v>
      </c>
    </row>
    <row r="79" spans="1:21">
      <c r="A79" t="s">
        <v>466</v>
      </c>
      <c r="B79" t="s">
        <v>40</v>
      </c>
      <c r="C79" t="s">
        <v>467</v>
      </c>
      <c r="D79" t="s">
        <v>32</v>
      </c>
      <c r="E79" t="s">
        <v>468</v>
      </c>
      <c r="F79" t="s">
        <v>7</v>
      </c>
      <c r="G79" t="s">
        <v>7</v>
      </c>
      <c r="H79" t="s">
        <v>56</v>
      </c>
      <c r="I79" t="s">
        <v>350</v>
      </c>
      <c r="J79" t="s">
        <v>32</v>
      </c>
      <c r="K79" t="s">
        <v>32</v>
      </c>
      <c r="L79" t="s">
        <v>32</v>
      </c>
      <c r="M79" t="s">
        <v>36</v>
      </c>
      <c r="N79" t="s">
        <v>37</v>
      </c>
      <c r="O79" t="s">
        <v>38</v>
      </c>
      <c r="P79" t="s">
        <v>38</v>
      </c>
      <c r="Q79" t="s">
        <v>45</v>
      </c>
      <c r="R79" t="s">
        <v>469</v>
      </c>
      <c r="S79" t="s">
        <v>32</v>
      </c>
      <c r="T79" s="2">
        <v>117.08645</v>
      </c>
      <c r="U79" s="2">
        <v>39.193409</v>
      </c>
    </row>
    <row r="80" spans="1:21">
      <c r="A80" t="s">
        <v>470</v>
      </c>
      <c r="B80" t="s">
        <v>328</v>
      </c>
      <c r="C80" t="s">
        <v>471</v>
      </c>
      <c r="D80" t="s">
        <v>32</v>
      </c>
      <c r="E80" t="s">
        <v>472</v>
      </c>
      <c r="F80" t="s">
        <v>7</v>
      </c>
      <c r="G80" t="s">
        <v>7</v>
      </c>
      <c r="H80" t="s">
        <v>133</v>
      </c>
      <c r="I80" t="s">
        <v>245</v>
      </c>
      <c r="J80" t="s">
        <v>32</v>
      </c>
      <c r="K80" t="s">
        <v>32</v>
      </c>
      <c r="L80" t="s">
        <v>32</v>
      </c>
      <c r="M80" t="s">
        <v>36</v>
      </c>
      <c r="N80" t="s">
        <v>37</v>
      </c>
      <c r="O80" t="s">
        <v>38</v>
      </c>
      <c r="P80" t="s">
        <v>38</v>
      </c>
      <c r="Q80" t="s">
        <v>45</v>
      </c>
      <c r="R80" t="s">
        <v>473</v>
      </c>
      <c r="S80" t="s">
        <v>32</v>
      </c>
      <c r="T80" s="2">
        <v>117.153419</v>
      </c>
      <c r="U80" s="2">
        <v>39.145469</v>
      </c>
    </row>
    <row r="81" spans="1:21">
      <c r="A81" t="s">
        <v>474</v>
      </c>
      <c r="B81" t="s">
        <v>40</v>
      </c>
      <c r="C81" t="s">
        <v>475</v>
      </c>
      <c r="D81" t="s">
        <v>32</v>
      </c>
      <c r="E81" t="s">
        <v>476</v>
      </c>
      <c r="F81" t="s">
        <v>7</v>
      </c>
      <c r="G81" t="s">
        <v>7</v>
      </c>
      <c r="H81" t="s">
        <v>105</v>
      </c>
      <c r="I81" t="s">
        <v>106</v>
      </c>
      <c r="J81" t="s">
        <v>32</v>
      </c>
      <c r="K81" t="s">
        <v>32</v>
      </c>
      <c r="L81" t="s">
        <v>32</v>
      </c>
      <c r="M81" t="s">
        <v>36</v>
      </c>
      <c r="N81" t="s">
        <v>37</v>
      </c>
      <c r="O81" t="s">
        <v>38</v>
      </c>
      <c r="P81" t="s">
        <v>38</v>
      </c>
      <c r="Q81" t="s">
        <v>32</v>
      </c>
      <c r="R81" t="s">
        <v>477</v>
      </c>
      <c r="S81" t="s">
        <v>32</v>
      </c>
      <c r="T81" s="2">
        <v>117.266061</v>
      </c>
      <c r="U81" s="2">
        <v>39.131173</v>
      </c>
    </row>
    <row r="82" spans="1:21">
      <c r="A82" t="s">
        <v>478</v>
      </c>
      <c r="B82" t="s">
        <v>479</v>
      </c>
      <c r="C82" t="s">
        <v>480</v>
      </c>
      <c r="D82" t="s">
        <v>481</v>
      </c>
      <c r="E82" t="s">
        <v>482</v>
      </c>
      <c r="F82" t="s">
        <v>7</v>
      </c>
      <c r="G82" t="s">
        <v>7</v>
      </c>
      <c r="H82" t="s">
        <v>56</v>
      </c>
      <c r="I82" t="s">
        <v>140</v>
      </c>
      <c r="J82" t="s">
        <v>481</v>
      </c>
      <c r="K82" t="s">
        <v>32</v>
      </c>
      <c r="L82" t="s">
        <v>32</v>
      </c>
      <c r="M82" t="s">
        <v>36</v>
      </c>
      <c r="N82" t="s">
        <v>37</v>
      </c>
      <c r="O82" t="s">
        <v>38</v>
      </c>
      <c r="P82" t="s">
        <v>38</v>
      </c>
      <c r="Q82" t="s">
        <v>32</v>
      </c>
      <c r="R82" t="s">
        <v>483</v>
      </c>
      <c r="S82" t="s">
        <v>32</v>
      </c>
      <c r="T82" s="2">
        <v>117.228211</v>
      </c>
      <c r="U82" s="2">
        <v>39.290893</v>
      </c>
    </row>
    <row r="83" spans="1:21">
      <c r="A83" t="s">
        <v>484</v>
      </c>
      <c r="B83" t="s">
        <v>485</v>
      </c>
      <c r="C83" t="s">
        <v>486</v>
      </c>
      <c r="D83" t="s">
        <v>32</v>
      </c>
      <c r="E83" t="s">
        <v>487</v>
      </c>
      <c r="F83" t="s">
        <v>7</v>
      </c>
      <c r="G83" t="s">
        <v>7</v>
      </c>
      <c r="H83" t="s">
        <v>146</v>
      </c>
      <c r="I83" t="s">
        <v>51</v>
      </c>
      <c r="J83" t="s">
        <v>32</v>
      </c>
      <c r="K83" t="s">
        <v>32</v>
      </c>
      <c r="L83" t="s">
        <v>32</v>
      </c>
      <c r="M83" t="s">
        <v>36</v>
      </c>
      <c r="N83" t="s">
        <v>37</v>
      </c>
      <c r="O83" t="s">
        <v>38</v>
      </c>
      <c r="P83" t="s">
        <v>38</v>
      </c>
      <c r="Q83" t="s">
        <v>45</v>
      </c>
      <c r="R83" t="s">
        <v>488</v>
      </c>
      <c r="S83" t="s">
        <v>32</v>
      </c>
      <c r="T83" s="2">
        <v>117.194843</v>
      </c>
      <c r="U83" s="2">
        <v>39.106076</v>
      </c>
    </row>
    <row r="84" spans="1:21">
      <c r="A84" t="s">
        <v>489</v>
      </c>
      <c r="B84" t="s">
        <v>40</v>
      </c>
      <c r="C84" t="s">
        <v>490</v>
      </c>
      <c r="D84" t="s">
        <v>32</v>
      </c>
      <c r="E84" t="s">
        <v>491</v>
      </c>
      <c r="F84" t="s">
        <v>7</v>
      </c>
      <c r="G84" t="s">
        <v>7</v>
      </c>
      <c r="H84" t="s">
        <v>56</v>
      </c>
      <c r="I84" t="s">
        <v>350</v>
      </c>
      <c r="J84" t="s">
        <v>32</v>
      </c>
      <c r="K84" t="s">
        <v>32</v>
      </c>
      <c r="L84" t="s">
        <v>32</v>
      </c>
      <c r="M84" t="s">
        <v>36</v>
      </c>
      <c r="N84" t="s">
        <v>37</v>
      </c>
      <c r="O84" t="s">
        <v>38</v>
      </c>
      <c r="P84" t="s">
        <v>38</v>
      </c>
      <c r="Q84" t="s">
        <v>45</v>
      </c>
      <c r="R84" t="s">
        <v>492</v>
      </c>
      <c r="S84" t="s">
        <v>32</v>
      </c>
      <c r="T84" s="2">
        <v>117.135481</v>
      </c>
      <c r="U84" s="2">
        <v>39.216251</v>
      </c>
    </row>
    <row r="85" spans="1:21">
      <c r="A85" t="s">
        <v>493</v>
      </c>
      <c r="B85" t="s">
        <v>40</v>
      </c>
      <c r="C85" t="s">
        <v>494</v>
      </c>
      <c r="D85" t="s">
        <v>32</v>
      </c>
      <c r="E85" t="s">
        <v>495</v>
      </c>
      <c r="F85" t="s">
        <v>7</v>
      </c>
      <c r="G85" t="s">
        <v>7</v>
      </c>
      <c r="H85" t="s">
        <v>34</v>
      </c>
      <c r="I85" t="s">
        <v>44</v>
      </c>
      <c r="J85" t="s">
        <v>32</v>
      </c>
      <c r="K85" t="s">
        <v>32</v>
      </c>
      <c r="L85" t="s">
        <v>32</v>
      </c>
      <c r="M85" t="s">
        <v>36</v>
      </c>
      <c r="N85" t="s">
        <v>37</v>
      </c>
      <c r="O85" t="s">
        <v>38</v>
      </c>
      <c r="P85" t="s">
        <v>38</v>
      </c>
      <c r="Q85" t="s">
        <v>45</v>
      </c>
      <c r="R85" t="s">
        <v>496</v>
      </c>
      <c r="S85" t="s">
        <v>32</v>
      </c>
      <c r="T85" s="2">
        <v>117.149171</v>
      </c>
      <c r="U85" s="2">
        <v>39.139964</v>
      </c>
    </row>
    <row r="86" spans="1:21">
      <c r="A86" t="s">
        <v>497</v>
      </c>
      <c r="B86" t="s">
        <v>328</v>
      </c>
      <c r="C86" t="s">
        <v>498</v>
      </c>
      <c r="D86" t="s">
        <v>32</v>
      </c>
      <c r="E86" t="s">
        <v>499</v>
      </c>
      <c r="F86" t="s">
        <v>7</v>
      </c>
      <c r="G86" t="s">
        <v>7</v>
      </c>
      <c r="H86" t="s">
        <v>262</v>
      </c>
      <c r="I86" t="s">
        <v>245</v>
      </c>
      <c r="J86" t="s">
        <v>32</v>
      </c>
      <c r="K86" t="s">
        <v>32</v>
      </c>
      <c r="L86" t="s">
        <v>32</v>
      </c>
      <c r="M86" t="s">
        <v>36</v>
      </c>
      <c r="N86" t="s">
        <v>37</v>
      </c>
      <c r="O86" t="s">
        <v>38</v>
      </c>
      <c r="P86" t="s">
        <v>38</v>
      </c>
      <c r="Q86" t="s">
        <v>45</v>
      </c>
      <c r="R86" t="s">
        <v>500</v>
      </c>
      <c r="S86" t="s">
        <v>32</v>
      </c>
      <c r="T86" s="2">
        <v>117.196874</v>
      </c>
      <c r="U86" s="2">
        <v>39.148018</v>
      </c>
    </row>
    <row r="87" spans="1:21">
      <c r="A87" t="s">
        <v>501</v>
      </c>
      <c r="B87" t="s">
        <v>40</v>
      </c>
      <c r="C87" t="s">
        <v>502</v>
      </c>
      <c r="D87" t="s">
        <v>32</v>
      </c>
      <c r="E87" t="s">
        <v>503</v>
      </c>
      <c r="F87" t="s">
        <v>7</v>
      </c>
      <c r="G87" t="s">
        <v>7</v>
      </c>
      <c r="H87" t="s">
        <v>56</v>
      </c>
      <c r="I87" t="s">
        <v>44</v>
      </c>
      <c r="J87" t="s">
        <v>32</v>
      </c>
      <c r="K87" t="s">
        <v>32</v>
      </c>
      <c r="L87" t="s">
        <v>32</v>
      </c>
      <c r="M87" t="s">
        <v>36</v>
      </c>
      <c r="N87" t="s">
        <v>37</v>
      </c>
      <c r="O87" t="s">
        <v>66</v>
      </c>
      <c r="P87" t="s">
        <v>66</v>
      </c>
      <c r="Q87" t="s">
        <v>45</v>
      </c>
      <c r="R87" t="s">
        <v>504</v>
      </c>
      <c r="S87" t="s">
        <v>32</v>
      </c>
      <c r="T87" s="2">
        <v>117.102818</v>
      </c>
      <c r="U87" s="2">
        <v>39.235444</v>
      </c>
    </row>
    <row r="88" spans="1:21">
      <c r="A88" t="s">
        <v>505</v>
      </c>
      <c r="B88" t="s">
        <v>506</v>
      </c>
      <c r="C88" t="s">
        <v>507</v>
      </c>
      <c r="D88" t="s">
        <v>32</v>
      </c>
      <c r="E88" t="s">
        <v>508</v>
      </c>
      <c r="F88" t="s">
        <v>7</v>
      </c>
      <c r="G88" t="s">
        <v>7</v>
      </c>
      <c r="H88" t="s">
        <v>105</v>
      </c>
      <c r="I88" t="s">
        <v>176</v>
      </c>
      <c r="J88" t="s">
        <v>32</v>
      </c>
      <c r="K88" t="s">
        <v>32</v>
      </c>
      <c r="L88" t="s">
        <v>32</v>
      </c>
      <c r="M88" t="s">
        <v>36</v>
      </c>
      <c r="N88" t="s">
        <v>37</v>
      </c>
      <c r="O88" t="s">
        <v>38</v>
      </c>
      <c r="P88" t="s">
        <v>38</v>
      </c>
      <c r="Q88" t="s">
        <v>32</v>
      </c>
      <c r="R88" t="s">
        <v>509</v>
      </c>
      <c r="S88" t="s">
        <v>32</v>
      </c>
      <c r="T88" s="2">
        <v>117.229975</v>
      </c>
      <c r="U88" s="2">
        <v>39.129279</v>
      </c>
    </row>
    <row r="89" spans="1:21">
      <c r="A89" t="s">
        <v>510</v>
      </c>
      <c r="B89" t="s">
        <v>40</v>
      </c>
      <c r="C89" t="s">
        <v>511</v>
      </c>
      <c r="D89" t="s">
        <v>32</v>
      </c>
      <c r="E89" t="s">
        <v>512</v>
      </c>
      <c r="F89" t="s">
        <v>7</v>
      </c>
      <c r="G89" t="s">
        <v>7</v>
      </c>
      <c r="H89" t="s">
        <v>50</v>
      </c>
      <c r="I89" t="s">
        <v>350</v>
      </c>
      <c r="J89" t="s">
        <v>32</v>
      </c>
      <c r="K89" t="s">
        <v>32</v>
      </c>
      <c r="L89" t="s">
        <v>32</v>
      </c>
      <c r="M89" t="s">
        <v>36</v>
      </c>
      <c r="N89" t="s">
        <v>37</v>
      </c>
      <c r="O89" t="s">
        <v>38</v>
      </c>
      <c r="P89" t="s">
        <v>38</v>
      </c>
      <c r="Q89" t="s">
        <v>45</v>
      </c>
      <c r="R89" t="s">
        <v>439</v>
      </c>
      <c r="S89" t="s">
        <v>32</v>
      </c>
      <c r="T89" s="2">
        <v>117.227545</v>
      </c>
      <c r="U89" s="2">
        <v>39.103305</v>
      </c>
    </row>
    <row r="90" spans="1:21">
      <c r="A90" t="s">
        <v>513</v>
      </c>
      <c r="B90" t="s">
        <v>40</v>
      </c>
      <c r="C90" t="s">
        <v>514</v>
      </c>
      <c r="D90" t="s">
        <v>32</v>
      </c>
      <c r="E90" t="s">
        <v>515</v>
      </c>
      <c r="F90" t="s">
        <v>7</v>
      </c>
      <c r="G90" t="s">
        <v>7</v>
      </c>
      <c r="H90" t="s">
        <v>50</v>
      </c>
      <c r="I90" t="s">
        <v>336</v>
      </c>
      <c r="J90" t="s">
        <v>32</v>
      </c>
      <c r="K90" t="s">
        <v>32</v>
      </c>
      <c r="L90" t="s">
        <v>32</v>
      </c>
      <c r="M90" t="s">
        <v>36</v>
      </c>
      <c r="N90" t="s">
        <v>37</v>
      </c>
      <c r="O90" t="s">
        <v>38</v>
      </c>
      <c r="P90" t="s">
        <v>38</v>
      </c>
      <c r="Q90" t="s">
        <v>45</v>
      </c>
      <c r="R90" t="s">
        <v>516</v>
      </c>
      <c r="S90" t="s">
        <v>32</v>
      </c>
      <c r="T90" s="2">
        <v>117.229686</v>
      </c>
      <c r="U90" s="2">
        <v>39.061068</v>
      </c>
    </row>
    <row r="91" spans="1:21">
      <c r="A91" t="s">
        <v>517</v>
      </c>
      <c r="B91" t="s">
        <v>40</v>
      </c>
      <c r="C91" t="s">
        <v>518</v>
      </c>
      <c r="D91" t="s">
        <v>32</v>
      </c>
      <c r="E91" t="s">
        <v>519</v>
      </c>
      <c r="F91" t="s">
        <v>7</v>
      </c>
      <c r="G91" t="s">
        <v>7</v>
      </c>
      <c r="H91" t="s">
        <v>50</v>
      </c>
      <c r="I91" t="s">
        <v>336</v>
      </c>
      <c r="J91" t="s">
        <v>32</v>
      </c>
      <c r="K91" t="s">
        <v>32</v>
      </c>
      <c r="L91" t="s">
        <v>32</v>
      </c>
      <c r="M91" t="s">
        <v>36</v>
      </c>
      <c r="N91" t="s">
        <v>37</v>
      </c>
      <c r="O91" t="s">
        <v>38</v>
      </c>
      <c r="P91" t="s">
        <v>38</v>
      </c>
      <c r="Q91" t="s">
        <v>45</v>
      </c>
      <c r="R91" t="s">
        <v>520</v>
      </c>
      <c r="S91" t="s">
        <v>32</v>
      </c>
      <c r="T91" s="2">
        <v>117.216059</v>
      </c>
      <c r="U91" s="2">
        <v>39.095181</v>
      </c>
    </row>
    <row r="92" spans="1:21">
      <c r="A92" t="s">
        <v>521</v>
      </c>
      <c r="B92" t="s">
        <v>40</v>
      </c>
      <c r="C92" t="s">
        <v>522</v>
      </c>
      <c r="D92" t="s">
        <v>32</v>
      </c>
      <c r="E92" t="s">
        <v>523</v>
      </c>
      <c r="F92" t="s">
        <v>7</v>
      </c>
      <c r="G92" t="s">
        <v>7</v>
      </c>
      <c r="H92" t="s">
        <v>56</v>
      </c>
      <c r="I92" t="s">
        <v>350</v>
      </c>
      <c r="J92" t="s">
        <v>32</v>
      </c>
      <c r="K92" t="s">
        <v>32</v>
      </c>
      <c r="L92" t="s">
        <v>32</v>
      </c>
      <c r="M92" t="s">
        <v>36</v>
      </c>
      <c r="N92" t="s">
        <v>37</v>
      </c>
      <c r="O92" t="s">
        <v>38</v>
      </c>
      <c r="P92" t="s">
        <v>38</v>
      </c>
      <c r="Q92" t="s">
        <v>45</v>
      </c>
      <c r="R92" t="s">
        <v>524</v>
      </c>
      <c r="S92" t="s">
        <v>32</v>
      </c>
      <c r="T92" s="2">
        <v>117.149582</v>
      </c>
      <c r="U92" s="2">
        <v>39.201619</v>
      </c>
    </row>
    <row r="93" spans="1:21">
      <c r="A93" t="s">
        <v>525</v>
      </c>
      <c r="B93" t="s">
        <v>374</v>
      </c>
      <c r="C93" t="s">
        <v>526</v>
      </c>
      <c r="D93" t="s">
        <v>32</v>
      </c>
      <c r="E93" t="s">
        <v>527</v>
      </c>
      <c r="F93" t="s">
        <v>7</v>
      </c>
      <c r="G93" t="s">
        <v>7</v>
      </c>
      <c r="H93" t="s">
        <v>56</v>
      </c>
      <c r="I93" t="s">
        <v>44</v>
      </c>
      <c r="J93" t="s">
        <v>32</v>
      </c>
      <c r="K93" t="s">
        <v>32</v>
      </c>
      <c r="L93" t="s">
        <v>32</v>
      </c>
      <c r="M93" t="s">
        <v>36</v>
      </c>
      <c r="N93" t="s">
        <v>37</v>
      </c>
      <c r="O93" t="s">
        <v>38</v>
      </c>
      <c r="P93" t="s">
        <v>38</v>
      </c>
      <c r="Q93" t="s">
        <v>45</v>
      </c>
      <c r="R93" t="s">
        <v>528</v>
      </c>
      <c r="S93" t="s">
        <v>32</v>
      </c>
      <c r="T93" s="2">
        <v>117.164718</v>
      </c>
      <c r="U93" s="2">
        <v>39.193936</v>
      </c>
    </row>
    <row r="94" spans="1:21">
      <c r="A94" t="s">
        <v>529</v>
      </c>
      <c r="B94" t="s">
        <v>40</v>
      </c>
      <c r="C94" t="s">
        <v>530</v>
      </c>
      <c r="D94" t="s">
        <v>32</v>
      </c>
      <c r="E94" t="s">
        <v>531</v>
      </c>
      <c r="F94" t="s">
        <v>7</v>
      </c>
      <c r="G94" t="s">
        <v>7</v>
      </c>
      <c r="H94" t="s">
        <v>43</v>
      </c>
      <c r="I94" t="s">
        <v>350</v>
      </c>
      <c r="J94" t="s">
        <v>32</v>
      </c>
      <c r="K94" t="s">
        <v>32</v>
      </c>
      <c r="L94" t="s">
        <v>32</v>
      </c>
      <c r="M94" t="s">
        <v>36</v>
      </c>
      <c r="N94" t="s">
        <v>37</v>
      </c>
      <c r="O94" t="s">
        <v>38</v>
      </c>
      <c r="P94" t="s">
        <v>38</v>
      </c>
      <c r="Q94" t="s">
        <v>45</v>
      </c>
      <c r="R94" t="s">
        <v>532</v>
      </c>
      <c r="S94" t="s">
        <v>32</v>
      </c>
      <c r="T94" s="2">
        <v>117.170661</v>
      </c>
      <c r="U94" s="2">
        <v>39.036434</v>
      </c>
    </row>
    <row r="95" spans="1:21">
      <c r="A95" t="s">
        <v>533</v>
      </c>
      <c r="B95" t="s">
        <v>40</v>
      </c>
      <c r="C95" t="s">
        <v>534</v>
      </c>
      <c r="D95" t="s">
        <v>32</v>
      </c>
      <c r="E95" t="s">
        <v>535</v>
      </c>
      <c r="F95" t="s">
        <v>7</v>
      </c>
      <c r="G95" t="s">
        <v>7</v>
      </c>
      <c r="H95" t="s">
        <v>56</v>
      </c>
      <c r="I95" t="s">
        <v>350</v>
      </c>
      <c r="J95" t="s">
        <v>32</v>
      </c>
      <c r="K95" t="s">
        <v>32</v>
      </c>
      <c r="L95" t="s">
        <v>32</v>
      </c>
      <c r="M95" t="s">
        <v>36</v>
      </c>
      <c r="N95" t="s">
        <v>37</v>
      </c>
      <c r="O95" t="s">
        <v>38</v>
      </c>
      <c r="P95" t="s">
        <v>38</v>
      </c>
      <c r="Q95" t="s">
        <v>45</v>
      </c>
      <c r="R95" t="s">
        <v>536</v>
      </c>
      <c r="S95" t="s">
        <v>32</v>
      </c>
      <c r="T95" s="2">
        <v>117.133147</v>
      </c>
      <c r="U95" s="2">
        <v>39.220362</v>
      </c>
    </row>
    <row r="96" spans="1:21">
      <c r="A96" t="s">
        <v>537</v>
      </c>
      <c r="B96" t="s">
        <v>40</v>
      </c>
      <c r="C96" t="s">
        <v>538</v>
      </c>
      <c r="D96" t="s">
        <v>32</v>
      </c>
      <c r="E96" t="s">
        <v>539</v>
      </c>
      <c r="F96" t="s">
        <v>7</v>
      </c>
      <c r="G96" t="s">
        <v>7</v>
      </c>
      <c r="H96" t="s">
        <v>56</v>
      </c>
      <c r="I96" t="s">
        <v>350</v>
      </c>
      <c r="J96" t="s">
        <v>32</v>
      </c>
      <c r="K96" t="s">
        <v>32</v>
      </c>
      <c r="L96" t="s">
        <v>32</v>
      </c>
      <c r="M96" t="s">
        <v>36</v>
      </c>
      <c r="N96" t="s">
        <v>37</v>
      </c>
      <c r="O96" t="s">
        <v>38</v>
      </c>
      <c r="P96" t="s">
        <v>38</v>
      </c>
      <c r="Q96" t="s">
        <v>45</v>
      </c>
      <c r="R96" t="s">
        <v>540</v>
      </c>
      <c r="S96" t="s">
        <v>32</v>
      </c>
      <c r="T96" s="2">
        <v>117.131079</v>
      </c>
      <c r="U96" s="2">
        <v>39.225541</v>
      </c>
    </row>
    <row r="97" spans="1:21">
      <c r="A97" t="s">
        <v>541</v>
      </c>
      <c r="B97" t="s">
        <v>323</v>
      </c>
      <c r="C97" t="s">
        <v>542</v>
      </c>
      <c r="D97" t="s">
        <v>32</v>
      </c>
      <c r="E97" t="s">
        <v>543</v>
      </c>
      <c r="F97" t="s">
        <v>7</v>
      </c>
      <c r="G97" t="s">
        <v>7</v>
      </c>
      <c r="H97" t="s">
        <v>73</v>
      </c>
      <c r="I97" t="s">
        <v>189</v>
      </c>
      <c r="J97" t="s">
        <v>32</v>
      </c>
      <c r="K97" t="s">
        <v>32</v>
      </c>
      <c r="L97" t="s">
        <v>32</v>
      </c>
      <c r="M97" t="s">
        <v>36</v>
      </c>
      <c r="N97" t="s">
        <v>37</v>
      </c>
      <c r="O97" t="s">
        <v>38</v>
      </c>
      <c r="P97" t="s">
        <v>38</v>
      </c>
      <c r="Q97" t="s">
        <v>74</v>
      </c>
      <c r="R97" t="s">
        <v>544</v>
      </c>
      <c r="S97" t="s">
        <v>32</v>
      </c>
      <c r="T97" s="2">
        <v>117.242649</v>
      </c>
      <c r="U97" s="2">
        <v>39.192407</v>
      </c>
    </row>
    <row r="98" spans="1:21">
      <c r="A98" t="s">
        <v>545</v>
      </c>
      <c r="B98" t="s">
        <v>389</v>
      </c>
      <c r="C98" t="s">
        <v>546</v>
      </c>
      <c r="D98" t="s">
        <v>32</v>
      </c>
      <c r="E98" t="s">
        <v>547</v>
      </c>
      <c r="F98" t="s">
        <v>7</v>
      </c>
      <c r="G98" t="s">
        <v>7</v>
      </c>
      <c r="H98" t="s">
        <v>262</v>
      </c>
      <c r="I98" t="s">
        <v>189</v>
      </c>
      <c r="J98" t="s">
        <v>32</v>
      </c>
      <c r="K98" t="s">
        <v>32</v>
      </c>
      <c r="L98" t="s">
        <v>32</v>
      </c>
      <c r="M98" t="s">
        <v>36</v>
      </c>
      <c r="N98" t="s">
        <v>37</v>
      </c>
      <c r="O98" t="s">
        <v>38</v>
      </c>
      <c r="P98" t="s">
        <v>38</v>
      </c>
      <c r="Q98" t="s">
        <v>45</v>
      </c>
      <c r="R98" t="s">
        <v>548</v>
      </c>
      <c r="S98" t="s">
        <v>32</v>
      </c>
      <c r="T98" s="2">
        <v>117.240759</v>
      </c>
      <c r="U98" s="2">
        <v>39.155926</v>
      </c>
    </row>
    <row r="99" spans="1:21">
      <c r="A99" t="s">
        <v>549</v>
      </c>
      <c r="B99" t="s">
        <v>410</v>
      </c>
      <c r="C99" t="s">
        <v>550</v>
      </c>
      <c r="D99" t="s">
        <v>32</v>
      </c>
      <c r="E99" t="s">
        <v>551</v>
      </c>
      <c r="F99" t="s">
        <v>7</v>
      </c>
      <c r="G99" t="s">
        <v>7</v>
      </c>
      <c r="H99" t="s">
        <v>34</v>
      </c>
      <c r="I99" t="s">
        <v>245</v>
      </c>
      <c r="J99" t="s">
        <v>32</v>
      </c>
      <c r="K99" t="s">
        <v>32</v>
      </c>
      <c r="L99" t="s">
        <v>32</v>
      </c>
      <c r="M99" t="s">
        <v>36</v>
      </c>
      <c r="N99" t="s">
        <v>37</v>
      </c>
      <c r="O99" t="s">
        <v>38</v>
      </c>
      <c r="P99" t="s">
        <v>38</v>
      </c>
      <c r="Q99" t="s">
        <v>45</v>
      </c>
      <c r="R99" t="s">
        <v>552</v>
      </c>
      <c r="S99" t="s">
        <v>32</v>
      </c>
      <c r="T99" s="2">
        <v>117.115372</v>
      </c>
      <c r="U99" s="2">
        <v>39.1377</v>
      </c>
    </row>
    <row r="100" spans="1:21">
      <c r="A100" t="s">
        <v>553</v>
      </c>
      <c r="B100" t="s">
        <v>554</v>
      </c>
      <c r="C100" t="s">
        <v>555</v>
      </c>
      <c r="D100" t="s">
        <v>32</v>
      </c>
      <c r="E100" t="s">
        <v>556</v>
      </c>
      <c r="F100" t="s">
        <v>7</v>
      </c>
      <c r="G100" t="s">
        <v>7</v>
      </c>
      <c r="H100" t="s">
        <v>407</v>
      </c>
      <c r="I100" t="s">
        <v>245</v>
      </c>
      <c r="J100" t="s">
        <v>32</v>
      </c>
      <c r="K100" t="s">
        <v>32</v>
      </c>
      <c r="L100" t="s">
        <v>32</v>
      </c>
      <c r="M100" t="s">
        <v>36</v>
      </c>
      <c r="N100" t="s">
        <v>37</v>
      </c>
      <c r="O100" t="s">
        <v>38</v>
      </c>
      <c r="P100" t="s">
        <v>38</v>
      </c>
      <c r="Q100" t="s">
        <v>45</v>
      </c>
      <c r="R100" t="s">
        <v>557</v>
      </c>
      <c r="S100" t="s">
        <v>32</v>
      </c>
      <c r="T100" s="2">
        <v>117.203752</v>
      </c>
      <c r="U100" s="2">
        <v>39.120167</v>
      </c>
    </row>
    <row r="101" spans="1:21">
      <c r="A101" t="s">
        <v>558</v>
      </c>
      <c r="B101" t="s">
        <v>173</v>
      </c>
      <c r="C101" t="s">
        <v>559</v>
      </c>
      <c r="D101" t="s">
        <v>32</v>
      </c>
      <c r="E101" t="s">
        <v>560</v>
      </c>
      <c r="F101" t="s">
        <v>7</v>
      </c>
      <c r="G101" t="s">
        <v>7</v>
      </c>
      <c r="H101" t="s">
        <v>133</v>
      </c>
      <c r="I101" t="s">
        <v>561</v>
      </c>
      <c r="J101" t="s">
        <v>32</v>
      </c>
      <c r="K101" t="s">
        <v>32</v>
      </c>
      <c r="L101" t="s">
        <v>32</v>
      </c>
      <c r="M101" t="s">
        <v>36</v>
      </c>
      <c r="N101" t="s">
        <v>37</v>
      </c>
      <c r="O101" t="s">
        <v>38</v>
      </c>
      <c r="P101" t="s">
        <v>38</v>
      </c>
      <c r="Q101" t="s">
        <v>32</v>
      </c>
      <c r="R101" t="s">
        <v>562</v>
      </c>
      <c r="S101" t="s">
        <v>32</v>
      </c>
      <c r="T101" s="2">
        <v>117.159</v>
      </c>
      <c r="U101" s="2">
        <v>39.170794</v>
      </c>
    </row>
    <row r="102" spans="1:21">
      <c r="A102" t="s">
        <v>563</v>
      </c>
      <c r="B102" t="s">
        <v>328</v>
      </c>
      <c r="C102" t="s">
        <v>564</v>
      </c>
      <c r="D102" t="s">
        <v>32</v>
      </c>
      <c r="E102" t="s">
        <v>565</v>
      </c>
      <c r="F102" t="s">
        <v>7</v>
      </c>
      <c r="G102" t="s">
        <v>7</v>
      </c>
      <c r="H102" t="s">
        <v>63</v>
      </c>
      <c r="I102" t="s">
        <v>189</v>
      </c>
      <c r="J102" t="s">
        <v>32</v>
      </c>
      <c r="K102" t="s">
        <v>32</v>
      </c>
      <c r="L102" t="s">
        <v>32</v>
      </c>
      <c r="M102" t="s">
        <v>36</v>
      </c>
      <c r="N102" t="s">
        <v>37</v>
      </c>
      <c r="O102" t="s">
        <v>38</v>
      </c>
      <c r="P102" t="s">
        <v>38</v>
      </c>
      <c r="Q102" t="s">
        <v>74</v>
      </c>
      <c r="R102" t="s">
        <v>566</v>
      </c>
      <c r="S102" t="s">
        <v>32</v>
      </c>
      <c r="T102" s="2">
        <v>117.290543</v>
      </c>
      <c r="U102" s="2">
        <v>39.05015</v>
      </c>
    </row>
    <row r="103" spans="1:21">
      <c r="A103" t="s">
        <v>567</v>
      </c>
      <c r="B103" t="s">
        <v>157</v>
      </c>
      <c r="C103" t="s">
        <v>568</v>
      </c>
      <c r="D103" t="s">
        <v>569</v>
      </c>
      <c r="E103" t="s">
        <v>570</v>
      </c>
      <c r="F103" t="s">
        <v>7</v>
      </c>
      <c r="G103" t="s">
        <v>7</v>
      </c>
      <c r="H103" t="s">
        <v>43</v>
      </c>
      <c r="I103" t="s">
        <v>561</v>
      </c>
      <c r="J103" t="s">
        <v>569</v>
      </c>
      <c r="K103" t="s">
        <v>32</v>
      </c>
      <c r="L103" t="s">
        <v>32</v>
      </c>
      <c r="M103" t="s">
        <v>36</v>
      </c>
      <c r="N103" t="s">
        <v>37</v>
      </c>
      <c r="O103" t="s">
        <v>38</v>
      </c>
      <c r="P103" t="s">
        <v>38</v>
      </c>
      <c r="Q103" t="s">
        <v>32</v>
      </c>
      <c r="R103" t="s">
        <v>571</v>
      </c>
      <c r="S103" t="s">
        <v>32</v>
      </c>
      <c r="T103" s="2">
        <v>117.12211</v>
      </c>
      <c r="U103" s="2">
        <v>39.097291</v>
      </c>
    </row>
    <row r="104" spans="1:21">
      <c r="A104" t="s">
        <v>572</v>
      </c>
      <c r="B104" t="s">
        <v>40</v>
      </c>
      <c r="C104" t="s">
        <v>573</v>
      </c>
      <c r="D104" t="s">
        <v>32</v>
      </c>
      <c r="E104" t="s">
        <v>574</v>
      </c>
      <c r="F104" t="s">
        <v>7</v>
      </c>
      <c r="G104" t="s">
        <v>7</v>
      </c>
      <c r="H104" t="s">
        <v>50</v>
      </c>
      <c r="I104" t="s">
        <v>44</v>
      </c>
      <c r="J104" t="s">
        <v>32</v>
      </c>
      <c r="K104" t="s">
        <v>32</v>
      </c>
      <c r="L104" t="s">
        <v>32</v>
      </c>
      <c r="M104" t="s">
        <v>575</v>
      </c>
      <c r="N104" t="s">
        <v>576</v>
      </c>
      <c r="O104" t="s">
        <v>577</v>
      </c>
      <c r="P104" t="s">
        <v>32</v>
      </c>
      <c r="Q104" t="s">
        <v>45</v>
      </c>
      <c r="R104" t="s">
        <v>578</v>
      </c>
      <c r="S104" t="s">
        <v>32</v>
      </c>
      <c r="T104" s="2">
        <v>117.232499</v>
      </c>
      <c r="U104" s="2">
        <v>39.078499</v>
      </c>
    </row>
    <row r="105" spans="1:21">
      <c r="A105" t="s">
        <v>579</v>
      </c>
      <c r="B105" t="s">
        <v>40</v>
      </c>
      <c r="C105" t="s">
        <v>580</v>
      </c>
      <c r="D105" t="s">
        <v>32</v>
      </c>
      <c r="E105" t="s">
        <v>581</v>
      </c>
      <c r="F105" t="s">
        <v>7</v>
      </c>
      <c r="G105" t="s">
        <v>7</v>
      </c>
      <c r="H105" t="s">
        <v>56</v>
      </c>
      <c r="I105" t="s">
        <v>35</v>
      </c>
      <c r="J105" t="s">
        <v>32</v>
      </c>
      <c r="K105" t="s">
        <v>32</v>
      </c>
      <c r="L105" t="s">
        <v>32</v>
      </c>
      <c r="M105" t="s">
        <v>36</v>
      </c>
      <c r="N105" t="s">
        <v>37</v>
      </c>
      <c r="O105" t="s">
        <v>66</v>
      </c>
      <c r="P105" t="s">
        <v>66</v>
      </c>
      <c r="Q105" t="s">
        <v>32</v>
      </c>
      <c r="R105" t="s">
        <v>582</v>
      </c>
      <c r="S105" t="s">
        <v>32</v>
      </c>
      <c r="T105" s="2">
        <v>117.017322</v>
      </c>
      <c r="U105" s="2">
        <v>39.180776</v>
      </c>
    </row>
    <row r="106" spans="1:21">
      <c r="A106" t="s">
        <v>583</v>
      </c>
      <c r="B106" t="s">
        <v>584</v>
      </c>
      <c r="C106" t="s">
        <v>585</v>
      </c>
      <c r="D106" t="s">
        <v>586</v>
      </c>
      <c r="E106" t="s">
        <v>587</v>
      </c>
      <c r="F106" t="s">
        <v>7</v>
      </c>
      <c r="G106" t="s">
        <v>7</v>
      </c>
      <c r="H106" t="s">
        <v>407</v>
      </c>
      <c r="I106" t="s">
        <v>35</v>
      </c>
      <c r="J106" t="s">
        <v>586</v>
      </c>
      <c r="K106" t="s">
        <v>32</v>
      </c>
      <c r="L106" t="s">
        <v>32</v>
      </c>
      <c r="M106" t="s">
        <v>36</v>
      </c>
      <c r="N106" t="s">
        <v>37</v>
      </c>
      <c r="O106" t="s">
        <v>38</v>
      </c>
      <c r="P106" t="s">
        <v>38</v>
      </c>
      <c r="Q106" t="s">
        <v>32</v>
      </c>
      <c r="R106" t="s">
        <v>588</v>
      </c>
      <c r="S106" t="s">
        <v>32</v>
      </c>
      <c r="T106" s="2">
        <v>117.18583</v>
      </c>
      <c r="U106" s="2">
        <v>39.129369</v>
      </c>
    </row>
    <row r="107" spans="1:21">
      <c r="A107" t="s">
        <v>589</v>
      </c>
      <c r="B107" t="s">
        <v>30</v>
      </c>
      <c r="C107" t="s">
        <v>590</v>
      </c>
      <c r="D107" t="s">
        <v>591</v>
      </c>
      <c r="E107" t="s">
        <v>592</v>
      </c>
      <c r="F107" t="s">
        <v>7</v>
      </c>
      <c r="G107" t="s">
        <v>7</v>
      </c>
      <c r="H107" t="s">
        <v>43</v>
      </c>
      <c r="I107" t="s">
        <v>593</v>
      </c>
      <c r="J107" t="s">
        <v>591</v>
      </c>
      <c r="K107" t="s">
        <v>594</v>
      </c>
      <c r="L107" t="s">
        <v>595</v>
      </c>
      <c r="M107" t="s">
        <v>36</v>
      </c>
      <c r="N107" t="s">
        <v>37</v>
      </c>
      <c r="O107" t="s">
        <v>66</v>
      </c>
      <c r="P107" t="s">
        <v>66</v>
      </c>
      <c r="Q107" t="s">
        <v>57</v>
      </c>
      <c r="R107" t="s">
        <v>596</v>
      </c>
      <c r="S107" t="s">
        <v>32</v>
      </c>
      <c r="T107" s="2">
        <v>117.122237</v>
      </c>
      <c r="U107" s="2">
        <v>39.09379</v>
      </c>
    </row>
    <row r="108" spans="1:21">
      <c r="A108" t="s">
        <v>597</v>
      </c>
      <c r="B108" t="s">
        <v>30</v>
      </c>
      <c r="C108" t="s">
        <v>598</v>
      </c>
      <c r="D108" t="s">
        <v>599</v>
      </c>
      <c r="E108" t="s">
        <v>600</v>
      </c>
      <c r="F108" t="s">
        <v>7</v>
      </c>
      <c r="G108" t="s">
        <v>7</v>
      </c>
      <c r="H108" t="s">
        <v>63</v>
      </c>
      <c r="I108" t="s">
        <v>601</v>
      </c>
      <c r="J108" t="s">
        <v>599</v>
      </c>
      <c r="K108" t="s">
        <v>182</v>
      </c>
      <c r="L108" t="s">
        <v>65</v>
      </c>
      <c r="M108" t="s">
        <v>36</v>
      </c>
      <c r="N108" t="s">
        <v>37</v>
      </c>
      <c r="O108" t="s">
        <v>66</v>
      </c>
      <c r="P108" t="s">
        <v>66</v>
      </c>
      <c r="Q108" t="s">
        <v>74</v>
      </c>
      <c r="R108" t="s">
        <v>602</v>
      </c>
      <c r="S108" t="s">
        <v>32</v>
      </c>
      <c r="T108" s="2">
        <v>117.304799</v>
      </c>
      <c r="U108" s="2">
        <v>39.008636</v>
      </c>
    </row>
    <row r="109" spans="1:21">
      <c r="A109" t="s">
        <v>603</v>
      </c>
      <c r="B109" t="s">
        <v>30</v>
      </c>
      <c r="C109" t="s">
        <v>604</v>
      </c>
      <c r="D109" t="s">
        <v>605</v>
      </c>
      <c r="E109" t="s">
        <v>606</v>
      </c>
      <c r="F109" t="s">
        <v>7</v>
      </c>
      <c r="G109" t="s">
        <v>7</v>
      </c>
      <c r="H109" t="s">
        <v>73</v>
      </c>
      <c r="I109" t="s">
        <v>51</v>
      </c>
      <c r="J109" t="s">
        <v>605</v>
      </c>
      <c r="K109" t="s">
        <v>607</v>
      </c>
      <c r="L109" t="s">
        <v>65</v>
      </c>
      <c r="M109" t="s">
        <v>36</v>
      </c>
      <c r="N109" t="s">
        <v>37</v>
      </c>
      <c r="O109" t="s">
        <v>66</v>
      </c>
      <c r="P109" t="s">
        <v>66</v>
      </c>
      <c r="Q109" t="s">
        <v>45</v>
      </c>
      <c r="R109" t="s">
        <v>608</v>
      </c>
      <c r="S109" t="s">
        <v>32</v>
      </c>
      <c r="T109" s="2">
        <v>117.322895</v>
      </c>
      <c r="U109" s="2">
        <v>39.080078</v>
      </c>
    </row>
    <row r="110" spans="1:21">
      <c r="A110" t="s">
        <v>609</v>
      </c>
      <c r="B110" t="s">
        <v>30</v>
      </c>
      <c r="C110" t="s">
        <v>610</v>
      </c>
      <c r="D110" t="s">
        <v>611</v>
      </c>
      <c r="E110" t="s">
        <v>612</v>
      </c>
      <c r="F110" t="s">
        <v>7</v>
      </c>
      <c r="G110" t="s">
        <v>7</v>
      </c>
      <c r="H110" t="s">
        <v>43</v>
      </c>
      <c r="I110" t="s">
        <v>593</v>
      </c>
      <c r="J110" t="s">
        <v>611</v>
      </c>
      <c r="K110" t="s">
        <v>613</v>
      </c>
      <c r="L110" t="s">
        <v>65</v>
      </c>
      <c r="M110" t="s">
        <v>36</v>
      </c>
      <c r="N110" t="s">
        <v>37</v>
      </c>
      <c r="O110" t="s">
        <v>66</v>
      </c>
      <c r="P110" t="s">
        <v>66</v>
      </c>
      <c r="Q110" t="s">
        <v>74</v>
      </c>
      <c r="R110" t="s">
        <v>614</v>
      </c>
      <c r="S110" t="s">
        <v>32</v>
      </c>
      <c r="T110" s="2">
        <v>117.241868</v>
      </c>
      <c r="U110" s="2">
        <v>39.011718</v>
      </c>
    </row>
    <row r="111" spans="1:21">
      <c r="A111" t="s">
        <v>615</v>
      </c>
      <c r="B111" t="s">
        <v>30</v>
      </c>
      <c r="C111" t="s">
        <v>616</v>
      </c>
      <c r="D111" t="s">
        <v>617</v>
      </c>
      <c r="E111" t="s">
        <v>618</v>
      </c>
      <c r="F111" t="s">
        <v>7</v>
      </c>
      <c r="G111" t="s">
        <v>7</v>
      </c>
      <c r="H111" t="s">
        <v>56</v>
      </c>
      <c r="I111" t="s">
        <v>51</v>
      </c>
      <c r="J111" t="s">
        <v>617</v>
      </c>
      <c r="K111" t="s">
        <v>619</v>
      </c>
      <c r="L111" t="s">
        <v>65</v>
      </c>
      <c r="M111" t="s">
        <v>36</v>
      </c>
      <c r="N111" t="s">
        <v>37</v>
      </c>
      <c r="O111" t="s">
        <v>66</v>
      </c>
      <c r="P111" t="s">
        <v>66</v>
      </c>
      <c r="Q111" t="s">
        <v>74</v>
      </c>
      <c r="R111" t="s">
        <v>620</v>
      </c>
      <c r="S111" t="s">
        <v>32</v>
      </c>
      <c r="T111" s="2">
        <v>117.164466</v>
      </c>
      <c r="U111" s="2">
        <v>39.303262</v>
      </c>
    </row>
    <row r="112" spans="1:21">
      <c r="A112" t="s">
        <v>621</v>
      </c>
      <c r="B112" t="s">
        <v>30</v>
      </c>
      <c r="C112" t="s">
        <v>622</v>
      </c>
      <c r="D112" t="s">
        <v>623</v>
      </c>
      <c r="E112" t="s">
        <v>624</v>
      </c>
      <c r="F112" t="s">
        <v>7</v>
      </c>
      <c r="G112" t="s">
        <v>7</v>
      </c>
      <c r="H112" t="s">
        <v>146</v>
      </c>
      <c r="I112" t="s">
        <v>593</v>
      </c>
      <c r="J112" t="s">
        <v>623</v>
      </c>
      <c r="K112" t="s">
        <v>625</v>
      </c>
      <c r="L112" t="s">
        <v>65</v>
      </c>
      <c r="M112" t="s">
        <v>36</v>
      </c>
      <c r="N112" t="s">
        <v>37</v>
      </c>
      <c r="O112" t="s">
        <v>66</v>
      </c>
      <c r="P112" t="s">
        <v>66</v>
      </c>
      <c r="Q112" t="s">
        <v>74</v>
      </c>
      <c r="R112" t="s">
        <v>626</v>
      </c>
      <c r="S112" t="s">
        <v>32</v>
      </c>
      <c r="T112" s="2">
        <v>117.06837</v>
      </c>
      <c r="U112" s="2">
        <v>39.082589</v>
      </c>
    </row>
    <row r="113" spans="1:21">
      <c r="A113" t="s">
        <v>627</v>
      </c>
      <c r="B113" t="s">
        <v>30</v>
      </c>
      <c r="C113" t="s">
        <v>628</v>
      </c>
      <c r="D113" t="s">
        <v>629</v>
      </c>
      <c r="E113" t="s">
        <v>630</v>
      </c>
      <c r="F113" t="s">
        <v>7</v>
      </c>
      <c r="G113" t="s">
        <v>7</v>
      </c>
      <c r="H113" t="s">
        <v>43</v>
      </c>
      <c r="I113" t="s">
        <v>593</v>
      </c>
      <c r="J113" t="s">
        <v>629</v>
      </c>
      <c r="K113" t="s">
        <v>631</v>
      </c>
      <c r="L113" t="s">
        <v>595</v>
      </c>
      <c r="M113" t="s">
        <v>36</v>
      </c>
      <c r="N113" t="s">
        <v>37</v>
      </c>
      <c r="O113" t="s">
        <v>66</v>
      </c>
      <c r="P113" t="s">
        <v>66</v>
      </c>
      <c r="Q113" t="s">
        <v>74</v>
      </c>
      <c r="R113" t="s">
        <v>632</v>
      </c>
      <c r="S113" t="s">
        <v>32</v>
      </c>
      <c r="T113" s="2">
        <v>117.092013</v>
      </c>
      <c r="U113" s="2">
        <v>39.075991</v>
      </c>
    </row>
    <row r="114" spans="1:21">
      <c r="A114" t="s">
        <v>633</v>
      </c>
      <c r="B114" t="s">
        <v>30</v>
      </c>
      <c r="C114" t="s">
        <v>634</v>
      </c>
      <c r="D114" t="s">
        <v>635</v>
      </c>
      <c r="E114" t="s">
        <v>636</v>
      </c>
      <c r="F114" t="s">
        <v>7</v>
      </c>
      <c r="G114" t="s">
        <v>7</v>
      </c>
      <c r="H114" t="s">
        <v>43</v>
      </c>
      <c r="I114" t="s">
        <v>637</v>
      </c>
      <c r="J114" t="s">
        <v>635</v>
      </c>
      <c r="K114" t="s">
        <v>638</v>
      </c>
      <c r="L114" t="s">
        <v>65</v>
      </c>
      <c r="M114" t="s">
        <v>36</v>
      </c>
      <c r="N114" t="s">
        <v>37</v>
      </c>
      <c r="O114" t="s">
        <v>66</v>
      </c>
      <c r="P114" t="s">
        <v>66</v>
      </c>
      <c r="Q114" t="s">
        <v>234</v>
      </c>
      <c r="R114" t="s">
        <v>639</v>
      </c>
      <c r="S114" t="s">
        <v>640</v>
      </c>
      <c r="T114" s="2">
        <v>117.048798</v>
      </c>
      <c r="U114" s="2">
        <v>39.086625</v>
      </c>
    </row>
    <row r="115" spans="1:21">
      <c r="A115" t="s">
        <v>641</v>
      </c>
      <c r="B115" t="s">
        <v>30</v>
      </c>
      <c r="C115" t="s">
        <v>642</v>
      </c>
      <c r="D115" t="s">
        <v>643</v>
      </c>
      <c r="E115" t="s">
        <v>644</v>
      </c>
      <c r="F115" t="s">
        <v>7</v>
      </c>
      <c r="G115" t="s">
        <v>7</v>
      </c>
      <c r="H115" t="s">
        <v>43</v>
      </c>
      <c r="I115" t="s">
        <v>601</v>
      </c>
      <c r="J115" t="s">
        <v>643</v>
      </c>
      <c r="K115" t="s">
        <v>645</v>
      </c>
      <c r="L115" t="s">
        <v>65</v>
      </c>
      <c r="M115" t="s">
        <v>36</v>
      </c>
      <c r="N115" t="s">
        <v>37</v>
      </c>
      <c r="O115" t="s">
        <v>66</v>
      </c>
      <c r="P115" t="s">
        <v>66</v>
      </c>
      <c r="Q115" t="s">
        <v>45</v>
      </c>
      <c r="R115" t="s">
        <v>646</v>
      </c>
      <c r="S115" t="s">
        <v>32</v>
      </c>
      <c r="T115" s="2">
        <v>117.066331</v>
      </c>
      <c r="U115" s="2">
        <v>39.111417</v>
      </c>
    </row>
    <row r="116" spans="1:21">
      <c r="A116" t="s">
        <v>647</v>
      </c>
      <c r="B116" t="s">
        <v>30</v>
      </c>
      <c r="C116" t="s">
        <v>648</v>
      </c>
      <c r="D116" t="s">
        <v>649</v>
      </c>
      <c r="E116" t="s">
        <v>650</v>
      </c>
      <c r="F116" t="s">
        <v>7</v>
      </c>
      <c r="G116" t="s">
        <v>7</v>
      </c>
      <c r="H116" t="s">
        <v>56</v>
      </c>
      <c r="I116" t="s">
        <v>189</v>
      </c>
      <c r="J116" t="s">
        <v>649</v>
      </c>
      <c r="K116" t="s">
        <v>651</v>
      </c>
      <c r="L116" t="s">
        <v>65</v>
      </c>
      <c r="M116" t="s">
        <v>36</v>
      </c>
      <c r="N116" t="s">
        <v>37</v>
      </c>
      <c r="O116" t="s">
        <v>66</v>
      </c>
      <c r="P116" t="s">
        <v>66</v>
      </c>
      <c r="Q116" t="s">
        <v>74</v>
      </c>
      <c r="R116" t="s">
        <v>652</v>
      </c>
      <c r="S116" t="s">
        <v>32</v>
      </c>
      <c r="T116" s="2">
        <v>117.162104</v>
      </c>
      <c r="U116" s="2">
        <v>39.304204</v>
      </c>
    </row>
    <row r="117" spans="1:21">
      <c r="A117" t="s">
        <v>653</v>
      </c>
      <c r="B117" t="s">
        <v>30</v>
      </c>
      <c r="C117" t="s">
        <v>654</v>
      </c>
      <c r="D117" t="s">
        <v>655</v>
      </c>
      <c r="E117" t="s">
        <v>656</v>
      </c>
      <c r="F117" t="s">
        <v>7</v>
      </c>
      <c r="G117" t="s">
        <v>7</v>
      </c>
      <c r="H117" t="s">
        <v>43</v>
      </c>
      <c r="I117" t="s">
        <v>637</v>
      </c>
      <c r="J117" t="s">
        <v>655</v>
      </c>
      <c r="K117" t="s">
        <v>657</v>
      </c>
      <c r="L117" t="s">
        <v>595</v>
      </c>
      <c r="M117" t="s">
        <v>36</v>
      </c>
      <c r="N117" t="s">
        <v>37</v>
      </c>
      <c r="O117" t="s">
        <v>66</v>
      </c>
      <c r="P117" t="s">
        <v>66</v>
      </c>
      <c r="Q117" t="s">
        <v>45</v>
      </c>
      <c r="R117" t="s">
        <v>658</v>
      </c>
      <c r="S117" t="s">
        <v>32</v>
      </c>
      <c r="T117" s="2">
        <v>117.04511</v>
      </c>
      <c r="U117" s="2">
        <v>39.115407</v>
      </c>
    </row>
    <row r="118" spans="1:21">
      <c r="A118" t="s">
        <v>659</v>
      </c>
      <c r="B118" t="s">
        <v>30</v>
      </c>
      <c r="C118" t="s">
        <v>660</v>
      </c>
      <c r="D118" t="s">
        <v>661</v>
      </c>
      <c r="E118" t="s">
        <v>662</v>
      </c>
      <c r="F118" t="s">
        <v>7</v>
      </c>
      <c r="G118" t="s">
        <v>7</v>
      </c>
      <c r="H118" t="s">
        <v>56</v>
      </c>
      <c r="I118" t="s">
        <v>593</v>
      </c>
      <c r="J118" t="s">
        <v>661</v>
      </c>
      <c r="K118" t="s">
        <v>663</v>
      </c>
      <c r="L118" t="s">
        <v>65</v>
      </c>
      <c r="M118" t="s">
        <v>36</v>
      </c>
      <c r="N118" t="s">
        <v>37</v>
      </c>
      <c r="O118" t="s">
        <v>66</v>
      </c>
      <c r="P118" t="s">
        <v>66</v>
      </c>
      <c r="Q118" t="s">
        <v>74</v>
      </c>
      <c r="R118" t="s">
        <v>664</v>
      </c>
      <c r="S118" t="s">
        <v>32</v>
      </c>
      <c r="T118" s="2">
        <v>117.11987</v>
      </c>
      <c r="U118" s="2">
        <v>39.272771</v>
      </c>
    </row>
    <row r="119" spans="1:21">
      <c r="A119" t="s">
        <v>665</v>
      </c>
      <c r="B119" t="s">
        <v>30</v>
      </c>
      <c r="C119" t="s">
        <v>666</v>
      </c>
      <c r="D119" t="s">
        <v>667</v>
      </c>
      <c r="E119" t="s">
        <v>668</v>
      </c>
      <c r="F119" t="s">
        <v>7</v>
      </c>
      <c r="G119" t="s">
        <v>7</v>
      </c>
      <c r="H119" t="s">
        <v>73</v>
      </c>
      <c r="I119" t="s">
        <v>127</v>
      </c>
      <c r="J119" t="s">
        <v>667</v>
      </c>
      <c r="K119" t="s">
        <v>645</v>
      </c>
      <c r="L119" t="s">
        <v>65</v>
      </c>
      <c r="M119" t="s">
        <v>36</v>
      </c>
      <c r="N119" t="s">
        <v>37</v>
      </c>
      <c r="O119" t="s">
        <v>66</v>
      </c>
      <c r="P119" t="s">
        <v>66</v>
      </c>
      <c r="Q119" t="s">
        <v>45</v>
      </c>
      <c r="R119" t="s">
        <v>669</v>
      </c>
      <c r="S119" t="s">
        <v>32</v>
      </c>
      <c r="T119" s="2">
        <v>117.323309</v>
      </c>
      <c r="U119" s="2">
        <v>39.07976</v>
      </c>
    </row>
    <row r="120" spans="1:21">
      <c r="A120" t="s">
        <v>670</v>
      </c>
      <c r="B120" t="s">
        <v>30</v>
      </c>
      <c r="C120" t="s">
        <v>671</v>
      </c>
      <c r="D120" t="s">
        <v>672</v>
      </c>
      <c r="E120" t="s">
        <v>673</v>
      </c>
      <c r="F120" t="s">
        <v>7</v>
      </c>
      <c r="G120" t="s">
        <v>7</v>
      </c>
      <c r="H120" t="s">
        <v>43</v>
      </c>
      <c r="I120" t="s">
        <v>593</v>
      </c>
      <c r="J120" t="s">
        <v>672</v>
      </c>
      <c r="K120" t="s">
        <v>674</v>
      </c>
      <c r="L120" t="s">
        <v>65</v>
      </c>
      <c r="M120" t="s">
        <v>36</v>
      </c>
      <c r="N120" t="s">
        <v>37</v>
      </c>
      <c r="O120" t="s">
        <v>66</v>
      </c>
      <c r="P120" t="s">
        <v>66</v>
      </c>
      <c r="Q120" t="s">
        <v>74</v>
      </c>
      <c r="R120" t="s">
        <v>675</v>
      </c>
      <c r="S120" t="s">
        <v>32</v>
      </c>
      <c r="T120" s="2">
        <v>117.282939</v>
      </c>
      <c r="U120" s="2">
        <v>38.994727</v>
      </c>
    </row>
    <row r="121" spans="1:21">
      <c r="A121" t="s">
        <v>676</v>
      </c>
      <c r="B121" t="s">
        <v>30</v>
      </c>
      <c r="C121" t="s">
        <v>677</v>
      </c>
      <c r="D121" t="s">
        <v>678</v>
      </c>
      <c r="E121" t="s">
        <v>679</v>
      </c>
      <c r="F121" t="s">
        <v>7</v>
      </c>
      <c r="G121" t="s">
        <v>7</v>
      </c>
      <c r="H121" t="s">
        <v>43</v>
      </c>
      <c r="I121" t="s">
        <v>680</v>
      </c>
      <c r="J121" t="s">
        <v>678</v>
      </c>
      <c r="K121" t="s">
        <v>681</v>
      </c>
      <c r="L121" t="s">
        <v>65</v>
      </c>
      <c r="M121" t="s">
        <v>36</v>
      </c>
      <c r="N121" t="s">
        <v>37</v>
      </c>
      <c r="O121" t="s">
        <v>66</v>
      </c>
      <c r="P121" t="s">
        <v>66</v>
      </c>
      <c r="Q121" t="s">
        <v>57</v>
      </c>
      <c r="R121" t="s">
        <v>682</v>
      </c>
      <c r="S121" t="s">
        <v>32</v>
      </c>
      <c r="T121" s="2">
        <v>117.039903</v>
      </c>
      <c r="U121" s="2">
        <v>39.109083</v>
      </c>
    </row>
    <row r="122" spans="1:21">
      <c r="A122" t="s">
        <v>683</v>
      </c>
      <c r="B122" t="s">
        <v>30</v>
      </c>
      <c r="C122" t="s">
        <v>684</v>
      </c>
      <c r="D122" t="s">
        <v>685</v>
      </c>
      <c r="E122" t="s">
        <v>686</v>
      </c>
      <c r="F122" t="s">
        <v>7</v>
      </c>
      <c r="G122" t="s">
        <v>7</v>
      </c>
      <c r="H122" t="s">
        <v>73</v>
      </c>
      <c r="I122" t="s">
        <v>593</v>
      </c>
      <c r="J122" t="s">
        <v>685</v>
      </c>
      <c r="K122" t="s">
        <v>687</v>
      </c>
      <c r="L122" t="s">
        <v>65</v>
      </c>
      <c r="M122" t="s">
        <v>36</v>
      </c>
      <c r="N122" t="s">
        <v>37</v>
      </c>
      <c r="O122" t="s">
        <v>66</v>
      </c>
      <c r="P122" t="s">
        <v>66</v>
      </c>
      <c r="Q122" t="s">
        <v>74</v>
      </c>
      <c r="R122" t="s">
        <v>688</v>
      </c>
      <c r="S122" t="s">
        <v>32</v>
      </c>
      <c r="T122" s="2">
        <v>117.356176</v>
      </c>
      <c r="U122" s="2">
        <v>39.071483</v>
      </c>
    </row>
    <row r="123" spans="1:21">
      <c r="A123" t="s">
        <v>689</v>
      </c>
      <c r="B123" t="s">
        <v>30</v>
      </c>
      <c r="C123" t="s">
        <v>237</v>
      </c>
      <c r="D123" t="s">
        <v>690</v>
      </c>
      <c r="E123" t="s">
        <v>691</v>
      </c>
      <c r="F123" t="s">
        <v>7</v>
      </c>
      <c r="G123" t="s">
        <v>7</v>
      </c>
      <c r="H123" t="s">
        <v>73</v>
      </c>
      <c r="I123" t="s">
        <v>692</v>
      </c>
      <c r="J123" t="s">
        <v>690</v>
      </c>
      <c r="K123" t="s">
        <v>693</v>
      </c>
      <c r="L123" t="s">
        <v>65</v>
      </c>
      <c r="M123" t="s">
        <v>36</v>
      </c>
      <c r="N123" t="s">
        <v>37</v>
      </c>
      <c r="O123" t="s">
        <v>66</v>
      </c>
      <c r="P123" t="s">
        <v>66</v>
      </c>
      <c r="Q123" t="s">
        <v>234</v>
      </c>
      <c r="R123" t="s">
        <v>694</v>
      </c>
      <c r="S123" t="s">
        <v>32</v>
      </c>
      <c r="T123" s="2">
        <v>117.374656</v>
      </c>
      <c r="U123" s="2">
        <v>39.068693</v>
      </c>
    </row>
    <row r="124" spans="1:21">
      <c r="A124" t="s">
        <v>695</v>
      </c>
      <c r="B124" t="s">
        <v>30</v>
      </c>
      <c r="C124" t="s">
        <v>696</v>
      </c>
      <c r="D124" t="s">
        <v>697</v>
      </c>
      <c r="E124" t="s">
        <v>698</v>
      </c>
      <c r="F124" t="s">
        <v>7</v>
      </c>
      <c r="G124" t="s">
        <v>7</v>
      </c>
      <c r="H124" t="s">
        <v>43</v>
      </c>
      <c r="I124" t="s">
        <v>699</v>
      </c>
      <c r="J124" t="s">
        <v>697</v>
      </c>
      <c r="K124" t="s">
        <v>700</v>
      </c>
      <c r="L124" t="s">
        <v>595</v>
      </c>
      <c r="M124" t="s">
        <v>36</v>
      </c>
      <c r="N124" t="s">
        <v>37</v>
      </c>
      <c r="O124" t="s">
        <v>66</v>
      </c>
      <c r="P124" t="s">
        <v>66</v>
      </c>
      <c r="Q124" t="s">
        <v>74</v>
      </c>
      <c r="R124" t="s">
        <v>701</v>
      </c>
      <c r="S124" t="s">
        <v>32</v>
      </c>
      <c r="T124" s="2">
        <v>117.066194</v>
      </c>
      <c r="U124" s="2">
        <v>39.101837</v>
      </c>
    </row>
    <row r="125" spans="1:21">
      <c r="A125" t="s">
        <v>702</v>
      </c>
      <c r="B125" t="s">
        <v>30</v>
      </c>
      <c r="C125" t="s">
        <v>703</v>
      </c>
      <c r="D125" t="s">
        <v>704</v>
      </c>
      <c r="E125" t="s">
        <v>705</v>
      </c>
      <c r="F125" t="s">
        <v>7</v>
      </c>
      <c r="G125" t="s">
        <v>7</v>
      </c>
      <c r="H125" t="s">
        <v>43</v>
      </c>
      <c r="I125" t="s">
        <v>239</v>
      </c>
      <c r="J125" t="s">
        <v>704</v>
      </c>
      <c r="K125" t="s">
        <v>706</v>
      </c>
      <c r="L125" t="s">
        <v>65</v>
      </c>
      <c r="M125" t="s">
        <v>36</v>
      </c>
      <c r="N125" t="s">
        <v>37</v>
      </c>
      <c r="O125" t="s">
        <v>66</v>
      </c>
      <c r="P125" t="s">
        <v>66</v>
      </c>
      <c r="Q125" t="s">
        <v>57</v>
      </c>
      <c r="R125" t="s">
        <v>707</v>
      </c>
      <c r="S125" t="s">
        <v>32</v>
      </c>
      <c r="T125" s="2">
        <v>117.246228</v>
      </c>
      <c r="U125" s="2">
        <v>39.233247</v>
      </c>
    </row>
    <row r="126" spans="1:21">
      <c r="A126" t="s">
        <v>708</v>
      </c>
      <c r="B126" t="s">
        <v>30</v>
      </c>
      <c r="C126" t="s">
        <v>709</v>
      </c>
      <c r="D126" t="s">
        <v>710</v>
      </c>
      <c r="E126" t="s">
        <v>711</v>
      </c>
      <c r="F126" t="s">
        <v>7</v>
      </c>
      <c r="G126" t="s">
        <v>7</v>
      </c>
      <c r="H126" t="s">
        <v>43</v>
      </c>
      <c r="I126" t="s">
        <v>692</v>
      </c>
      <c r="J126" t="s">
        <v>710</v>
      </c>
      <c r="K126" t="s">
        <v>712</v>
      </c>
      <c r="L126" t="s">
        <v>65</v>
      </c>
      <c r="M126" t="s">
        <v>36</v>
      </c>
      <c r="N126" t="s">
        <v>37</v>
      </c>
      <c r="O126" t="s">
        <v>66</v>
      </c>
      <c r="P126" t="s">
        <v>66</v>
      </c>
      <c r="Q126" t="s">
        <v>74</v>
      </c>
      <c r="R126" t="s">
        <v>713</v>
      </c>
      <c r="S126" t="s">
        <v>32</v>
      </c>
      <c r="T126" s="2">
        <v>117.068439</v>
      </c>
      <c r="U126" s="2">
        <v>39.120343</v>
      </c>
    </row>
    <row r="127" spans="1:21">
      <c r="A127" t="s">
        <v>714</v>
      </c>
      <c r="B127" t="s">
        <v>30</v>
      </c>
      <c r="C127" t="s">
        <v>237</v>
      </c>
      <c r="D127" t="s">
        <v>715</v>
      </c>
      <c r="E127" t="s">
        <v>716</v>
      </c>
      <c r="F127" t="s">
        <v>7</v>
      </c>
      <c r="G127" t="s">
        <v>7</v>
      </c>
      <c r="H127" t="s">
        <v>73</v>
      </c>
      <c r="I127" t="s">
        <v>692</v>
      </c>
      <c r="J127" t="s">
        <v>715</v>
      </c>
      <c r="K127" t="s">
        <v>717</v>
      </c>
      <c r="L127" t="s">
        <v>65</v>
      </c>
      <c r="M127" t="s">
        <v>36</v>
      </c>
      <c r="N127" t="s">
        <v>37</v>
      </c>
      <c r="O127" t="s">
        <v>66</v>
      </c>
      <c r="P127" t="s">
        <v>66</v>
      </c>
      <c r="Q127" t="s">
        <v>57</v>
      </c>
      <c r="R127" t="s">
        <v>718</v>
      </c>
      <c r="S127" t="s">
        <v>32</v>
      </c>
      <c r="T127" s="2">
        <v>117.357468</v>
      </c>
      <c r="U127" s="2">
        <v>39.071315</v>
      </c>
    </row>
    <row r="128" spans="1:21">
      <c r="A128" t="s">
        <v>719</v>
      </c>
      <c r="B128" t="s">
        <v>30</v>
      </c>
      <c r="C128" t="s">
        <v>720</v>
      </c>
      <c r="D128" t="s">
        <v>721</v>
      </c>
      <c r="E128" t="s">
        <v>722</v>
      </c>
      <c r="F128" t="s">
        <v>7</v>
      </c>
      <c r="G128" t="s">
        <v>7</v>
      </c>
      <c r="H128" t="s">
        <v>56</v>
      </c>
      <c r="I128" t="s">
        <v>637</v>
      </c>
      <c r="J128" t="s">
        <v>721</v>
      </c>
      <c r="K128" t="s">
        <v>723</v>
      </c>
      <c r="L128" t="s">
        <v>65</v>
      </c>
      <c r="M128" t="s">
        <v>36</v>
      </c>
      <c r="N128" t="s">
        <v>37</v>
      </c>
      <c r="O128" t="s">
        <v>66</v>
      </c>
      <c r="P128" t="s">
        <v>66</v>
      </c>
      <c r="Q128" t="s">
        <v>74</v>
      </c>
      <c r="R128" t="s">
        <v>724</v>
      </c>
      <c r="S128" t="s">
        <v>32</v>
      </c>
      <c r="T128" s="2">
        <v>117.164855</v>
      </c>
      <c r="U128" s="2">
        <v>39.296846</v>
      </c>
    </row>
    <row r="129" spans="1:21">
      <c r="A129" t="s">
        <v>725</v>
      </c>
      <c r="B129" t="s">
        <v>30</v>
      </c>
      <c r="C129" t="s">
        <v>726</v>
      </c>
      <c r="D129" t="s">
        <v>727</v>
      </c>
      <c r="E129" t="s">
        <v>728</v>
      </c>
      <c r="F129" t="s">
        <v>7</v>
      </c>
      <c r="G129" t="s">
        <v>7</v>
      </c>
      <c r="H129" t="s">
        <v>73</v>
      </c>
      <c r="I129" t="s">
        <v>692</v>
      </c>
      <c r="J129" t="s">
        <v>727</v>
      </c>
      <c r="K129" t="s">
        <v>729</v>
      </c>
      <c r="L129" t="s">
        <v>65</v>
      </c>
      <c r="M129" t="s">
        <v>36</v>
      </c>
      <c r="N129" t="s">
        <v>37</v>
      </c>
      <c r="O129" t="s">
        <v>66</v>
      </c>
      <c r="P129" t="s">
        <v>66</v>
      </c>
      <c r="Q129" t="s">
        <v>57</v>
      </c>
      <c r="R129" t="s">
        <v>730</v>
      </c>
      <c r="S129" t="s">
        <v>32</v>
      </c>
      <c r="T129" s="2">
        <v>117.356054</v>
      </c>
      <c r="U129" s="2">
        <v>39.060821</v>
      </c>
    </row>
    <row r="130" spans="1:21">
      <c r="A130" t="s">
        <v>731</v>
      </c>
      <c r="B130" t="s">
        <v>30</v>
      </c>
      <c r="C130" t="s">
        <v>732</v>
      </c>
      <c r="D130" t="s">
        <v>733</v>
      </c>
      <c r="E130" t="s">
        <v>734</v>
      </c>
      <c r="F130" t="s">
        <v>7</v>
      </c>
      <c r="G130" t="s">
        <v>7</v>
      </c>
      <c r="H130" t="s">
        <v>43</v>
      </c>
      <c r="I130" t="s">
        <v>637</v>
      </c>
      <c r="J130" t="s">
        <v>733</v>
      </c>
      <c r="K130" t="s">
        <v>735</v>
      </c>
      <c r="L130" t="s">
        <v>65</v>
      </c>
      <c r="M130" t="s">
        <v>36</v>
      </c>
      <c r="N130" t="s">
        <v>37</v>
      </c>
      <c r="O130" t="s">
        <v>66</v>
      </c>
      <c r="P130" t="s">
        <v>66</v>
      </c>
      <c r="Q130" t="s">
        <v>234</v>
      </c>
      <c r="R130" t="s">
        <v>736</v>
      </c>
      <c r="S130" t="s">
        <v>32</v>
      </c>
      <c r="T130" s="2">
        <v>117.034663</v>
      </c>
      <c r="U130" s="2">
        <v>39.147226</v>
      </c>
    </row>
    <row r="131" spans="1:21">
      <c r="A131" t="s">
        <v>737</v>
      </c>
      <c r="B131" t="s">
        <v>30</v>
      </c>
      <c r="C131" t="s">
        <v>738</v>
      </c>
      <c r="D131" t="s">
        <v>739</v>
      </c>
      <c r="E131" t="s">
        <v>740</v>
      </c>
      <c r="F131" t="s">
        <v>7</v>
      </c>
      <c r="G131" t="s">
        <v>7</v>
      </c>
      <c r="H131" t="s">
        <v>43</v>
      </c>
      <c r="I131" t="s">
        <v>189</v>
      </c>
      <c r="J131" t="s">
        <v>739</v>
      </c>
      <c r="K131" t="s">
        <v>741</v>
      </c>
      <c r="L131" t="s">
        <v>65</v>
      </c>
      <c r="M131" t="s">
        <v>36</v>
      </c>
      <c r="N131" t="s">
        <v>37</v>
      </c>
      <c r="O131" t="s">
        <v>66</v>
      </c>
      <c r="P131" t="s">
        <v>66</v>
      </c>
      <c r="Q131" t="s">
        <v>57</v>
      </c>
      <c r="R131" t="s">
        <v>742</v>
      </c>
      <c r="S131" t="s">
        <v>32</v>
      </c>
      <c r="T131" s="2">
        <v>117.038943</v>
      </c>
      <c r="U131" s="2">
        <v>39.116517</v>
      </c>
    </row>
    <row r="132" spans="1:21">
      <c r="A132" t="s">
        <v>743</v>
      </c>
      <c r="B132" t="s">
        <v>30</v>
      </c>
      <c r="C132" t="s">
        <v>744</v>
      </c>
      <c r="D132" t="s">
        <v>745</v>
      </c>
      <c r="E132" t="s">
        <v>746</v>
      </c>
      <c r="F132" t="s">
        <v>7</v>
      </c>
      <c r="G132" t="s">
        <v>7</v>
      </c>
      <c r="H132" t="s">
        <v>73</v>
      </c>
      <c r="I132" t="s">
        <v>692</v>
      </c>
      <c r="J132" t="s">
        <v>745</v>
      </c>
      <c r="K132" t="s">
        <v>747</v>
      </c>
      <c r="L132" t="s">
        <v>65</v>
      </c>
      <c r="M132" t="s">
        <v>36</v>
      </c>
      <c r="N132" t="s">
        <v>37</v>
      </c>
      <c r="O132" t="s">
        <v>66</v>
      </c>
      <c r="P132" t="s">
        <v>66</v>
      </c>
      <c r="Q132" t="s">
        <v>57</v>
      </c>
      <c r="R132" t="s">
        <v>748</v>
      </c>
      <c r="S132" t="s">
        <v>32</v>
      </c>
      <c r="T132" s="2">
        <v>117.363022</v>
      </c>
      <c r="U132" s="2">
        <v>39.075486</v>
      </c>
    </row>
    <row r="133" spans="1:21">
      <c r="A133" t="s">
        <v>749</v>
      </c>
      <c r="B133" t="s">
        <v>30</v>
      </c>
      <c r="C133" t="s">
        <v>750</v>
      </c>
      <c r="D133" t="s">
        <v>751</v>
      </c>
      <c r="E133" t="s">
        <v>752</v>
      </c>
      <c r="F133" t="s">
        <v>7</v>
      </c>
      <c r="G133" t="s">
        <v>7</v>
      </c>
      <c r="H133" t="s">
        <v>43</v>
      </c>
      <c r="I133" t="s">
        <v>593</v>
      </c>
      <c r="J133" t="s">
        <v>751</v>
      </c>
      <c r="K133" t="s">
        <v>753</v>
      </c>
      <c r="L133" t="s">
        <v>65</v>
      </c>
      <c r="M133" t="s">
        <v>36</v>
      </c>
      <c r="N133" t="s">
        <v>37</v>
      </c>
      <c r="O133" t="s">
        <v>66</v>
      </c>
      <c r="P133" t="s">
        <v>66</v>
      </c>
      <c r="Q133" t="s">
        <v>74</v>
      </c>
      <c r="R133" t="s">
        <v>754</v>
      </c>
      <c r="S133" t="s">
        <v>32</v>
      </c>
      <c r="T133" s="2">
        <v>117.083433</v>
      </c>
      <c r="U133" s="2">
        <v>39.147617</v>
      </c>
    </row>
    <row r="134" spans="1:21">
      <c r="A134" t="s">
        <v>755</v>
      </c>
      <c r="B134" t="s">
        <v>30</v>
      </c>
      <c r="C134" t="s">
        <v>220</v>
      </c>
      <c r="D134" t="s">
        <v>756</v>
      </c>
      <c r="E134" t="s">
        <v>757</v>
      </c>
      <c r="F134" t="s">
        <v>7</v>
      </c>
      <c r="G134" t="s">
        <v>7</v>
      </c>
      <c r="H134" t="s">
        <v>43</v>
      </c>
      <c r="I134" t="s">
        <v>692</v>
      </c>
      <c r="J134" t="s">
        <v>756</v>
      </c>
      <c r="K134" t="s">
        <v>758</v>
      </c>
      <c r="L134" t="s">
        <v>65</v>
      </c>
      <c r="M134" t="s">
        <v>36</v>
      </c>
      <c r="N134" t="s">
        <v>37</v>
      </c>
      <c r="O134" t="s">
        <v>66</v>
      </c>
      <c r="P134" t="s">
        <v>66</v>
      </c>
      <c r="Q134" t="s">
        <v>74</v>
      </c>
      <c r="R134" t="s">
        <v>759</v>
      </c>
      <c r="S134" t="s">
        <v>32</v>
      </c>
      <c r="T134" s="2">
        <v>117.236203</v>
      </c>
      <c r="U134" s="2">
        <v>39.012123</v>
      </c>
    </row>
    <row r="135" spans="1:21">
      <c r="A135" t="s">
        <v>760</v>
      </c>
      <c r="B135" t="s">
        <v>30</v>
      </c>
      <c r="C135" t="s">
        <v>761</v>
      </c>
      <c r="D135" t="s">
        <v>762</v>
      </c>
      <c r="E135" t="s">
        <v>763</v>
      </c>
      <c r="F135" t="s">
        <v>7</v>
      </c>
      <c r="G135" t="s">
        <v>7</v>
      </c>
      <c r="H135" t="s">
        <v>43</v>
      </c>
      <c r="I135" t="s">
        <v>154</v>
      </c>
      <c r="J135" t="s">
        <v>762</v>
      </c>
      <c r="K135" t="s">
        <v>764</v>
      </c>
      <c r="L135" t="s">
        <v>65</v>
      </c>
      <c r="M135" t="s">
        <v>36</v>
      </c>
      <c r="N135" t="s">
        <v>37</v>
      </c>
      <c r="O135" t="s">
        <v>66</v>
      </c>
      <c r="P135" t="s">
        <v>66</v>
      </c>
      <c r="Q135" t="s">
        <v>74</v>
      </c>
      <c r="R135" t="s">
        <v>765</v>
      </c>
      <c r="S135" t="s">
        <v>32</v>
      </c>
      <c r="T135" s="2">
        <v>117.073286</v>
      </c>
      <c r="U135" s="2">
        <v>39.151341</v>
      </c>
    </row>
    <row r="136" spans="1:21">
      <c r="A136" t="s">
        <v>766</v>
      </c>
      <c r="B136" t="s">
        <v>30</v>
      </c>
      <c r="C136" t="s">
        <v>568</v>
      </c>
      <c r="D136" t="s">
        <v>767</v>
      </c>
      <c r="E136" t="s">
        <v>768</v>
      </c>
      <c r="F136" t="s">
        <v>7</v>
      </c>
      <c r="G136" t="s">
        <v>7</v>
      </c>
      <c r="H136" t="s">
        <v>43</v>
      </c>
      <c r="I136" t="s">
        <v>51</v>
      </c>
      <c r="J136" t="s">
        <v>767</v>
      </c>
      <c r="K136" t="s">
        <v>769</v>
      </c>
      <c r="L136" t="s">
        <v>65</v>
      </c>
      <c r="M136" t="s">
        <v>36</v>
      </c>
      <c r="N136" t="s">
        <v>37</v>
      </c>
      <c r="O136" t="s">
        <v>66</v>
      </c>
      <c r="P136" t="s">
        <v>66</v>
      </c>
      <c r="Q136" t="s">
        <v>74</v>
      </c>
      <c r="R136" t="s">
        <v>770</v>
      </c>
      <c r="S136" t="s">
        <v>32</v>
      </c>
      <c r="T136" s="2">
        <v>117.266111</v>
      </c>
      <c r="U136" s="2">
        <v>38.98276</v>
      </c>
    </row>
    <row r="137" spans="1:21">
      <c r="A137" t="s">
        <v>771</v>
      </c>
      <c r="B137" t="s">
        <v>30</v>
      </c>
      <c r="C137" t="s">
        <v>772</v>
      </c>
      <c r="D137" t="s">
        <v>773</v>
      </c>
      <c r="E137" t="s">
        <v>774</v>
      </c>
      <c r="F137" t="s">
        <v>7</v>
      </c>
      <c r="G137" t="s">
        <v>7</v>
      </c>
      <c r="H137" t="s">
        <v>43</v>
      </c>
      <c r="I137" t="s">
        <v>593</v>
      </c>
      <c r="J137" t="s">
        <v>773</v>
      </c>
      <c r="K137" t="s">
        <v>775</v>
      </c>
      <c r="L137" t="s">
        <v>65</v>
      </c>
      <c r="M137" t="s">
        <v>36</v>
      </c>
      <c r="N137" t="s">
        <v>37</v>
      </c>
      <c r="O137" t="s">
        <v>66</v>
      </c>
      <c r="P137" t="s">
        <v>66</v>
      </c>
      <c r="Q137" t="s">
        <v>74</v>
      </c>
      <c r="R137" t="s">
        <v>776</v>
      </c>
      <c r="S137" t="s">
        <v>32</v>
      </c>
      <c r="T137" s="2">
        <v>117.234997</v>
      </c>
      <c r="U137" s="2">
        <v>39.018019</v>
      </c>
    </row>
    <row r="138" spans="1:21">
      <c r="A138" t="s">
        <v>777</v>
      </c>
      <c r="B138" t="s">
        <v>30</v>
      </c>
      <c r="C138" t="s">
        <v>778</v>
      </c>
      <c r="D138" t="s">
        <v>779</v>
      </c>
      <c r="E138" t="s">
        <v>780</v>
      </c>
      <c r="F138" t="s">
        <v>7</v>
      </c>
      <c r="G138" t="s">
        <v>7</v>
      </c>
      <c r="H138" t="s">
        <v>43</v>
      </c>
      <c r="I138" t="s">
        <v>680</v>
      </c>
      <c r="J138" t="s">
        <v>779</v>
      </c>
      <c r="K138" t="s">
        <v>85</v>
      </c>
      <c r="L138" t="s">
        <v>65</v>
      </c>
      <c r="M138" t="s">
        <v>36</v>
      </c>
      <c r="N138" t="s">
        <v>37</v>
      </c>
      <c r="O138" t="s">
        <v>66</v>
      </c>
      <c r="P138" t="s">
        <v>66</v>
      </c>
      <c r="Q138" t="s">
        <v>45</v>
      </c>
      <c r="R138" t="s">
        <v>781</v>
      </c>
      <c r="S138" t="s">
        <v>32</v>
      </c>
      <c r="T138" s="2">
        <v>117.034345</v>
      </c>
      <c r="U138" s="2">
        <v>39.110517</v>
      </c>
    </row>
    <row r="139" spans="1:21">
      <c r="A139" t="s">
        <v>782</v>
      </c>
      <c r="B139" t="s">
        <v>30</v>
      </c>
      <c r="C139" t="s">
        <v>783</v>
      </c>
      <c r="D139" t="s">
        <v>784</v>
      </c>
      <c r="E139" t="s">
        <v>785</v>
      </c>
      <c r="F139" t="s">
        <v>7</v>
      </c>
      <c r="G139" t="s">
        <v>7</v>
      </c>
      <c r="H139" t="s">
        <v>56</v>
      </c>
      <c r="I139" t="s">
        <v>51</v>
      </c>
      <c r="J139" t="s">
        <v>784</v>
      </c>
      <c r="K139" t="s">
        <v>786</v>
      </c>
      <c r="L139" t="s">
        <v>65</v>
      </c>
      <c r="M139" t="s">
        <v>36</v>
      </c>
      <c r="N139" t="s">
        <v>37</v>
      </c>
      <c r="O139" t="s">
        <v>66</v>
      </c>
      <c r="P139" t="s">
        <v>66</v>
      </c>
      <c r="Q139" t="s">
        <v>74</v>
      </c>
      <c r="R139" t="s">
        <v>787</v>
      </c>
      <c r="S139" t="s">
        <v>32</v>
      </c>
      <c r="T139" s="2">
        <v>117.206255</v>
      </c>
      <c r="U139" s="2">
        <v>39.240493</v>
      </c>
    </row>
    <row r="140" spans="1:21">
      <c r="A140" t="s">
        <v>788</v>
      </c>
      <c r="B140" t="s">
        <v>30</v>
      </c>
      <c r="C140" t="s">
        <v>789</v>
      </c>
      <c r="D140" t="s">
        <v>790</v>
      </c>
      <c r="E140" t="s">
        <v>791</v>
      </c>
      <c r="F140" t="s">
        <v>7</v>
      </c>
      <c r="G140" t="s">
        <v>7</v>
      </c>
      <c r="H140" t="s">
        <v>56</v>
      </c>
      <c r="I140" t="s">
        <v>637</v>
      </c>
      <c r="J140" t="s">
        <v>790</v>
      </c>
      <c r="K140" t="s">
        <v>85</v>
      </c>
      <c r="L140" t="s">
        <v>65</v>
      </c>
      <c r="M140" t="s">
        <v>36</v>
      </c>
      <c r="N140" t="s">
        <v>37</v>
      </c>
      <c r="O140" t="s">
        <v>66</v>
      </c>
      <c r="P140" t="s">
        <v>66</v>
      </c>
      <c r="Q140" t="s">
        <v>45</v>
      </c>
      <c r="R140" t="s">
        <v>792</v>
      </c>
      <c r="S140" t="s">
        <v>32</v>
      </c>
      <c r="T140" s="2">
        <v>117.131563</v>
      </c>
      <c r="U140" s="2">
        <v>39.26308</v>
      </c>
    </row>
    <row r="141" spans="1:21">
      <c r="A141" t="s">
        <v>793</v>
      </c>
      <c r="B141" t="s">
        <v>30</v>
      </c>
      <c r="C141" t="s">
        <v>794</v>
      </c>
      <c r="D141" t="s">
        <v>795</v>
      </c>
      <c r="E141" t="s">
        <v>796</v>
      </c>
      <c r="F141" t="s">
        <v>7</v>
      </c>
      <c r="G141" t="s">
        <v>7</v>
      </c>
      <c r="H141" t="s">
        <v>43</v>
      </c>
      <c r="I141" t="s">
        <v>637</v>
      </c>
      <c r="J141" t="s">
        <v>795</v>
      </c>
      <c r="K141" t="s">
        <v>797</v>
      </c>
      <c r="L141" t="s">
        <v>65</v>
      </c>
      <c r="M141" t="s">
        <v>36</v>
      </c>
      <c r="N141" t="s">
        <v>37</v>
      </c>
      <c r="O141" t="s">
        <v>66</v>
      </c>
      <c r="P141" t="s">
        <v>66</v>
      </c>
      <c r="Q141" t="s">
        <v>74</v>
      </c>
      <c r="R141" t="s">
        <v>798</v>
      </c>
      <c r="S141" t="s">
        <v>799</v>
      </c>
      <c r="T141" s="2">
        <v>117.273906</v>
      </c>
      <c r="U141" s="2">
        <v>38.999972</v>
      </c>
    </row>
    <row r="142" spans="1:21">
      <c r="A142" t="s">
        <v>800</v>
      </c>
      <c r="B142" t="s">
        <v>30</v>
      </c>
      <c r="C142" t="s">
        <v>801</v>
      </c>
      <c r="D142" t="s">
        <v>802</v>
      </c>
      <c r="E142" t="s">
        <v>803</v>
      </c>
      <c r="F142" t="s">
        <v>7</v>
      </c>
      <c r="G142" t="s">
        <v>7</v>
      </c>
      <c r="H142" t="s">
        <v>63</v>
      </c>
      <c r="I142" t="s">
        <v>593</v>
      </c>
      <c r="J142" t="s">
        <v>802</v>
      </c>
      <c r="K142" t="s">
        <v>645</v>
      </c>
      <c r="L142" t="s">
        <v>65</v>
      </c>
      <c r="M142" t="s">
        <v>36</v>
      </c>
      <c r="N142" t="s">
        <v>37</v>
      </c>
      <c r="O142" t="s">
        <v>66</v>
      </c>
      <c r="P142" t="s">
        <v>66</v>
      </c>
      <c r="Q142" t="s">
        <v>74</v>
      </c>
      <c r="R142" t="s">
        <v>804</v>
      </c>
      <c r="S142" t="s">
        <v>32</v>
      </c>
      <c r="T142" s="2">
        <v>117.304105</v>
      </c>
      <c r="U142" s="2">
        <v>39.044874</v>
      </c>
    </row>
    <row r="143" spans="1:21">
      <c r="A143" t="s">
        <v>805</v>
      </c>
      <c r="B143" t="s">
        <v>30</v>
      </c>
      <c r="C143" t="s">
        <v>806</v>
      </c>
      <c r="D143" t="s">
        <v>807</v>
      </c>
      <c r="E143" t="s">
        <v>808</v>
      </c>
      <c r="F143" t="s">
        <v>7</v>
      </c>
      <c r="G143" t="s">
        <v>7</v>
      </c>
      <c r="H143" t="s">
        <v>43</v>
      </c>
      <c r="I143" t="s">
        <v>637</v>
      </c>
      <c r="J143" t="s">
        <v>807</v>
      </c>
      <c r="K143" t="s">
        <v>85</v>
      </c>
      <c r="L143" t="s">
        <v>65</v>
      </c>
      <c r="M143" t="s">
        <v>36</v>
      </c>
      <c r="N143" t="s">
        <v>37</v>
      </c>
      <c r="O143" t="s">
        <v>66</v>
      </c>
      <c r="P143" t="s">
        <v>66</v>
      </c>
      <c r="Q143" t="s">
        <v>45</v>
      </c>
      <c r="R143" t="s">
        <v>809</v>
      </c>
      <c r="S143" t="s">
        <v>32</v>
      </c>
      <c r="T143" s="2">
        <v>117.256588</v>
      </c>
      <c r="U143" s="2">
        <v>39.022283</v>
      </c>
    </row>
    <row r="144" spans="1:21">
      <c r="A144" t="s">
        <v>810</v>
      </c>
      <c r="B144" t="s">
        <v>30</v>
      </c>
      <c r="C144" t="s">
        <v>811</v>
      </c>
      <c r="D144" t="s">
        <v>812</v>
      </c>
      <c r="E144" t="s">
        <v>813</v>
      </c>
      <c r="F144" t="s">
        <v>7</v>
      </c>
      <c r="G144" t="s">
        <v>7</v>
      </c>
      <c r="H144" t="s">
        <v>73</v>
      </c>
      <c r="I144" t="s">
        <v>637</v>
      </c>
      <c r="J144" t="s">
        <v>812</v>
      </c>
      <c r="K144" t="s">
        <v>814</v>
      </c>
      <c r="L144" t="s">
        <v>65</v>
      </c>
      <c r="M144" t="s">
        <v>36</v>
      </c>
      <c r="N144" t="s">
        <v>37</v>
      </c>
      <c r="O144" t="s">
        <v>66</v>
      </c>
      <c r="P144" t="s">
        <v>66</v>
      </c>
      <c r="Q144" t="s">
        <v>74</v>
      </c>
      <c r="R144" t="s">
        <v>815</v>
      </c>
      <c r="S144" t="s">
        <v>816</v>
      </c>
      <c r="T144" s="2">
        <v>117.355825</v>
      </c>
      <c r="U144" s="2">
        <v>39.064562</v>
      </c>
    </row>
    <row r="145" spans="1:21">
      <c r="A145" t="s">
        <v>817</v>
      </c>
      <c r="B145" t="s">
        <v>30</v>
      </c>
      <c r="C145" t="s">
        <v>818</v>
      </c>
      <c r="D145" t="s">
        <v>819</v>
      </c>
      <c r="E145" t="s">
        <v>820</v>
      </c>
      <c r="F145" t="s">
        <v>7</v>
      </c>
      <c r="G145" t="s">
        <v>7</v>
      </c>
      <c r="H145" t="s">
        <v>56</v>
      </c>
      <c r="I145" t="s">
        <v>51</v>
      </c>
      <c r="J145" t="s">
        <v>819</v>
      </c>
      <c r="K145" t="s">
        <v>85</v>
      </c>
      <c r="L145" t="s">
        <v>65</v>
      </c>
      <c r="M145" t="s">
        <v>36</v>
      </c>
      <c r="N145" t="s">
        <v>37</v>
      </c>
      <c r="O145" t="s">
        <v>66</v>
      </c>
      <c r="P145" t="s">
        <v>66</v>
      </c>
      <c r="Q145" t="s">
        <v>74</v>
      </c>
      <c r="R145" t="s">
        <v>821</v>
      </c>
      <c r="S145" t="s">
        <v>32</v>
      </c>
      <c r="T145" s="2">
        <v>117.20952</v>
      </c>
      <c r="U145" s="2">
        <v>39.216907</v>
      </c>
    </row>
    <row r="146" spans="1:21">
      <c r="A146" t="s">
        <v>822</v>
      </c>
      <c r="B146" t="s">
        <v>30</v>
      </c>
      <c r="C146" t="s">
        <v>823</v>
      </c>
      <c r="D146" t="s">
        <v>824</v>
      </c>
      <c r="E146" t="s">
        <v>825</v>
      </c>
      <c r="F146" t="s">
        <v>7</v>
      </c>
      <c r="G146" t="s">
        <v>7</v>
      </c>
      <c r="H146" t="s">
        <v>43</v>
      </c>
      <c r="I146" t="s">
        <v>593</v>
      </c>
      <c r="J146" t="s">
        <v>824</v>
      </c>
      <c r="K146" t="s">
        <v>826</v>
      </c>
      <c r="L146" t="s">
        <v>65</v>
      </c>
      <c r="M146" t="s">
        <v>36</v>
      </c>
      <c r="N146" t="s">
        <v>37</v>
      </c>
      <c r="O146" t="s">
        <v>66</v>
      </c>
      <c r="P146" t="s">
        <v>66</v>
      </c>
      <c r="Q146" t="s">
        <v>74</v>
      </c>
      <c r="R146" t="s">
        <v>827</v>
      </c>
      <c r="S146" t="s">
        <v>32</v>
      </c>
      <c r="T146" s="2">
        <v>117.247212</v>
      </c>
      <c r="U146" s="2">
        <v>38.982955</v>
      </c>
    </row>
    <row r="147" spans="1:21">
      <c r="A147" t="s">
        <v>828</v>
      </c>
      <c r="B147" t="s">
        <v>30</v>
      </c>
      <c r="C147" t="s">
        <v>829</v>
      </c>
      <c r="D147" t="s">
        <v>830</v>
      </c>
      <c r="E147" t="s">
        <v>831</v>
      </c>
      <c r="F147" t="s">
        <v>7</v>
      </c>
      <c r="G147" t="s">
        <v>7</v>
      </c>
      <c r="H147" t="s">
        <v>73</v>
      </c>
      <c r="I147" t="s">
        <v>637</v>
      </c>
      <c r="J147" t="s">
        <v>830</v>
      </c>
      <c r="K147" t="s">
        <v>832</v>
      </c>
      <c r="L147" t="s">
        <v>65</v>
      </c>
      <c r="M147" t="s">
        <v>36</v>
      </c>
      <c r="N147" t="s">
        <v>37</v>
      </c>
      <c r="O147" t="s">
        <v>66</v>
      </c>
      <c r="P147" t="s">
        <v>66</v>
      </c>
      <c r="Q147" t="s">
        <v>74</v>
      </c>
      <c r="R147" t="s">
        <v>833</v>
      </c>
      <c r="S147" t="s">
        <v>32</v>
      </c>
      <c r="T147" s="2">
        <v>117.343976</v>
      </c>
      <c r="U147" s="2">
        <v>39.181773</v>
      </c>
    </row>
    <row r="148" spans="1:21">
      <c r="A148" t="s">
        <v>834</v>
      </c>
      <c r="B148" t="s">
        <v>30</v>
      </c>
      <c r="C148" t="s">
        <v>835</v>
      </c>
      <c r="D148" t="s">
        <v>836</v>
      </c>
      <c r="E148" t="s">
        <v>837</v>
      </c>
      <c r="F148" t="s">
        <v>7</v>
      </c>
      <c r="G148" t="s">
        <v>7</v>
      </c>
      <c r="H148" t="s">
        <v>146</v>
      </c>
      <c r="I148" t="s">
        <v>51</v>
      </c>
      <c r="J148" t="s">
        <v>836</v>
      </c>
      <c r="K148" t="s">
        <v>657</v>
      </c>
      <c r="L148" t="s">
        <v>65</v>
      </c>
      <c r="M148" t="s">
        <v>36</v>
      </c>
      <c r="N148" t="s">
        <v>37</v>
      </c>
      <c r="O148" t="s">
        <v>66</v>
      </c>
      <c r="P148" t="s">
        <v>66</v>
      </c>
      <c r="Q148" t="s">
        <v>74</v>
      </c>
      <c r="R148" t="s">
        <v>838</v>
      </c>
      <c r="S148" t="s">
        <v>32</v>
      </c>
      <c r="T148" s="2">
        <v>117.087917</v>
      </c>
      <c r="U148" s="2">
        <v>39.099784</v>
      </c>
    </row>
    <row r="149" spans="1:21">
      <c r="A149" t="s">
        <v>839</v>
      </c>
      <c r="B149" t="s">
        <v>30</v>
      </c>
      <c r="C149" t="s">
        <v>840</v>
      </c>
      <c r="D149" t="s">
        <v>841</v>
      </c>
      <c r="E149" t="s">
        <v>842</v>
      </c>
      <c r="F149" t="s">
        <v>7</v>
      </c>
      <c r="G149" t="s">
        <v>7</v>
      </c>
      <c r="H149" t="s">
        <v>56</v>
      </c>
      <c r="I149" t="s">
        <v>601</v>
      </c>
      <c r="J149" t="s">
        <v>841</v>
      </c>
      <c r="K149" t="s">
        <v>182</v>
      </c>
      <c r="L149" t="s">
        <v>65</v>
      </c>
      <c r="M149" t="s">
        <v>36</v>
      </c>
      <c r="N149" t="s">
        <v>37</v>
      </c>
      <c r="O149" t="s">
        <v>66</v>
      </c>
      <c r="P149" t="s">
        <v>66</v>
      </c>
      <c r="Q149" t="s">
        <v>45</v>
      </c>
      <c r="R149" t="s">
        <v>843</v>
      </c>
      <c r="S149" t="s">
        <v>32</v>
      </c>
      <c r="T149" s="2">
        <v>117.151088</v>
      </c>
      <c r="U149" s="2">
        <v>39.236974</v>
      </c>
    </row>
    <row r="150" spans="1:21">
      <c r="A150" t="s">
        <v>844</v>
      </c>
      <c r="B150" t="s">
        <v>30</v>
      </c>
      <c r="C150" t="s">
        <v>845</v>
      </c>
      <c r="D150" t="s">
        <v>846</v>
      </c>
      <c r="E150" t="s">
        <v>847</v>
      </c>
      <c r="F150" t="s">
        <v>7</v>
      </c>
      <c r="G150" t="s">
        <v>7</v>
      </c>
      <c r="H150" t="s">
        <v>146</v>
      </c>
      <c r="I150" t="s">
        <v>51</v>
      </c>
      <c r="J150" t="s">
        <v>846</v>
      </c>
      <c r="K150" t="s">
        <v>85</v>
      </c>
      <c r="L150" t="s">
        <v>65</v>
      </c>
      <c r="M150" t="s">
        <v>36</v>
      </c>
      <c r="N150" t="s">
        <v>37</v>
      </c>
      <c r="O150" t="s">
        <v>66</v>
      </c>
      <c r="P150" t="s">
        <v>66</v>
      </c>
      <c r="Q150" t="s">
        <v>45</v>
      </c>
      <c r="R150" t="s">
        <v>848</v>
      </c>
      <c r="S150" t="s">
        <v>32</v>
      </c>
      <c r="T150" s="2">
        <v>117.122474</v>
      </c>
      <c r="U150" s="2">
        <v>39.087698</v>
      </c>
    </row>
    <row r="151" spans="1:21">
      <c r="A151" t="s">
        <v>849</v>
      </c>
      <c r="B151" t="s">
        <v>30</v>
      </c>
      <c r="C151" t="s">
        <v>850</v>
      </c>
      <c r="D151" t="s">
        <v>851</v>
      </c>
      <c r="E151" t="s">
        <v>852</v>
      </c>
      <c r="F151" t="s">
        <v>7</v>
      </c>
      <c r="G151" t="s">
        <v>7</v>
      </c>
      <c r="H151" t="s">
        <v>43</v>
      </c>
      <c r="I151" t="s">
        <v>593</v>
      </c>
      <c r="J151" t="s">
        <v>851</v>
      </c>
      <c r="K151" t="s">
        <v>85</v>
      </c>
      <c r="L151" t="s">
        <v>65</v>
      </c>
      <c r="M151" t="s">
        <v>36</v>
      </c>
      <c r="N151" t="s">
        <v>37</v>
      </c>
      <c r="O151" t="s">
        <v>66</v>
      </c>
      <c r="P151" t="s">
        <v>66</v>
      </c>
      <c r="Q151" t="s">
        <v>74</v>
      </c>
      <c r="R151" t="s">
        <v>853</v>
      </c>
      <c r="S151" t="s">
        <v>32</v>
      </c>
      <c r="T151" s="2">
        <v>117.2127</v>
      </c>
      <c r="U151" s="2">
        <v>39.020644</v>
      </c>
    </row>
    <row r="152" spans="1:21">
      <c r="A152" t="s">
        <v>854</v>
      </c>
      <c r="B152" t="s">
        <v>30</v>
      </c>
      <c r="C152" t="s">
        <v>855</v>
      </c>
      <c r="D152" t="s">
        <v>856</v>
      </c>
      <c r="E152" t="s">
        <v>857</v>
      </c>
      <c r="F152" t="s">
        <v>7</v>
      </c>
      <c r="G152" t="s">
        <v>7</v>
      </c>
      <c r="H152" t="s">
        <v>43</v>
      </c>
      <c r="I152" t="s">
        <v>699</v>
      </c>
      <c r="J152" t="s">
        <v>856</v>
      </c>
      <c r="K152" t="s">
        <v>85</v>
      </c>
      <c r="L152" t="s">
        <v>65</v>
      </c>
      <c r="M152" t="s">
        <v>36</v>
      </c>
      <c r="N152" t="s">
        <v>37</v>
      </c>
      <c r="O152" t="s">
        <v>66</v>
      </c>
      <c r="P152" t="s">
        <v>66</v>
      </c>
      <c r="Q152" t="s">
        <v>45</v>
      </c>
      <c r="R152" t="s">
        <v>858</v>
      </c>
      <c r="S152" t="s">
        <v>32</v>
      </c>
      <c r="T152" s="2">
        <v>117.265074</v>
      </c>
      <c r="U152" s="2">
        <v>38.988209</v>
      </c>
    </row>
    <row r="153" spans="1:21">
      <c r="A153" t="s">
        <v>859</v>
      </c>
      <c r="B153" t="s">
        <v>30</v>
      </c>
      <c r="C153" t="s">
        <v>860</v>
      </c>
      <c r="D153" t="s">
        <v>861</v>
      </c>
      <c r="E153" t="s">
        <v>862</v>
      </c>
      <c r="F153" t="s">
        <v>7</v>
      </c>
      <c r="G153" t="s">
        <v>7</v>
      </c>
      <c r="H153" t="s">
        <v>43</v>
      </c>
      <c r="I153" t="s">
        <v>593</v>
      </c>
      <c r="J153" t="s">
        <v>861</v>
      </c>
      <c r="K153" t="s">
        <v>863</v>
      </c>
      <c r="L153" t="s">
        <v>65</v>
      </c>
      <c r="M153" t="s">
        <v>36</v>
      </c>
      <c r="N153" t="s">
        <v>37</v>
      </c>
      <c r="O153" t="s">
        <v>66</v>
      </c>
      <c r="P153" t="s">
        <v>66</v>
      </c>
      <c r="Q153" t="s">
        <v>74</v>
      </c>
      <c r="R153" t="s">
        <v>864</v>
      </c>
      <c r="S153" t="s">
        <v>32</v>
      </c>
      <c r="T153" s="2">
        <v>117.254859</v>
      </c>
      <c r="U153" s="2">
        <v>38.988972</v>
      </c>
    </row>
    <row r="154" spans="1:21">
      <c r="A154" t="s">
        <v>865</v>
      </c>
      <c r="B154" t="s">
        <v>30</v>
      </c>
      <c r="C154" t="s">
        <v>866</v>
      </c>
      <c r="D154" t="s">
        <v>867</v>
      </c>
      <c r="E154" t="s">
        <v>868</v>
      </c>
      <c r="F154" t="s">
        <v>7</v>
      </c>
      <c r="G154" t="s">
        <v>7</v>
      </c>
      <c r="H154" t="s">
        <v>56</v>
      </c>
      <c r="I154" t="s">
        <v>51</v>
      </c>
      <c r="J154" t="s">
        <v>867</v>
      </c>
      <c r="K154" t="s">
        <v>64</v>
      </c>
      <c r="L154" t="s">
        <v>65</v>
      </c>
      <c r="M154" t="s">
        <v>36</v>
      </c>
      <c r="N154" t="s">
        <v>37</v>
      </c>
      <c r="O154" t="s">
        <v>66</v>
      </c>
      <c r="P154" t="s">
        <v>66</v>
      </c>
      <c r="Q154" t="s">
        <v>45</v>
      </c>
      <c r="R154" t="s">
        <v>869</v>
      </c>
      <c r="S154" t="s">
        <v>32</v>
      </c>
      <c r="T154" s="2">
        <v>117.184725</v>
      </c>
      <c r="U154" s="2">
        <v>39.313938</v>
      </c>
    </row>
    <row r="155" spans="1:21">
      <c r="A155" t="s">
        <v>870</v>
      </c>
      <c r="B155" t="s">
        <v>30</v>
      </c>
      <c r="C155" t="s">
        <v>871</v>
      </c>
      <c r="D155" t="s">
        <v>872</v>
      </c>
      <c r="E155" t="s">
        <v>873</v>
      </c>
      <c r="F155" t="s">
        <v>7</v>
      </c>
      <c r="G155" t="s">
        <v>7</v>
      </c>
      <c r="H155" t="s">
        <v>43</v>
      </c>
      <c r="I155" t="s">
        <v>274</v>
      </c>
      <c r="J155" t="s">
        <v>872</v>
      </c>
      <c r="K155" t="s">
        <v>85</v>
      </c>
      <c r="L155" t="s">
        <v>65</v>
      </c>
      <c r="M155" t="s">
        <v>36</v>
      </c>
      <c r="N155" t="s">
        <v>37</v>
      </c>
      <c r="O155" t="s">
        <v>66</v>
      </c>
      <c r="P155" t="s">
        <v>66</v>
      </c>
      <c r="Q155" t="s">
        <v>45</v>
      </c>
      <c r="R155" t="s">
        <v>874</v>
      </c>
      <c r="S155" t="s">
        <v>32</v>
      </c>
      <c r="T155" s="2">
        <v>117.074512</v>
      </c>
      <c r="U155" s="2">
        <v>39.128904</v>
      </c>
    </row>
    <row r="156" spans="1:21">
      <c r="A156" t="s">
        <v>875</v>
      </c>
      <c r="B156" t="s">
        <v>30</v>
      </c>
      <c r="C156" t="s">
        <v>876</v>
      </c>
      <c r="D156" t="s">
        <v>877</v>
      </c>
      <c r="E156" t="s">
        <v>878</v>
      </c>
      <c r="F156" t="s">
        <v>7</v>
      </c>
      <c r="G156" t="s">
        <v>7</v>
      </c>
      <c r="H156" t="s">
        <v>34</v>
      </c>
      <c r="I156" t="s">
        <v>51</v>
      </c>
      <c r="J156" t="s">
        <v>877</v>
      </c>
      <c r="K156" t="s">
        <v>85</v>
      </c>
      <c r="L156" t="s">
        <v>65</v>
      </c>
      <c r="M156" t="s">
        <v>36</v>
      </c>
      <c r="N156" t="s">
        <v>37</v>
      </c>
      <c r="O156" t="s">
        <v>66</v>
      </c>
      <c r="P156" t="s">
        <v>66</v>
      </c>
      <c r="Q156" t="s">
        <v>74</v>
      </c>
      <c r="R156" t="s">
        <v>879</v>
      </c>
      <c r="S156" t="s">
        <v>32</v>
      </c>
      <c r="T156" s="2">
        <v>117.134983</v>
      </c>
      <c r="U156" s="2">
        <v>39.135469</v>
      </c>
    </row>
    <row r="157" spans="1:21">
      <c r="A157" t="s">
        <v>880</v>
      </c>
      <c r="B157" t="s">
        <v>30</v>
      </c>
      <c r="C157" t="s">
        <v>881</v>
      </c>
      <c r="D157" t="s">
        <v>882</v>
      </c>
      <c r="E157" t="s">
        <v>883</v>
      </c>
      <c r="F157" t="s">
        <v>7</v>
      </c>
      <c r="G157" t="s">
        <v>7</v>
      </c>
      <c r="H157" t="s">
        <v>50</v>
      </c>
      <c r="I157" t="s">
        <v>692</v>
      </c>
      <c r="J157" t="s">
        <v>882</v>
      </c>
      <c r="K157" t="s">
        <v>884</v>
      </c>
      <c r="L157" t="s">
        <v>65</v>
      </c>
      <c r="M157" t="s">
        <v>36</v>
      </c>
      <c r="N157" t="s">
        <v>37</v>
      </c>
      <c r="O157" t="s">
        <v>66</v>
      </c>
      <c r="P157" t="s">
        <v>66</v>
      </c>
      <c r="Q157" t="s">
        <v>74</v>
      </c>
      <c r="R157" t="s">
        <v>885</v>
      </c>
      <c r="S157" t="s">
        <v>32</v>
      </c>
      <c r="T157" s="2">
        <v>117.219362</v>
      </c>
      <c r="U157" s="2">
        <v>39.073953</v>
      </c>
    </row>
    <row r="158" spans="1:21">
      <c r="A158" t="s">
        <v>886</v>
      </c>
      <c r="B158" t="s">
        <v>30</v>
      </c>
      <c r="C158" t="s">
        <v>887</v>
      </c>
      <c r="D158" t="s">
        <v>888</v>
      </c>
      <c r="E158" t="s">
        <v>889</v>
      </c>
      <c r="F158" t="s">
        <v>7</v>
      </c>
      <c r="G158" t="s">
        <v>7</v>
      </c>
      <c r="H158" t="s">
        <v>146</v>
      </c>
      <c r="I158" t="s">
        <v>51</v>
      </c>
      <c r="J158" t="s">
        <v>888</v>
      </c>
      <c r="K158" t="s">
        <v>85</v>
      </c>
      <c r="L158" t="s">
        <v>65</v>
      </c>
      <c r="M158" t="s">
        <v>36</v>
      </c>
      <c r="N158" t="s">
        <v>37</v>
      </c>
      <c r="O158" t="s">
        <v>66</v>
      </c>
      <c r="P158" t="s">
        <v>66</v>
      </c>
      <c r="Q158" t="s">
        <v>74</v>
      </c>
      <c r="R158" t="s">
        <v>890</v>
      </c>
      <c r="S158" t="s">
        <v>32</v>
      </c>
      <c r="T158" s="2">
        <v>117.070793</v>
      </c>
      <c r="U158" s="2">
        <v>39.08975</v>
      </c>
    </row>
    <row r="159" spans="1:21">
      <c r="A159" t="s">
        <v>891</v>
      </c>
      <c r="B159" t="s">
        <v>30</v>
      </c>
      <c r="C159" t="s">
        <v>892</v>
      </c>
      <c r="D159" t="s">
        <v>893</v>
      </c>
      <c r="E159" t="s">
        <v>894</v>
      </c>
      <c r="F159" t="s">
        <v>7</v>
      </c>
      <c r="G159" t="s">
        <v>7</v>
      </c>
      <c r="H159" t="s">
        <v>43</v>
      </c>
      <c r="I159" t="s">
        <v>593</v>
      </c>
      <c r="J159" t="s">
        <v>893</v>
      </c>
      <c r="K159" t="s">
        <v>895</v>
      </c>
      <c r="L159" t="s">
        <v>65</v>
      </c>
      <c r="M159" t="s">
        <v>36</v>
      </c>
      <c r="N159" t="s">
        <v>37</v>
      </c>
      <c r="O159" t="s">
        <v>66</v>
      </c>
      <c r="P159" t="s">
        <v>66</v>
      </c>
      <c r="Q159" t="s">
        <v>74</v>
      </c>
      <c r="R159" t="s">
        <v>896</v>
      </c>
      <c r="S159" t="s">
        <v>32</v>
      </c>
      <c r="T159" s="2">
        <v>117.251242</v>
      </c>
      <c r="U159" s="2">
        <v>39.025271</v>
      </c>
    </row>
    <row r="160" spans="1:21">
      <c r="A160" t="s">
        <v>897</v>
      </c>
      <c r="B160" t="s">
        <v>30</v>
      </c>
      <c r="C160" t="s">
        <v>898</v>
      </c>
      <c r="D160" t="s">
        <v>899</v>
      </c>
      <c r="E160" t="s">
        <v>900</v>
      </c>
      <c r="F160" t="s">
        <v>7</v>
      </c>
      <c r="G160" t="s">
        <v>7</v>
      </c>
      <c r="H160" t="s">
        <v>43</v>
      </c>
      <c r="I160" t="s">
        <v>44</v>
      </c>
      <c r="J160" t="s">
        <v>899</v>
      </c>
      <c r="K160" t="s">
        <v>32</v>
      </c>
      <c r="L160" t="s">
        <v>32</v>
      </c>
      <c r="M160" t="s">
        <v>36</v>
      </c>
      <c r="N160" t="s">
        <v>37</v>
      </c>
      <c r="O160" t="s">
        <v>66</v>
      </c>
      <c r="P160" t="s">
        <v>66</v>
      </c>
      <c r="Q160" t="s">
        <v>234</v>
      </c>
      <c r="R160" t="s">
        <v>901</v>
      </c>
      <c r="S160" t="s">
        <v>32</v>
      </c>
      <c r="T160" s="2">
        <v>116.981436</v>
      </c>
      <c r="U160" s="2">
        <v>39.101935</v>
      </c>
    </row>
    <row r="161" spans="1:21">
      <c r="A161" t="s">
        <v>902</v>
      </c>
      <c r="B161" t="s">
        <v>30</v>
      </c>
      <c r="C161" t="s">
        <v>903</v>
      </c>
      <c r="D161" t="s">
        <v>904</v>
      </c>
      <c r="E161" t="s">
        <v>905</v>
      </c>
      <c r="F161" t="s">
        <v>7</v>
      </c>
      <c r="G161" t="s">
        <v>7</v>
      </c>
      <c r="H161" t="s">
        <v>43</v>
      </c>
      <c r="I161" t="s">
        <v>51</v>
      </c>
      <c r="J161" t="s">
        <v>904</v>
      </c>
      <c r="K161" t="s">
        <v>906</v>
      </c>
      <c r="L161" t="s">
        <v>595</v>
      </c>
      <c r="M161" t="s">
        <v>36</v>
      </c>
      <c r="N161" t="s">
        <v>37</v>
      </c>
      <c r="O161" t="s">
        <v>66</v>
      </c>
      <c r="P161" t="s">
        <v>66</v>
      </c>
      <c r="Q161" t="s">
        <v>74</v>
      </c>
      <c r="R161" t="s">
        <v>907</v>
      </c>
      <c r="S161" t="s">
        <v>908</v>
      </c>
      <c r="T161" s="2">
        <v>117.071791</v>
      </c>
      <c r="U161" s="2">
        <v>39.144579</v>
      </c>
    </row>
    <row r="162" spans="1:21">
      <c r="A162" t="s">
        <v>909</v>
      </c>
      <c r="B162" t="s">
        <v>40</v>
      </c>
      <c r="C162" t="s">
        <v>910</v>
      </c>
      <c r="D162" t="s">
        <v>911</v>
      </c>
      <c r="E162" t="s">
        <v>912</v>
      </c>
      <c r="F162" t="s">
        <v>7</v>
      </c>
      <c r="G162" t="s">
        <v>7</v>
      </c>
      <c r="H162" t="s">
        <v>146</v>
      </c>
      <c r="I162" t="s">
        <v>51</v>
      </c>
      <c r="J162" t="s">
        <v>911</v>
      </c>
      <c r="K162" t="s">
        <v>85</v>
      </c>
      <c r="L162" t="s">
        <v>65</v>
      </c>
      <c r="M162" t="s">
        <v>36</v>
      </c>
      <c r="N162" t="s">
        <v>37</v>
      </c>
      <c r="O162" t="s">
        <v>66</v>
      </c>
      <c r="P162" t="s">
        <v>66</v>
      </c>
      <c r="Q162" t="s">
        <v>45</v>
      </c>
      <c r="R162" t="s">
        <v>913</v>
      </c>
      <c r="S162" t="s">
        <v>32</v>
      </c>
      <c r="T162" s="2">
        <v>117.0723</v>
      </c>
      <c r="U162" s="2">
        <v>39.09843</v>
      </c>
    </row>
    <row r="163" spans="1:21">
      <c r="A163" t="s">
        <v>914</v>
      </c>
      <c r="B163" t="s">
        <v>30</v>
      </c>
      <c r="C163" t="s">
        <v>915</v>
      </c>
      <c r="D163" t="s">
        <v>916</v>
      </c>
      <c r="E163" t="s">
        <v>917</v>
      </c>
      <c r="F163" t="s">
        <v>7</v>
      </c>
      <c r="G163" t="s">
        <v>7</v>
      </c>
      <c r="H163" t="s">
        <v>43</v>
      </c>
      <c r="I163" t="s">
        <v>51</v>
      </c>
      <c r="J163" t="s">
        <v>916</v>
      </c>
      <c r="K163" t="s">
        <v>918</v>
      </c>
      <c r="L163" t="s">
        <v>65</v>
      </c>
      <c r="M163" t="s">
        <v>36</v>
      </c>
      <c r="N163" t="s">
        <v>37</v>
      </c>
      <c r="O163" t="s">
        <v>66</v>
      </c>
      <c r="P163" t="s">
        <v>66</v>
      </c>
      <c r="Q163" t="s">
        <v>74</v>
      </c>
      <c r="R163" t="s">
        <v>919</v>
      </c>
      <c r="S163" t="s">
        <v>32</v>
      </c>
      <c r="T163" s="2">
        <v>117.013767</v>
      </c>
      <c r="U163" s="2">
        <v>39.102326</v>
      </c>
    </row>
    <row r="164" spans="1:21">
      <c r="A164" t="s">
        <v>920</v>
      </c>
      <c r="B164" t="s">
        <v>30</v>
      </c>
      <c r="C164" t="s">
        <v>921</v>
      </c>
      <c r="D164" t="s">
        <v>922</v>
      </c>
      <c r="E164" t="s">
        <v>923</v>
      </c>
      <c r="F164" t="s">
        <v>7</v>
      </c>
      <c r="G164" t="s">
        <v>7</v>
      </c>
      <c r="H164" t="s">
        <v>146</v>
      </c>
      <c r="I164" t="s">
        <v>51</v>
      </c>
      <c r="J164" t="s">
        <v>922</v>
      </c>
      <c r="K164" t="s">
        <v>85</v>
      </c>
      <c r="L164" t="s">
        <v>65</v>
      </c>
      <c r="M164" t="s">
        <v>36</v>
      </c>
      <c r="N164" t="s">
        <v>37</v>
      </c>
      <c r="O164" t="s">
        <v>66</v>
      </c>
      <c r="P164" t="s">
        <v>66</v>
      </c>
      <c r="Q164" t="s">
        <v>45</v>
      </c>
      <c r="R164" t="s">
        <v>924</v>
      </c>
      <c r="S164" t="s">
        <v>32</v>
      </c>
      <c r="T164" s="2">
        <v>117.094881</v>
      </c>
      <c r="U164" s="2">
        <v>39.080505</v>
      </c>
    </row>
    <row r="165" spans="1:21">
      <c r="A165" t="s">
        <v>925</v>
      </c>
      <c r="B165" t="s">
        <v>30</v>
      </c>
      <c r="C165" t="s">
        <v>926</v>
      </c>
      <c r="D165" t="s">
        <v>927</v>
      </c>
      <c r="E165" t="s">
        <v>928</v>
      </c>
      <c r="F165" t="s">
        <v>7</v>
      </c>
      <c r="G165" t="s">
        <v>7</v>
      </c>
      <c r="H165" t="s">
        <v>56</v>
      </c>
      <c r="I165" t="s">
        <v>245</v>
      </c>
      <c r="J165" t="s">
        <v>927</v>
      </c>
      <c r="K165" t="s">
        <v>929</v>
      </c>
      <c r="L165" t="s">
        <v>65</v>
      </c>
      <c r="M165" t="s">
        <v>36</v>
      </c>
      <c r="N165" t="s">
        <v>37</v>
      </c>
      <c r="O165" t="s">
        <v>66</v>
      </c>
      <c r="P165" t="s">
        <v>66</v>
      </c>
      <c r="Q165" t="s">
        <v>74</v>
      </c>
      <c r="R165" t="s">
        <v>930</v>
      </c>
      <c r="S165" t="s">
        <v>32</v>
      </c>
      <c r="T165" s="2">
        <v>117.254157</v>
      </c>
      <c r="U165" s="2">
        <v>39.223206</v>
      </c>
    </row>
    <row r="166" spans="1:21">
      <c r="A166" t="s">
        <v>931</v>
      </c>
      <c r="B166" t="s">
        <v>30</v>
      </c>
      <c r="C166" t="s">
        <v>932</v>
      </c>
      <c r="D166" t="s">
        <v>933</v>
      </c>
      <c r="E166" t="s">
        <v>934</v>
      </c>
      <c r="F166" t="s">
        <v>7</v>
      </c>
      <c r="G166" t="s">
        <v>7</v>
      </c>
      <c r="H166" t="s">
        <v>56</v>
      </c>
      <c r="I166" t="s">
        <v>637</v>
      </c>
      <c r="J166" t="s">
        <v>933</v>
      </c>
      <c r="K166" t="s">
        <v>935</v>
      </c>
      <c r="L166" t="s">
        <v>65</v>
      </c>
      <c r="M166" t="s">
        <v>36</v>
      </c>
      <c r="N166" t="s">
        <v>37</v>
      </c>
      <c r="O166" t="s">
        <v>66</v>
      </c>
      <c r="P166" t="s">
        <v>66</v>
      </c>
      <c r="Q166" t="s">
        <v>74</v>
      </c>
      <c r="R166" t="s">
        <v>936</v>
      </c>
      <c r="S166" t="s">
        <v>937</v>
      </c>
      <c r="T166" s="2">
        <v>117.081089</v>
      </c>
      <c r="U166" s="2">
        <v>39.19005</v>
      </c>
    </row>
    <row r="167" spans="1:21">
      <c r="A167" t="s">
        <v>938</v>
      </c>
      <c r="B167" t="s">
        <v>30</v>
      </c>
      <c r="C167" t="s">
        <v>939</v>
      </c>
      <c r="D167" t="s">
        <v>940</v>
      </c>
      <c r="E167" t="s">
        <v>941</v>
      </c>
      <c r="F167" t="s">
        <v>7</v>
      </c>
      <c r="G167" t="s">
        <v>7</v>
      </c>
      <c r="H167" t="s">
        <v>56</v>
      </c>
      <c r="I167" t="s">
        <v>51</v>
      </c>
      <c r="J167" t="s">
        <v>940</v>
      </c>
      <c r="K167" t="s">
        <v>942</v>
      </c>
      <c r="L167" t="s">
        <v>65</v>
      </c>
      <c r="M167" t="s">
        <v>36</v>
      </c>
      <c r="N167" t="s">
        <v>37</v>
      </c>
      <c r="O167" t="s">
        <v>66</v>
      </c>
      <c r="P167" t="s">
        <v>66</v>
      </c>
      <c r="Q167" t="s">
        <v>74</v>
      </c>
      <c r="R167" t="s">
        <v>943</v>
      </c>
      <c r="S167" t="s">
        <v>32</v>
      </c>
      <c r="T167" s="2">
        <v>117.059528</v>
      </c>
      <c r="U167" s="2">
        <v>39.236785</v>
      </c>
    </row>
    <row r="168" spans="1:21">
      <c r="A168" t="s">
        <v>944</v>
      </c>
      <c r="B168" t="s">
        <v>30</v>
      </c>
      <c r="C168" t="s">
        <v>945</v>
      </c>
      <c r="D168" t="s">
        <v>946</v>
      </c>
      <c r="E168" t="s">
        <v>947</v>
      </c>
      <c r="F168" t="s">
        <v>7</v>
      </c>
      <c r="G168" t="s">
        <v>7</v>
      </c>
      <c r="H168" t="s">
        <v>262</v>
      </c>
      <c r="I168" t="s">
        <v>948</v>
      </c>
      <c r="J168" t="s">
        <v>946</v>
      </c>
      <c r="K168" t="s">
        <v>949</v>
      </c>
      <c r="L168" t="s">
        <v>65</v>
      </c>
      <c r="M168" t="s">
        <v>36</v>
      </c>
      <c r="N168" t="s">
        <v>37</v>
      </c>
      <c r="O168" t="s">
        <v>66</v>
      </c>
      <c r="P168" t="s">
        <v>66</v>
      </c>
      <c r="Q168" t="s">
        <v>74</v>
      </c>
      <c r="R168" t="s">
        <v>950</v>
      </c>
      <c r="S168" t="s">
        <v>32</v>
      </c>
      <c r="T168" s="2">
        <v>117.241858</v>
      </c>
      <c r="U168" s="2">
        <v>39.17675</v>
      </c>
    </row>
    <row r="169" spans="1:21">
      <c r="A169" t="s">
        <v>951</v>
      </c>
      <c r="B169" t="s">
        <v>30</v>
      </c>
      <c r="C169" t="s">
        <v>634</v>
      </c>
      <c r="D169" t="s">
        <v>952</v>
      </c>
      <c r="E169" t="s">
        <v>953</v>
      </c>
      <c r="F169" t="s">
        <v>7</v>
      </c>
      <c r="G169" t="s">
        <v>7</v>
      </c>
      <c r="H169" t="s">
        <v>56</v>
      </c>
      <c r="I169" t="s">
        <v>51</v>
      </c>
      <c r="J169" t="s">
        <v>952</v>
      </c>
      <c r="K169" t="s">
        <v>954</v>
      </c>
      <c r="L169" t="s">
        <v>65</v>
      </c>
      <c r="M169" t="s">
        <v>36</v>
      </c>
      <c r="N169" t="s">
        <v>37</v>
      </c>
      <c r="O169" t="s">
        <v>66</v>
      </c>
      <c r="P169" t="s">
        <v>66</v>
      </c>
      <c r="Q169" t="s">
        <v>74</v>
      </c>
      <c r="R169" t="s">
        <v>955</v>
      </c>
      <c r="S169" t="s">
        <v>32</v>
      </c>
      <c r="T169" s="2">
        <v>117.04112</v>
      </c>
      <c r="U169" s="2">
        <v>39.214736</v>
      </c>
    </row>
    <row r="170" spans="1:21">
      <c r="A170" t="s">
        <v>956</v>
      </c>
      <c r="B170" t="s">
        <v>30</v>
      </c>
      <c r="C170" t="s">
        <v>957</v>
      </c>
      <c r="D170" t="s">
        <v>958</v>
      </c>
      <c r="E170" t="s">
        <v>959</v>
      </c>
      <c r="F170" t="s">
        <v>7</v>
      </c>
      <c r="G170" t="s">
        <v>7</v>
      </c>
      <c r="H170" t="s">
        <v>43</v>
      </c>
      <c r="I170" t="s">
        <v>637</v>
      </c>
      <c r="J170" t="s">
        <v>958</v>
      </c>
      <c r="K170" t="s">
        <v>960</v>
      </c>
      <c r="L170" t="s">
        <v>65</v>
      </c>
      <c r="M170" t="s">
        <v>36</v>
      </c>
      <c r="N170" t="s">
        <v>37</v>
      </c>
      <c r="O170" t="s">
        <v>66</v>
      </c>
      <c r="P170" t="s">
        <v>66</v>
      </c>
      <c r="Q170" t="s">
        <v>74</v>
      </c>
      <c r="R170" t="s">
        <v>961</v>
      </c>
      <c r="S170" t="s">
        <v>32</v>
      </c>
      <c r="T170" s="2">
        <v>117.240645</v>
      </c>
      <c r="U170" s="2">
        <v>39.002779</v>
      </c>
    </row>
    <row r="171" spans="1:21">
      <c r="A171" t="s">
        <v>962</v>
      </c>
      <c r="B171" t="s">
        <v>30</v>
      </c>
      <c r="C171" t="s">
        <v>963</v>
      </c>
      <c r="D171" t="s">
        <v>964</v>
      </c>
      <c r="E171" t="s">
        <v>965</v>
      </c>
      <c r="F171" t="s">
        <v>7</v>
      </c>
      <c r="G171" t="s">
        <v>7</v>
      </c>
      <c r="H171" t="s">
        <v>43</v>
      </c>
      <c r="I171" t="s">
        <v>154</v>
      </c>
      <c r="J171" t="s">
        <v>964</v>
      </c>
      <c r="K171" t="s">
        <v>64</v>
      </c>
      <c r="L171" t="s">
        <v>65</v>
      </c>
      <c r="M171" t="s">
        <v>36</v>
      </c>
      <c r="N171" t="s">
        <v>37</v>
      </c>
      <c r="O171" t="s">
        <v>66</v>
      </c>
      <c r="P171" t="s">
        <v>66</v>
      </c>
      <c r="Q171" t="s">
        <v>45</v>
      </c>
      <c r="R171" t="s">
        <v>966</v>
      </c>
      <c r="S171" t="s">
        <v>32</v>
      </c>
      <c r="T171" s="2">
        <v>117.070559</v>
      </c>
      <c r="U171" s="2">
        <v>39.147745</v>
      </c>
    </row>
    <row r="172" spans="1:21">
      <c r="A172" t="s">
        <v>967</v>
      </c>
      <c r="B172" t="s">
        <v>30</v>
      </c>
      <c r="C172" t="s">
        <v>968</v>
      </c>
      <c r="D172" t="s">
        <v>969</v>
      </c>
      <c r="E172" t="s">
        <v>970</v>
      </c>
      <c r="F172" t="s">
        <v>7</v>
      </c>
      <c r="G172" t="s">
        <v>7</v>
      </c>
      <c r="H172" t="s">
        <v>43</v>
      </c>
      <c r="I172" t="s">
        <v>699</v>
      </c>
      <c r="J172" t="s">
        <v>969</v>
      </c>
      <c r="K172" t="s">
        <v>971</v>
      </c>
      <c r="L172" t="s">
        <v>65</v>
      </c>
      <c r="M172" t="s">
        <v>36</v>
      </c>
      <c r="N172" t="s">
        <v>37</v>
      </c>
      <c r="O172" t="s">
        <v>66</v>
      </c>
      <c r="P172" t="s">
        <v>66</v>
      </c>
      <c r="Q172" t="s">
        <v>74</v>
      </c>
      <c r="R172" t="s">
        <v>972</v>
      </c>
      <c r="S172" t="s">
        <v>32</v>
      </c>
      <c r="T172" s="2">
        <v>117.238342</v>
      </c>
      <c r="U172" s="2">
        <v>38.997803</v>
      </c>
    </row>
    <row r="173" spans="1:21">
      <c r="A173" t="s">
        <v>973</v>
      </c>
      <c r="B173" t="s">
        <v>30</v>
      </c>
      <c r="C173" t="s">
        <v>974</v>
      </c>
      <c r="D173" t="s">
        <v>975</v>
      </c>
      <c r="E173" t="s">
        <v>976</v>
      </c>
      <c r="F173" t="s">
        <v>7</v>
      </c>
      <c r="G173" t="s">
        <v>7</v>
      </c>
      <c r="H173" t="s">
        <v>73</v>
      </c>
      <c r="I173" t="s">
        <v>593</v>
      </c>
      <c r="J173" t="s">
        <v>975</v>
      </c>
      <c r="K173" t="s">
        <v>977</v>
      </c>
      <c r="L173" t="s">
        <v>65</v>
      </c>
      <c r="M173" t="s">
        <v>36</v>
      </c>
      <c r="N173" t="s">
        <v>37</v>
      </c>
      <c r="O173" t="s">
        <v>66</v>
      </c>
      <c r="P173" t="s">
        <v>66</v>
      </c>
      <c r="Q173" t="s">
        <v>74</v>
      </c>
      <c r="R173" t="s">
        <v>978</v>
      </c>
      <c r="S173" t="s">
        <v>32</v>
      </c>
      <c r="T173" s="2">
        <v>117.353544</v>
      </c>
      <c r="U173" s="2">
        <v>39.076804</v>
      </c>
    </row>
    <row r="174" spans="1:21">
      <c r="A174" t="s">
        <v>979</v>
      </c>
      <c r="B174" t="s">
        <v>30</v>
      </c>
      <c r="C174" t="s">
        <v>980</v>
      </c>
      <c r="D174" t="s">
        <v>981</v>
      </c>
      <c r="E174" t="s">
        <v>982</v>
      </c>
      <c r="F174" t="s">
        <v>7</v>
      </c>
      <c r="G174" t="s">
        <v>7</v>
      </c>
      <c r="H174" t="s">
        <v>43</v>
      </c>
      <c r="I174" t="s">
        <v>51</v>
      </c>
      <c r="J174" t="s">
        <v>981</v>
      </c>
      <c r="K174" t="s">
        <v>85</v>
      </c>
      <c r="L174" t="s">
        <v>65</v>
      </c>
      <c r="M174" t="s">
        <v>36</v>
      </c>
      <c r="N174" t="s">
        <v>37</v>
      </c>
      <c r="O174" t="s">
        <v>66</v>
      </c>
      <c r="P174" t="s">
        <v>66</v>
      </c>
      <c r="Q174" t="s">
        <v>45</v>
      </c>
      <c r="R174" t="s">
        <v>983</v>
      </c>
      <c r="S174" t="s">
        <v>32</v>
      </c>
      <c r="T174" s="2">
        <v>117.089864</v>
      </c>
      <c r="U174" s="2">
        <v>39.130315</v>
      </c>
    </row>
    <row r="175" spans="1:21">
      <c r="A175" t="s">
        <v>984</v>
      </c>
      <c r="B175" t="s">
        <v>30</v>
      </c>
      <c r="C175" t="s">
        <v>985</v>
      </c>
      <c r="D175" t="s">
        <v>986</v>
      </c>
      <c r="E175" t="s">
        <v>987</v>
      </c>
      <c r="F175" t="s">
        <v>7</v>
      </c>
      <c r="G175" t="s">
        <v>7</v>
      </c>
      <c r="H175" t="s">
        <v>43</v>
      </c>
      <c r="I175" t="s">
        <v>51</v>
      </c>
      <c r="J175" t="s">
        <v>986</v>
      </c>
      <c r="K175" t="s">
        <v>607</v>
      </c>
      <c r="L175" t="s">
        <v>65</v>
      </c>
      <c r="M175" t="s">
        <v>36</v>
      </c>
      <c r="N175" t="s">
        <v>37</v>
      </c>
      <c r="O175" t="s">
        <v>66</v>
      </c>
      <c r="P175" t="s">
        <v>66</v>
      </c>
      <c r="Q175" t="s">
        <v>74</v>
      </c>
      <c r="R175" t="s">
        <v>988</v>
      </c>
      <c r="S175" t="s">
        <v>32</v>
      </c>
      <c r="T175" s="2">
        <v>117.353259</v>
      </c>
      <c r="U175" s="2">
        <v>39.077613</v>
      </c>
    </row>
    <row r="176" spans="1:21">
      <c r="A176" t="s">
        <v>989</v>
      </c>
      <c r="B176" t="s">
        <v>30</v>
      </c>
      <c r="C176" t="s">
        <v>990</v>
      </c>
      <c r="D176" t="s">
        <v>991</v>
      </c>
      <c r="E176" t="s">
        <v>992</v>
      </c>
      <c r="F176" t="s">
        <v>7</v>
      </c>
      <c r="G176" t="s">
        <v>7</v>
      </c>
      <c r="H176" t="s">
        <v>56</v>
      </c>
      <c r="I176" t="s">
        <v>593</v>
      </c>
      <c r="J176" t="s">
        <v>991</v>
      </c>
      <c r="K176" t="s">
        <v>657</v>
      </c>
      <c r="L176" t="s">
        <v>65</v>
      </c>
      <c r="M176" t="s">
        <v>36</v>
      </c>
      <c r="N176" t="s">
        <v>37</v>
      </c>
      <c r="O176" t="s">
        <v>66</v>
      </c>
      <c r="P176" t="s">
        <v>66</v>
      </c>
      <c r="Q176" t="s">
        <v>45</v>
      </c>
      <c r="R176" t="s">
        <v>993</v>
      </c>
      <c r="S176" t="s">
        <v>32</v>
      </c>
      <c r="T176" s="2">
        <v>117.137895</v>
      </c>
      <c r="U176" s="2">
        <v>39.25843</v>
      </c>
    </row>
    <row r="177" spans="1:21">
      <c r="A177" t="s">
        <v>994</v>
      </c>
      <c r="B177" t="s">
        <v>30</v>
      </c>
      <c r="C177" t="s">
        <v>995</v>
      </c>
      <c r="D177" t="s">
        <v>996</v>
      </c>
      <c r="E177" t="s">
        <v>997</v>
      </c>
      <c r="F177" t="s">
        <v>7</v>
      </c>
      <c r="G177" t="s">
        <v>7</v>
      </c>
      <c r="H177" t="s">
        <v>43</v>
      </c>
      <c r="I177" t="s">
        <v>51</v>
      </c>
      <c r="J177" t="s">
        <v>996</v>
      </c>
      <c r="K177" t="s">
        <v>998</v>
      </c>
      <c r="L177" t="s">
        <v>595</v>
      </c>
      <c r="M177" t="s">
        <v>36</v>
      </c>
      <c r="N177" t="s">
        <v>37</v>
      </c>
      <c r="O177" t="s">
        <v>66</v>
      </c>
      <c r="P177" t="s">
        <v>66</v>
      </c>
      <c r="Q177" t="s">
        <v>74</v>
      </c>
      <c r="R177" t="s">
        <v>999</v>
      </c>
      <c r="S177" t="s">
        <v>32</v>
      </c>
      <c r="T177" s="2">
        <v>117.240876</v>
      </c>
      <c r="U177" s="2">
        <v>39.009515</v>
      </c>
    </row>
    <row r="178" spans="1:21">
      <c r="A178" t="s">
        <v>1000</v>
      </c>
      <c r="B178" t="s">
        <v>30</v>
      </c>
      <c r="C178" t="s">
        <v>1001</v>
      </c>
      <c r="D178" t="s">
        <v>1002</v>
      </c>
      <c r="E178" t="s">
        <v>1003</v>
      </c>
      <c r="F178" t="s">
        <v>7</v>
      </c>
      <c r="G178" t="s">
        <v>7</v>
      </c>
      <c r="H178" t="s">
        <v>43</v>
      </c>
      <c r="I178" t="s">
        <v>51</v>
      </c>
      <c r="J178" t="s">
        <v>1002</v>
      </c>
      <c r="K178" t="s">
        <v>1004</v>
      </c>
      <c r="L178" t="s">
        <v>65</v>
      </c>
      <c r="M178" t="s">
        <v>36</v>
      </c>
      <c r="N178" t="s">
        <v>37</v>
      </c>
      <c r="O178" t="s">
        <v>66</v>
      </c>
      <c r="P178" t="s">
        <v>66</v>
      </c>
      <c r="Q178" t="s">
        <v>74</v>
      </c>
      <c r="R178" t="s">
        <v>1005</v>
      </c>
      <c r="S178" t="s">
        <v>1006</v>
      </c>
      <c r="T178" s="2">
        <v>117.006702</v>
      </c>
      <c r="U178" s="2">
        <v>39.101561</v>
      </c>
    </row>
    <row r="179" spans="1:21">
      <c r="A179" t="s">
        <v>1007</v>
      </c>
      <c r="B179" t="s">
        <v>30</v>
      </c>
      <c r="C179" t="s">
        <v>1008</v>
      </c>
      <c r="D179" t="s">
        <v>1009</v>
      </c>
      <c r="E179" t="s">
        <v>1010</v>
      </c>
      <c r="F179" t="s">
        <v>7</v>
      </c>
      <c r="G179" t="s">
        <v>7</v>
      </c>
      <c r="H179" t="s">
        <v>73</v>
      </c>
      <c r="I179" t="s">
        <v>51</v>
      </c>
      <c r="J179" t="s">
        <v>1009</v>
      </c>
      <c r="K179" t="s">
        <v>85</v>
      </c>
      <c r="L179" t="s">
        <v>65</v>
      </c>
      <c r="M179" t="s">
        <v>36</v>
      </c>
      <c r="N179" t="s">
        <v>37</v>
      </c>
      <c r="O179" t="s">
        <v>66</v>
      </c>
      <c r="P179" t="s">
        <v>66</v>
      </c>
      <c r="Q179" t="s">
        <v>74</v>
      </c>
      <c r="R179" t="s">
        <v>1011</v>
      </c>
      <c r="S179" t="s">
        <v>32</v>
      </c>
      <c r="T179" s="2">
        <v>117.360704</v>
      </c>
      <c r="U179" s="2">
        <v>39.074918</v>
      </c>
    </row>
    <row r="180" spans="1:21">
      <c r="A180" t="s">
        <v>1012</v>
      </c>
      <c r="B180" t="s">
        <v>30</v>
      </c>
      <c r="C180" t="s">
        <v>1013</v>
      </c>
      <c r="D180" t="s">
        <v>1014</v>
      </c>
      <c r="E180" t="s">
        <v>1015</v>
      </c>
      <c r="F180" t="s">
        <v>7</v>
      </c>
      <c r="G180" t="s">
        <v>7</v>
      </c>
      <c r="H180" t="s">
        <v>43</v>
      </c>
      <c r="I180" t="s">
        <v>51</v>
      </c>
      <c r="J180" t="s">
        <v>1014</v>
      </c>
      <c r="K180" t="s">
        <v>85</v>
      </c>
      <c r="L180" t="s">
        <v>65</v>
      </c>
      <c r="M180" t="s">
        <v>36</v>
      </c>
      <c r="N180" t="s">
        <v>37</v>
      </c>
      <c r="O180" t="s">
        <v>66</v>
      </c>
      <c r="P180" t="s">
        <v>66</v>
      </c>
      <c r="Q180" t="s">
        <v>45</v>
      </c>
      <c r="R180" t="s">
        <v>1016</v>
      </c>
      <c r="S180" t="s">
        <v>32</v>
      </c>
      <c r="T180" s="2">
        <v>117.099661</v>
      </c>
      <c r="U180" s="2">
        <v>39.012832</v>
      </c>
    </row>
    <row r="181" spans="1:21">
      <c r="A181" t="s">
        <v>1017</v>
      </c>
      <c r="B181" t="s">
        <v>30</v>
      </c>
      <c r="C181" t="s">
        <v>1018</v>
      </c>
      <c r="D181" t="s">
        <v>1019</v>
      </c>
      <c r="E181" t="s">
        <v>1020</v>
      </c>
      <c r="F181" t="s">
        <v>7</v>
      </c>
      <c r="G181" t="s">
        <v>7</v>
      </c>
      <c r="H181" t="s">
        <v>1021</v>
      </c>
      <c r="I181" t="s">
        <v>637</v>
      </c>
      <c r="J181" t="s">
        <v>1019</v>
      </c>
      <c r="K181" t="s">
        <v>1022</v>
      </c>
      <c r="L181" t="s">
        <v>65</v>
      </c>
      <c r="M181" t="s">
        <v>36</v>
      </c>
      <c r="N181" t="s">
        <v>37</v>
      </c>
      <c r="O181" t="s">
        <v>66</v>
      </c>
      <c r="P181" t="s">
        <v>66</v>
      </c>
      <c r="Q181" t="s">
        <v>45</v>
      </c>
      <c r="R181" t="s">
        <v>1023</v>
      </c>
      <c r="S181" t="s">
        <v>32</v>
      </c>
      <c r="T181" s="2">
        <v>117.144676</v>
      </c>
      <c r="U181" s="2">
        <v>39.129512</v>
      </c>
    </row>
    <row r="182" spans="1:21">
      <c r="A182" t="s">
        <v>1024</v>
      </c>
      <c r="B182" t="s">
        <v>30</v>
      </c>
      <c r="C182" t="s">
        <v>1025</v>
      </c>
      <c r="D182" t="s">
        <v>1026</v>
      </c>
      <c r="E182" t="s">
        <v>1027</v>
      </c>
      <c r="F182" t="s">
        <v>7</v>
      </c>
      <c r="G182" t="s">
        <v>7</v>
      </c>
      <c r="H182" t="s">
        <v>43</v>
      </c>
      <c r="I182" t="s">
        <v>51</v>
      </c>
      <c r="J182" t="s">
        <v>1026</v>
      </c>
      <c r="K182" t="s">
        <v>1028</v>
      </c>
      <c r="L182" t="s">
        <v>65</v>
      </c>
      <c r="M182" t="s">
        <v>36</v>
      </c>
      <c r="N182" t="s">
        <v>37</v>
      </c>
      <c r="O182" t="s">
        <v>66</v>
      </c>
      <c r="P182" t="s">
        <v>66</v>
      </c>
      <c r="Q182" t="s">
        <v>74</v>
      </c>
      <c r="R182" t="s">
        <v>1029</v>
      </c>
      <c r="S182" t="s">
        <v>32</v>
      </c>
      <c r="T182" s="2">
        <v>117.011929</v>
      </c>
      <c r="U182" s="2">
        <v>39.103325</v>
      </c>
    </row>
    <row r="183" spans="1:21">
      <c r="A183" t="s">
        <v>1030</v>
      </c>
      <c r="B183" t="s">
        <v>30</v>
      </c>
      <c r="C183" t="s">
        <v>1031</v>
      </c>
      <c r="D183" t="s">
        <v>1032</v>
      </c>
      <c r="E183" t="s">
        <v>1033</v>
      </c>
      <c r="F183" t="s">
        <v>7</v>
      </c>
      <c r="G183" t="s">
        <v>7</v>
      </c>
      <c r="H183" t="s">
        <v>56</v>
      </c>
      <c r="I183" t="s">
        <v>51</v>
      </c>
      <c r="J183" t="s">
        <v>1032</v>
      </c>
      <c r="K183" t="s">
        <v>1034</v>
      </c>
      <c r="L183" t="s">
        <v>65</v>
      </c>
      <c r="M183" t="s">
        <v>36</v>
      </c>
      <c r="N183" t="s">
        <v>37</v>
      </c>
      <c r="O183" t="s">
        <v>66</v>
      </c>
      <c r="P183" t="s">
        <v>66</v>
      </c>
      <c r="Q183" t="s">
        <v>74</v>
      </c>
      <c r="R183" t="s">
        <v>1035</v>
      </c>
      <c r="S183" t="s">
        <v>32</v>
      </c>
      <c r="T183" s="2">
        <v>117.21519</v>
      </c>
      <c r="U183" s="2">
        <v>39.234623</v>
      </c>
    </row>
    <row r="184" spans="1:21">
      <c r="A184" t="s">
        <v>1036</v>
      </c>
      <c r="B184" t="s">
        <v>30</v>
      </c>
      <c r="C184" t="s">
        <v>1037</v>
      </c>
      <c r="D184" t="s">
        <v>1038</v>
      </c>
      <c r="E184" t="s">
        <v>1039</v>
      </c>
      <c r="F184" t="s">
        <v>7</v>
      </c>
      <c r="G184" t="s">
        <v>7</v>
      </c>
      <c r="H184" t="s">
        <v>43</v>
      </c>
      <c r="I184" t="s">
        <v>274</v>
      </c>
      <c r="J184" t="s">
        <v>1038</v>
      </c>
      <c r="K184" t="s">
        <v>1040</v>
      </c>
      <c r="L184" t="s">
        <v>65</v>
      </c>
      <c r="M184" t="s">
        <v>36</v>
      </c>
      <c r="N184" t="s">
        <v>37</v>
      </c>
      <c r="O184" t="s">
        <v>66</v>
      </c>
      <c r="P184" t="s">
        <v>66</v>
      </c>
      <c r="Q184" t="s">
        <v>45</v>
      </c>
      <c r="R184" t="s">
        <v>1041</v>
      </c>
      <c r="S184" t="s">
        <v>32</v>
      </c>
      <c r="T184" s="2">
        <v>117.18732</v>
      </c>
      <c r="U184" s="2">
        <v>39.014389</v>
      </c>
    </row>
    <row r="185" spans="1:21">
      <c r="A185" t="s">
        <v>1042</v>
      </c>
      <c r="B185" t="s">
        <v>30</v>
      </c>
      <c r="C185" t="s">
        <v>1043</v>
      </c>
      <c r="D185" t="s">
        <v>1044</v>
      </c>
      <c r="E185" t="s">
        <v>1045</v>
      </c>
      <c r="F185" t="s">
        <v>7</v>
      </c>
      <c r="G185" t="s">
        <v>7</v>
      </c>
      <c r="H185" t="s">
        <v>43</v>
      </c>
      <c r="I185" t="s">
        <v>51</v>
      </c>
      <c r="J185" t="s">
        <v>1044</v>
      </c>
      <c r="K185" t="s">
        <v>1046</v>
      </c>
      <c r="L185" t="s">
        <v>65</v>
      </c>
      <c r="M185" t="s">
        <v>36</v>
      </c>
      <c r="N185" t="s">
        <v>37</v>
      </c>
      <c r="O185" t="s">
        <v>66</v>
      </c>
      <c r="P185" t="s">
        <v>66</v>
      </c>
      <c r="Q185" t="s">
        <v>74</v>
      </c>
      <c r="R185" t="s">
        <v>1047</v>
      </c>
      <c r="S185" t="s">
        <v>32</v>
      </c>
      <c r="T185" s="2">
        <v>117.09108</v>
      </c>
      <c r="U185" s="2">
        <v>39.142704</v>
      </c>
    </row>
    <row r="186" spans="1:21">
      <c r="A186" t="s">
        <v>1048</v>
      </c>
      <c r="B186" t="s">
        <v>30</v>
      </c>
      <c r="C186" t="s">
        <v>1049</v>
      </c>
      <c r="D186" t="s">
        <v>1050</v>
      </c>
      <c r="E186" t="s">
        <v>1051</v>
      </c>
      <c r="F186" t="s">
        <v>7</v>
      </c>
      <c r="G186" t="s">
        <v>7</v>
      </c>
      <c r="H186" t="s">
        <v>43</v>
      </c>
      <c r="I186" t="s">
        <v>51</v>
      </c>
      <c r="J186" t="s">
        <v>1050</v>
      </c>
      <c r="K186" t="s">
        <v>1052</v>
      </c>
      <c r="L186" t="s">
        <v>65</v>
      </c>
      <c r="M186" t="s">
        <v>36</v>
      </c>
      <c r="N186" t="s">
        <v>37</v>
      </c>
      <c r="O186" t="s">
        <v>66</v>
      </c>
      <c r="P186" t="s">
        <v>66</v>
      </c>
      <c r="Q186" t="s">
        <v>74</v>
      </c>
      <c r="R186" t="s">
        <v>1053</v>
      </c>
      <c r="S186" t="s">
        <v>32</v>
      </c>
      <c r="T186" s="2">
        <v>117.067515</v>
      </c>
      <c r="U186" s="2">
        <v>39.142431</v>
      </c>
    </row>
    <row r="187" spans="1:21">
      <c r="A187" t="s">
        <v>1054</v>
      </c>
      <c r="B187" t="s">
        <v>30</v>
      </c>
      <c r="C187" t="s">
        <v>1055</v>
      </c>
      <c r="D187" t="s">
        <v>1056</v>
      </c>
      <c r="E187" t="s">
        <v>1057</v>
      </c>
      <c r="F187" t="s">
        <v>7</v>
      </c>
      <c r="G187" t="s">
        <v>7</v>
      </c>
      <c r="H187" t="s">
        <v>56</v>
      </c>
      <c r="I187" t="s">
        <v>593</v>
      </c>
      <c r="J187" t="s">
        <v>1056</v>
      </c>
      <c r="K187" t="s">
        <v>1058</v>
      </c>
      <c r="L187" t="s">
        <v>65</v>
      </c>
      <c r="M187" t="s">
        <v>36</v>
      </c>
      <c r="N187" t="s">
        <v>37</v>
      </c>
      <c r="O187" t="s">
        <v>66</v>
      </c>
      <c r="P187" t="s">
        <v>66</v>
      </c>
      <c r="Q187" t="s">
        <v>74</v>
      </c>
      <c r="R187" t="s">
        <v>1059</v>
      </c>
      <c r="S187" t="s">
        <v>32</v>
      </c>
      <c r="T187" s="2">
        <v>117.105651</v>
      </c>
      <c r="U187" s="2">
        <v>39.26169</v>
      </c>
    </row>
    <row r="188" spans="1:21">
      <c r="A188" t="s">
        <v>1060</v>
      </c>
      <c r="B188" t="s">
        <v>30</v>
      </c>
      <c r="C188" t="s">
        <v>1061</v>
      </c>
      <c r="D188" t="s">
        <v>1062</v>
      </c>
      <c r="E188" t="s">
        <v>1063</v>
      </c>
      <c r="F188" t="s">
        <v>7</v>
      </c>
      <c r="G188" t="s">
        <v>7</v>
      </c>
      <c r="H188" t="s">
        <v>43</v>
      </c>
      <c r="I188" t="s">
        <v>154</v>
      </c>
      <c r="J188" t="s">
        <v>1062</v>
      </c>
      <c r="K188" t="s">
        <v>64</v>
      </c>
      <c r="L188" t="s">
        <v>65</v>
      </c>
      <c r="M188" t="s">
        <v>36</v>
      </c>
      <c r="N188" t="s">
        <v>37</v>
      </c>
      <c r="O188" t="s">
        <v>66</v>
      </c>
      <c r="P188" t="s">
        <v>66</v>
      </c>
      <c r="Q188" t="s">
        <v>45</v>
      </c>
      <c r="R188" t="s">
        <v>1064</v>
      </c>
      <c r="S188" t="s">
        <v>32</v>
      </c>
      <c r="T188" s="2">
        <v>117.090544</v>
      </c>
      <c r="U188" s="2">
        <v>39.06843</v>
      </c>
    </row>
    <row r="189" spans="1:21">
      <c r="A189" t="s">
        <v>1065</v>
      </c>
      <c r="B189" t="s">
        <v>30</v>
      </c>
      <c r="C189" t="s">
        <v>1066</v>
      </c>
      <c r="D189" t="s">
        <v>1067</v>
      </c>
      <c r="E189" t="s">
        <v>1068</v>
      </c>
      <c r="F189" t="s">
        <v>7</v>
      </c>
      <c r="G189" t="s">
        <v>7</v>
      </c>
      <c r="H189" t="s">
        <v>43</v>
      </c>
      <c r="I189" t="s">
        <v>51</v>
      </c>
      <c r="J189" t="s">
        <v>1067</v>
      </c>
      <c r="K189" t="s">
        <v>1069</v>
      </c>
      <c r="L189" t="s">
        <v>65</v>
      </c>
      <c r="M189" t="s">
        <v>36</v>
      </c>
      <c r="N189" t="s">
        <v>37</v>
      </c>
      <c r="O189" t="s">
        <v>66</v>
      </c>
      <c r="P189" t="s">
        <v>66</v>
      </c>
      <c r="Q189" t="s">
        <v>74</v>
      </c>
      <c r="R189" t="s">
        <v>1070</v>
      </c>
      <c r="S189" t="s">
        <v>32</v>
      </c>
      <c r="T189" s="2">
        <v>117.038084</v>
      </c>
      <c r="U189" s="2">
        <v>39.077158</v>
      </c>
    </row>
    <row r="190" spans="1:21">
      <c r="A190" t="s">
        <v>1071</v>
      </c>
      <c r="B190" t="s">
        <v>30</v>
      </c>
      <c r="C190" t="s">
        <v>1072</v>
      </c>
      <c r="D190" t="s">
        <v>1073</v>
      </c>
      <c r="E190" t="s">
        <v>1074</v>
      </c>
      <c r="F190" t="s">
        <v>7</v>
      </c>
      <c r="G190" t="s">
        <v>7</v>
      </c>
      <c r="H190" t="s">
        <v>73</v>
      </c>
      <c r="I190" t="s">
        <v>51</v>
      </c>
      <c r="J190" t="s">
        <v>1073</v>
      </c>
      <c r="K190" t="s">
        <v>85</v>
      </c>
      <c r="L190" t="s">
        <v>65</v>
      </c>
      <c r="M190" t="s">
        <v>36</v>
      </c>
      <c r="N190" t="s">
        <v>37</v>
      </c>
      <c r="O190" t="s">
        <v>66</v>
      </c>
      <c r="P190" t="s">
        <v>66</v>
      </c>
      <c r="Q190" t="s">
        <v>45</v>
      </c>
      <c r="R190" t="s">
        <v>1075</v>
      </c>
      <c r="S190" t="s">
        <v>32</v>
      </c>
      <c r="T190" s="2">
        <v>117.364403</v>
      </c>
      <c r="U190" s="2">
        <v>39.169348</v>
      </c>
    </row>
    <row r="191" spans="1:21">
      <c r="A191" t="s">
        <v>1076</v>
      </c>
      <c r="B191" t="s">
        <v>30</v>
      </c>
      <c r="C191" t="s">
        <v>1077</v>
      </c>
      <c r="D191" t="s">
        <v>1078</v>
      </c>
      <c r="E191" t="s">
        <v>1079</v>
      </c>
      <c r="F191" t="s">
        <v>7</v>
      </c>
      <c r="G191" t="s">
        <v>7</v>
      </c>
      <c r="H191" t="s">
        <v>43</v>
      </c>
      <c r="I191" t="s">
        <v>51</v>
      </c>
      <c r="J191" t="s">
        <v>1078</v>
      </c>
      <c r="K191" t="s">
        <v>607</v>
      </c>
      <c r="L191" t="s">
        <v>65</v>
      </c>
      <c r="M191" t="s">
        <v>36</v>
      </c>
      <c r="N191" t="s">
        <v>37</v>
      </c>
      <c r="O191" t="s">
        <v>66</v>
      </c>
      <c r="P191" t="s">
        <v>66</v>
      </c>
      <c r="Q191" t="s">
        <v>45</v>
      </c>
      <c r="R191" t="s">
        <v>1080</v>
      </c>
      <c r="S191" t="s">
        <v>32</v>
      </c>
      <c r="T191" s="2">
        <v>117.245831</v>
      </c>
      <c r="U191" s="2">
        <v>39.028763</v>
      </c>
    </row>
    <row r="192" spans="1:21">
      <c r="A192" t="s">
        <v>1081</v>
      </c>
      <c r="B192" t="s">
        <v>30</v>
      </c>
      <c r="C192" t="s">
        <v>1082</v>
      </c>
      <c r="D192" t="s">
        <v>1083</v>
      </c>
      <c r="E192" t="s">
        <v>1084</v>
      </c>
      <c r="F192" t="s">
        <v>7</v>
      </c>
      <c r="G192" t="s">
        <v>7</v>
      </c>
      <c r="H192" t="s">
        <v>50</v>
      </c>
      <c r="I192" t="s">
        <v>51</v>
      </c>
      <c r="J192" t="s">
        <v>1083</v>
      </c>
      <c r="K192" t="s">
        <v>929</v>
      </c>
      <c r="L192" t="s">
        <v>65</v>
      </c>
      <c r="M192" t="s">
        <v>36</v>
      </c>
      <c r="N192" t="s">
        <v>37</v>
      </c>
      <c r="O192" t="s">
        <v>66</v>
      </c>
      <c r="P192" t="s">
        <v>66</v>
      </c>
      <c r="Q192" t="s">
        <v>74</v>
      </c>
      <c r="R192" t="s">
        <v>1085</v>
      </c>
      <c r="S192" t="s">
        <v>32</v>
      </c>
      <c r="T192" s="2">
        <v>117.227838</v>
      </c>
      <c r="U192" s="2">
        <v>39.058048</v>
      </c>
    </row>
    <row r="193" spans="1:21">
      <c r="A193" t="s">
        <v>1086</v>
      </c>
      <c r="B193" t="s">
        <v>30</v>
      </c>
      <c r="C193" t="s">
        <v>1087</v>
      </c>
      <c r="D193" t="s">
        <v>1088</v>
      </c>
      <c r="E193" t="s">
        <v>1089</v>
      </c>
      <c r="F193" t="s">
        <v>7</v>
      </c>
      <c r="G193" t="s">
        <v>7</v>
      </c>
      <c r="H193" t="s">
        <v>43</v>
      </c>
      <c r="I193" t="s">
        <v>154</v>
      </c>
      <c r="J193" t="s">
        <v>1088</v>
      </c>
      <c r="K193" t="s">
        <v>1090</v>
      </c>
      <c r="L193" t="s">
        <v>65</v>
      </c>
      <c r="M193" t="s">
        <v>36</v>
      </c>
      <c r="N193" t="s">
        <v>37</v>
      </c>
      <c r="O193" t="s">
        <v>66</v>
      </c>
      <c r="P193" t="s">
        <v>66</v>
      </c>
      <c r="Q193" t="s">
        <v>45</v>
      </c>
      <c r="R193" t="s">
        <v>1091</v>
      </c>
      <c r="S193" t="s">
        <v>32</v>
      </c>
      <c r="T193" s="2">
        <v>117.250502</v>
      </c>
      <c r="U193" s="2">
        <v>38.983113</v>
      </c>
    </row>
    <row r="194" spans="1:21">
      <c r="A194" t="s">
        <v>1092</v>
      </c>
      <c r="B194" t="s">
        <v>30</v>
      </c>
      <c r="C194" t="s">
        <v>1093</v>
      </c>
      <c r="D194" t="s">
        <v>1094</v>
      </c>
      <c r="E194" t="s">
        <v>1095</v>
      </c>
      <c r="F194" t="s">
        <v>7</v>
      </c>
      <c r="G194" t="s">
        <v>7</v>
      </c>
      <c r="H194" t="s">
        <v>43</v>
      </c>
      <c r="I194" t="s">
        <v>154</v>
      </c>
      <c r="J194" t="s">
        <v>1094</v>
      </c>
      <c r="K194" t="s">
        <v>64</v>
      </c>
      <c r="L194" t="s">
        <v>65</v>
      </c>
      <c r="M194" t="s">
        <v>36</v>
      </c>
      <c r="N194" t="s">
        <v>37</v>
      </c>
      <c r="O194" t="s">
        <v>66</v>
      </c>
      <c r="P194" t="s">
        <v>66</v>
      </c>
      <c r="Q194" t="s">
        <v>45</v>
      </c>
      <c r="R194" t="s">
        <v>1096</v>
      </c>
      <c r="S194" t="s">
        <v>32</v>
      </c>
      <c r="T194" s="2">
        <v>117.017503</v>
      </c>
      <c r="U194" s="2">
        <v>39.110964</v>
      </c>
    </row>
    <row r="195" spans="1:21">
      <c r="A195" t="s">
        <v>1097</v>
      </c>
      <c r="B195" t="s">
        <v>30</v>
      </c>
      <c r="C195" t="s">
        <v>1098</v>
      </c>
      <c r="D195" t="s">
        <v>1099</v>
      </c>
      <c r="E195" t="s">
        <v>1100</v>
      </c>
      <c r="F195" t="s">
        <v>7</v>
      </c>
      <c r="G195" t="s">
        <v>7</v>
      </c>
      <c r="H195" t="s">
        <v>56</v>
      </c>
      <c r="I195" t="s">
        <v>51</v>
      </c>
      <c r="J195" t="s">
        <v>1099</v>
      </c>
      <c r="K195" t="s">
        <v>1101</v>
      </c>
      <c r="L195" t="s">
        <v>65</v>
      </c>
      <c r="M195" t="s">
        <v>36</v>
      </c>
      <c r="N195" t="s">
        <v>37</v>
      </c>
      <c r="O195" t="s">
        <v>66</v>
      </c>
      <c r="P195" t="s">
        <v>66</v>
      </c>
      <c r="Q195" t="s">
        <v>74</v>
      </c>
      <c r="R195" t="s">
        <v>1102</v>
      </c>
      <c r="S195" t="s">
        <v>32</v>
      </c>
      <c r="T195" s="2">
        <v>117.273731</v>
      </c>
      <c r="U195" s="2">
        <v>39.22683</v>
      </c>
    </row>
    <row r="196" spans="1:21">
      <c r="A196" t="s">
        <v>1103</v>
      </c>
      <c r="B196" t="s">
        <v>30</v>
      </c>
      <c r="C196" t="s">
        <v>1104</v>
      </c>
      <c r="D196" t="s">
        <v>1105</v>
      </c>
      <c r="E196" t="s">
        <v>1106</v>
      </c>
      <c r="F196" t="s">
        <v>7</v>
      </c>
      <c r="G196" t="s">
        <v>7</v>
      </c>
      <c r="H196" t="s">
        <v>56</v>
      </c>
      <c r="I196" t="s">
        <v>637</v>
      </c>
      <c r="J196" t="s">
        <v>1105</v>
      </c>
      <c r="K196" t="s">
        <v>1028</v>
      </c>
      <c r="L196" t="s">
        <v>65</v>
      </c>
      <c r="M196" t="s">
        <v>36</v>
      </c>
      <c r="N196" t="s">
        <v>37</v>
      </c>
      <c r="O196" t="s">
        <v>66</v>
      </c>
      <c r="P196" t="s">
        <v>66</v>
      </c>
      <c r="Q196" t="s">
        <v>74</v>
      </c>
      <c r="R196" t="s">
        <v>1107</v>
      </c>
      <c r="S196" t="s">
        <v>32</v>
      </c>
      <c r="T196" s="2">
        <v>117.244461</v>
      </c>
      <c r="U196" s="2">
        <v>39.219837</v>
      </c>
    </row>
    <row r="197" spans="1:21">
      <c r="A197" t="s">
        <v>1108</v>
      </c>
      <c r="B197" t="s">
        <v>30</v>
      </c>
      <c r="C197" t="s">
        <v>1109</v>
      </c>
      <c r="D197" t="s">
        <v>1110</v>
      </c>
      <c r="E197" t="s">
        <v>1111</v>
      </c>
      <c r="F197" t="s">
        <v>7</v>
      </c>
      <c r="G197" t="s">
        <v>7</v>
      </c>
      <c r="H197" t="s">
        <v>43</v>
      </c>
      <c r="I197" t="s">
        <v>51</v>
      </c>
      <c r="J197" t="s">
        <v>1110</v>
      </c>
      <c r="K197" t="s">
        <v>764</v>
      </c>
      <c r="L197" t="s">
        <v>65</v>
      </c>
      <c r="M197" t="s">
        <v>36</v>
      </c>
      <c r="N197" t="s">
        <v>37</v>
      </c>
      <c r="O197" t="s">
        <v>66</v>
      </c>
      <c r="P197" t="s">
        <v>66</v>
      </c>
      <c r="Q197" t="s">
        <v>74</v>
      </c>
      <c r="R197" t="s">
        <v>1112</v>
      </c>
      <c r="S197" t="s">
        <v>32</v>
      </c>
      <c r="T197" s="2">
        <v>117.228534</v>
      </c>
      <c r="U197" s="2">
        <v>39.009669</v>
      </c>
    </row>
    <row r="198" spans="1:21">
      <c r="A198" t="s">
        <v>1113</v>
      </c>
      <c r="B198" t="s">
        <v>30</v>
      </c>
      <c r="C198" t="s">
        <v>1114</v>
      </c>
      <c r="D198" t="s">
        <v>1115</v>
      </c>
      <c r="E198" t="s">
        <v>1116</v>
      </c>
      <c r="F198" t="s">
        <v>7</v>
      </c>
      <c r="G198" t="s">
        <v>7</v>
      </c>
      <c r="H198" t="s">
        <v>43</v>
      </c>
      <c r="I198" t="s">
        <v>51</v>
      </c>
      <c r="J198" t="s">
        <v>1115</v>
      </c>
      <c r="K198" t="s">
        <v>1117</v>
      </c>
      <c r="L198" t="s">
        <v>65</v>
      </c>
      <c r="M198" t="s">
        <v>36</v>
      </c>
      <c r="N198" t="s">
        <v>37</v>
      </c>
      <c r="O198" t="s">
        <v>66</v>
      </c>
      <c r="P198" t="s">
        <v>66</v>
      </c>
      <c r="Q198" t="s">
        <v>74</v>
      </c>
      <c r="R198" t="s">
        <v>1118</v>
      </c>
      <c r="S198" t="s">
        <v>32</v>
      </c>
      <c r="T198" s="2">
        <v>117.009211</v>
      </c>
      <c r="U198" s="2">
        <v>39.106818</v>
      </c>
    </row>
    <row r="199" spans="1:21">
      <c r="A199" t="s">
        <v>1119</v>
      </c>
      <c r="B199" t="s">
        <v>30</v>
      </c>
      <c r="C199" t="s">
        <v>1120</v>
      </c>
      <c r="D199" t="s">
        <v>1121</v>
      </c>
      <c r="E199" t="s">
        <v>1122</v>
      </c>
      <c r="F199" t="s">
        <v>7</v>
      </c>
      <c r="G199" t="s">
        <v>7</v>
      </c>
      <c r="H199" t="s">
        <v>262</v>
      </c>
      <c r="I199" t="s">
        <v>51</v>
      </c>
      <c r="J199" t="s">
        <v>1121</v>
      </c>
      <c r="K199" t="s">
        <v>1123</v>
      </c>
      <c r="L199" t="s">
        <v>595</v>
      </c>
      <c r="M199" t="s">
        <v>36</v>
      </c>
      <c r="N199" t="s">
        <v>37</v>
      </c>
      <c r="O199" t="s">
        <v>66</v>
      </c>
      <c r="P199" t="s">
        <v>66</v>
      </c>
      <c r="Q199" t="s">
        <v>74</v>
      </c>
      <c r="R199" t="s">
        <v>1124</v>
      </c>
      <c r="S199" t="s">
        <v>32</v>
      </c>
      <c r="T199" s="2">
        <v>117.182923</v>
      </c>
      <c r="U199" s="2">
        <v>39.179091</v>
      </c>
    </row>
    <row r="200" spans="1:21">
      <c r="A200" t="s">
        <v>1125</v>
      </c>
      <c r="B200" t="s">
        <v>30</v>
      </c>
      <c r="C200" t="s">
        <v>1126</v>
      </c>
      <c r="D200" t="s">
        <v>1127</v>
      </c>
      <c r="E200" t="s">
        <v>1128</v>
      </c>
      <c r="F200" t="s">
        <v>7</v>
      </c>
      <c r="G200" t="s">
        <v>7</v>
      </c>
      <c r="H200" t="s">
        <v>43</v>
      </c>
      <c r="I200" t="s">
        <v>51</v>
      </c>
      <c r="J200" t="s">
        <v>1127</v>
      </c>
      <c r="K200" t="s">
        <v>1022</v>
      </c>
      <c r="L200" t="s">
        <v>65</v>
      </c>
      <c r="M200" t="s">
        <v>36</v>
      </c>
      <c r="N200" t="s">
        <v>37</v>
      </c>
      <c r="O200" t="s">
        <v>66</v>
      </c>
      <c r="P200" t="s">
        <v>66</v>
      </c>
      <c r="Q200" t="s">
        <v>74</v>
      </c>
      <c r="R200" t="s">
        <v>1129</v>
      </c>
      <c r="S200" t="s">
        <v>32</v>
      </c>
      <c r="T200" s="2">
        <v>117.040384</v>
      </c>
      <c r="U200" s="2">
        <v>39.088169</v>
      </c>
    </row>
    <row r="201" spans="1:21">
      <c r="A201" t="s">
        <v>1130</v>
      </c>
      <c r="B201" t="s">
        <v>30</v>
      </c>
      <c r="C201" t="s">
        <v>1131</v>
      </c>
      <c r="D201" t="s">
        <v>1132</v>
      </c>
      <c r="E201" t="s">
        <v>1133</v>
      </c>
      <c r="F201" t="s">
        <v>7</v>
      </c>
      <c r="G201" t="s">
        <v>7</v>
      </c>
      <c r="H201" t="s">
        <v>43</v>
      </c>
      <c r="I201" t="s">
        <v>51</v>
      </c>
      <c r="J201" t="s">
        <v>1132</v>
      </c>
      <c r="K201" t="s">
        <v>85</v>
      </c>
      <c r="L201" t="s">
        <v>65</v>
      </c>
      <c r="M201" t="s">
        <v>36</v>
      </c>
      <c r="N201" t="s">
        <v>37</v>
      </c>
      <c r="O201" t="s">
        <v>66</v>
      </c>
      <c r="P201" t="s">
        <v>66</v>
      </c>
      <c r="Q201" t="s">
        <v>74</v>
      </c>
      <c r="R201" t="s">
        <v>1134</v>
      </c>
      <c r="S201" t="s">
        <v>32</v>
      </c>
      <c r="T201" s="2">
        <v>117.065426</v>
      </c>
      <c r="U201" s="2">
        <v>39.140267</v>
      </c>
    </row>
    <row r="202" spans="1:21">
      <c r="A202" t="s">
        <v>1135</v>
      </c>
      <c r="B202" t="s">
        <v>30</v>
      </c>
      <c r="C202" t="s">
        <v>1136</v>
      </c>
      <c r="D202" t="s">
        <v>1137</v>
      </c>
      <c r="E202" t="s">
        <v>1138</v>
      </c>
      <c r="F202" t="s">
        <v>7</v>
      </c>
      <c r="G202" t="s">
        <v>7</v>
      </c>
      <c r="H202" t="s">
        <v>56</v>
      </c>
      <c r="I202" t="s">
        <v>51</v>
      </c>
      <c r="J202" t="s">
        <v>1137</v>
      </c>
      <c r="K202" t="s">
        <v>85</v>
      </c>
      <c r="L202" t="s">
        <v>65</v>
      </c>
      <c r="M202" t="s">
        <v>36</v>
      </c>
      <c r="N202" t="s">
        <v>37</v>
      </c>
      <c r="O202" t="s">
        <v>66</v>
      </c>
      <c r="P202" t="s">
        <v>66</v>
      </c>
      <c r="Q202" t="s">
        <v>74</v>
      </c>
      <c r="R202" t="s">
        <v>1139</v>
      </c>
      <c r="S202" t="s">
        <v>32</v>
      </c>
      <c r="T202" s="2">
        <v>117.176546</v>
      </c>
      <c r="U202" s="2">
        <v>39.298078</v>
      </c>
    </row>
    <row r="203" spans="1:21">
      <c r="A203" t="s">
        <v>1140</v>
      </c>
      <c r="B203" t="s">
        <v>30</v>
      </c>
      <c r="C203" t="s">
        <v>1141</v>
      </c>
      <c r="D203" t="s">
        <v>1142</v>
      </c>
      <c r="E203" t="s">
        <v>1143</v>
      </c>
      <c r="F203" t="s">
        <v>7</v>
      </c>
      <c r="G203" t="s">
        <v>7</v>
      </c>
      <c r="H203" t="s">
        <v>43</v>
      </c>
      <c r="I203" t="s">
        <v>692</v>
      </c>
      <c r="J203" t="s">
        <v>1142</v>
      </c>
      <c r="K203" t="s">
        <v>764</v>
      </c>
      <c r="L203" t="s">
        <v>65</v>
      </c>
      <c r="M203" t="s">
        <v>36</v>
      </c>
      <c r="N203" t="s">
        <v>37</v>
      </c>
      <c r="O203" t="s">
        <v>66</v>
      </c>
      <c r="P203" t="s">
        <v>66</v>
      </c>
      <c r="Q203" t="s">
        <v>74</v>
      </c>
      <c r="R203" t="s">
        <v>1144</v>
      </c>
      <c r="S203" t="s">
        <v>32</v>
      </c>
      <c r="T203" s="2">
        <v>117.06906</v>
      </c>
      <c r="U203" s="2">
        <v>39.109061</v>
      </c>
    </row>
    <row r="204" spans="1:21">
      <c r="A204" t="s">
        <v>1145</v>
      </c>
      <c r="B204" t="s">
        <v>30</v>
      </c>
      <c r="C204" t="s">
        <v>1146</v>
      </c>
      <c r="D204" t="s">
        <v>1147</v>
      </c>
      <c r="E204" t="s">
        <v>1148</v>
      </c>
      <c r="F204" t="s">
        <v>7</v>
      </c>
      <c r="G204" t="s">
        <v>7</v>
      </c>
      <c r="H204" t="s">
        <v>56</v>
      </c>
      <c r="I204" t="s">
        <v>51</v>
      </c>
      <c r="J204" t="s">
        <v>1147</v>
      </c>
      <c r="K204" t="s">
        <v>1149</v>
      </c>
      <c r="L204" t="s">
        <v>65</v>
      </c>
      <c r="M204" t="s">
        <v>36</v>
      </c>
      <c r="N204" t="s">
        <v>37</v>
      </c>
      <c r="O204" t="s">
        <v>66</v>
      </c>
      <c r="P204" t="s">
        <v>66</v>
      </c>
      <c r="Q204" t="s">
        <v>74</v>
      </c>
      <c r="R204" t="s">
        <v>1150</v>
      </c>
      <c r="S204" t="s">
        <v>32</v>
      </c>
      <c r="T204" s="2">
        <v>117.027838</v>
      </c>
      <c r="U204" s="2">
        <v>39.231743</v>
      </c>
    </row>
    <row r="205" spans="1:21">
      <c r="A205" t="s">
        <v>1151</v>
      </c>
      <c r="B205" t="s">
        <v>30</v>
      </c>
      <c r="C205" t="s">
        <v>1152</v>
      </c>
      <c r="D205" t="s">
        <v>1153</v>
      </c>
      <c r="E205" t="s">
        <v>1154</v>
      </c>
      <c r="F205" t="s">
        <v>7</v>
      </c>
      <c r="G205" t="s">
        <v>7</v>
      </c>
      <c r="H205" t="s">
        <v>56</v>
      </c>
      <c r="I205" t="s">
        <v>51</v>
      </c>
      <c r="J205" t="s">
        <v>1153</v>
      </c>
      <c r="K205" t="s">
        <v>85</v>
      </c>
      <c r="L205" t="s">
        <v>65</v>
      </c>
      <c r="M205" t="s">
        <v>36</v>
      </c>
      <c r="N205" t="s">
        <v>37</v>
      </c>
      <c r="O205" t="s">
        <v>66</v>
      </c>
      <c r="P205" t="s">
        <v>66</v>
      </c>
      <c r="Q205" t="s">
        <v>45</v>
      </c>
      <c r="R205" t="s">
        <v>1155</v>
      </c>
      <c r="S205" t="s">
        <v>32</v>
      </c>
      <c r="T205" s="2">
        <v>117.177498</v>
      </c>
      <c r="U205" s="2">
        <v>39.318012</v>
      </c>
    </row>
    <row r="206" spans="1:21">
      <c r="A206" t="s">
        <v>1156</v>
      </c>
      <c r="B206" t="s">
        <v>30</v>
      </c>
      <c r="C206" t="s">
        <v>1157</v>
      </c>
      <c r="D206" t="s">
        <v>1158</v>
      </c>
      <c r="E206" t="s">
        <v>1159</v>
      </c>
      <c r="F206" t="s">
        <v>7</v>
      </c>
      <c r="G206" t="s">
        <v>7</v>
      </c>
      <c r="H206" t="s">
        <v>43</v>
      </c>
      <c r="I206" t="s">
        <v>593</v>
      </c>
      <c r="J206" t="s">
        <v>1158</v>
      </c>
      <c r="K206" t="s">
        <v>1160</v>
      </c>
      <c r="L206" t="s">
        <v>65</v>
      </c>
      <c r="M206" t="s">
        <v>36</v>
      </c>
      <c r="N206" t="s">
        <v>37</v>
      </c>
      <c r="O206" t="s">
        <v>66</v>
      </c>
      <c r="P206" t="s">
        <v>66</v>
      </c>
      <c r="Q206" t="s">
        <v>57</v>
      </c>
      <c r="R206" t="s">
        <v>1161</v>
      </c>
      <c r="S206" t="s">
        <v>32</v>
      </c>
      <c r="T206" s="2">
        <v>117.193395</v>
      </c>
      <c r="U206" s="2">
        <v>39.015274</v>
      </c>
    </row>
    <row r="207" spans="1:21">
      <c r="A207" t="s">
        <v>1162</v>
      </c>
      <c r="B207" t="s">
        <v>30</v>
      </c>
      <c r="C207" t="s">
        <v>1163</v>
      </c>
      <c r="D207" t="s">
        <v>1164</v>
      </c>
      <c r="E207" t="s">
        <v>1165</v>
      </c>
      <c r="F207" t="s">
        <v>7</v>
      </c>
      <c r="G207" t="s">
        <v>7</v>
      </c>
      <c r="H207" t="s">
        <v>43</v>
      </c>
      <c r="I207" t="s">
        <v>51</v>
      </c>
      <c r="J207" t="s">
        <v>1164</v>
      </c>
      <c r="K207" t="s">
        <v>1166</v>
      </c>
      <c r="L207" t="s">
        <v>65</v>
      </c>
      <c r="M207" t="s">
        <v>36</v>
      </c>
      <c r="N207" t="s">
        <v>37</v>
      </c>
      <c r="O207" t="s">
        <v>66</v>
      </c>
      <c r="P207" t="s">
        <v>66</v>
      </c>
      <c r="Q207" t="s">
        <v>74</v>
      </c>
      <c r="R207" t="s">
        <v>1167</v>
      </c>
      <c r="S207" t="s">
        <v>32</v>
      </c>
      <c r="T207" s="2">
        <v>117.064498</v>
      </c>
      <c r="U207" s="2">
        <v>39.142034</v>
      </c>
    </row>
    <row r="208" spans="1:21">
      <c r="A208" t="s">
        <v>1168</v>
      </c>
      <c r="B208" t="s">
        <v>30</v>
      </c>
      <c r="C208" t="s">
        <v>1169</v>
      </c>
      <c r="D208" t="s">
        <v>1170</v>
      </c>
      <c r="E208" t="s">
        <v>1171</v>
      </c>
      <c r="F208" t="s">
        <v>7</v>
      </c>
      <c r="G208" t="s">
        <v>7</v>
      </c>
      <c r="H208" t="s">
        <v>43</v>
      </c>
      <c r="I208" t="s">
        <v>692</v>
      </c>
      <c r="J208" t="s">
        <v>1170</v>
      </c>
      <c r="K208" t="s">
        <v>863</v>
      </c>
      <c r="L208" t="s">
        <v>65</v>
      </c>
      <c r="M208" t="s">
        <v>36</v>
      </c>
      <c r="N208" t="s">
        <v>37</v>
      </c>
      <c r="O208" t="s">
        <v>66</v>
      </c>
      <c r="P208" t="s">
        <v>66</v>
      </c>
      <c r="Q208" t="s">
        <v>74</v>
      </c>
      <c r="R208" t="s">
        <v>1172</v>
      </c>
      <c r="S208" t="s">
        <v>32</v>
      </c>
      <c r="T208" s="2">
        <v>117.187596</v>
      </c>
      <c r="U208" s="2">
        <v>39.013786</v>
      </c>
    </row>
    <row r="209" spans="1:21">
      <c r="A209" t="s">
        <v>1173</v>
      </c>
      <c r="B209" t="s">
        <v>30</v>
      </c>
      <c r="C209" t="s">
        <v>1174</v>
      </c>
      <c r="D209" t="s">
        <v>1175</v>
      </c>
      <c r="E209" t="s">
        <v>1176</v>
      </c>
      <c r="F209" t="s">
        <v>7</v>
      </c>
      <c r="G209" t="s">
        <v>7</v>
      </c>
      <c r="H209" t="s">
        <v>73</v>
      </c>
      <c r="I209" t="s">
        <v>51</v>
      </c>
      <c r="J209" t="s">
        <v>1175</v>
      </c>
      <c r="K209" t="s">
        <v>769</v>
      </c>
      <c r="L209" t="s">
        <v>65</v>
      </c>
      <c r="M209" t="s">
        <v>36</v>
      </c>
      <c r="N209" t="s">
        <v>37</v>
      </c>
      <c r="O209" t="s">
        <v>66</v>
      </c>
      <c r="P209" t="s">
        <v>66</v>
      </c>
      <c r="Q209" t="s">
        <v>45</v>
      </c>
      <c r="R209" t="s">
        <v>1177</v>
      </c>
      <c r="S209" t="s">
        <v>32</v>
      </c>
      <c r="T209" s="2">
        <v>117.369373</v>
      </c>
      <c r="U209" s="2">
        <v>39.057257</v>
      </c>
    </row>
    <row r="210" spans="1:21">
      <c r="A210" t="s">
        <v>1178</v>
      </c>
      <c r="B210" t="s">
        <v>30</v>
      </c>
      <c r="C210" t="s">
        <v>1179</v>
      </c>
      <c r="D210" t="s">
        <v>1180</v>
      </c>
      <c r="E210" t="s">
        <v>1181</v>
      </c>
      <c r="F210" t="s">
        <v>7</v>
      </c>
      <c r="G210" t="s">
        <v>7</v>
      </c>
      <c r="H210" t="s">
        <v>43</v>
      </c>
      <c r="I210" t="s">
        <v>51</v>
      </c>
      <c r="J210" t="s">
        <v>1180</v>
      </c>
      <c r="K210" t="s">
        <v>977</v>
      </c>
      <c r="L210" t="s">
        <v>65</v>
      </c>
      <c r="M210" t="s">
        <v>36</v>
      </c>
      <c r="N210" t="s">
        <v>37</v>
      </c>
      <c r="O210" t="s">
        <v>66</v>
      </c>
      <c r="P210" t="s">
        <v>66</v>
      </c>
      <c r="Q210" t="s">
        <v>45</v>
      </c>
      <c r="R210" t="s">
        <v>1182</v>
      </c>
      <c r="S210" t="s">
        <v>32</v>
      </c>
      <c r="T210" s="2">
        <v>117.070519</v>
      </c>
      <c r="U210" s="2">
        <v>39.121765</v>
      </c>
    </row>
    <row r="211" spans="1:21">
      <c r="A211" t="s">
        <v>1183</v>
      </c>
      <c r="B211" t="s">
        <v>30</v>
      </c>
      <c r="C211" t="s">
        <v>1184</v>
      </c>
      <c r="D211" t="s">
        <v>1185</v>
      </c>
      <c r="E211" t="s">
        <v>1186</v>
      </c>
      <c r="F211" t="s">
        <v>7</v>
      </c>
      <c r="G211" t="s">
        <v>7</v>
      </c>
      <c r="H211" t="s">
        <v>73</v>
      </c>
      <c r="I211" t="s">
        <v>51</v>
      </c>
      <c r="J211" t="s">
        <v>1185</v>
      </c>
      <c r="K211" t="s">
        <v>1187</v>
      </c>
      <c r="L211" t="s">
        <v>65</v>
      </c>
      <c r="M211" t="s">
        <v>36</v>
      </c>
      <c r="N211" t="s">
        <v>37</v>
      </c>
      <c r="O211" t="s">
        <v>66</v>
      </c>
      <c r="P211" t="s">
        <v>66</v>
      </c>
      <c r="Q211" t="s">
        <v>45</v>
      </c>
      <c r="R211" t="s">
        <v>1188</v>
      </c>
      <c r="S211" t="s">
        <v>32</v>
      </c>
      <c r="T211" s="2">
        <v>117.370074</v>
      </c>
      <c r="U211" s="2">
        <v>39.067857</v>
      </c>
    </row>
    <row r="212" spans="1:21">
      <c r="A212" t="s">
        <v>1189</v>
      </c>
      <c r="B212" t="s">
        <v>30</v>
      </c>
      <c r="C212" t="s">
        <v>1190</v>
      </c>
      <c r="D212" t="s">
        <v>1191</v>
      </c>
      <c r="E212" t="s">
        <v>1192</v>
      </c>
      <c r="F212" t="s">
        <v>7</v>
      </c>
      <c r="G212" t="s">
        <v>7</v>
      </c>
      <c r="H212" t="s">
        <v>50</v>
      </c>
      <c r="I212" t="s">
        <v>154</v>
      </c>
      <c r="J212" t="s">
        <v>1191</v>
      </c>
      <c r="K212" t="s">
        <v>85</v>
      </c>
      <c r="L212" t="s">
        <v>65</v>
      </c>
      <c r="M212" t="s">
        <v>36</v>
      </c>
      <c r="N212" t="s">
        <v>37</v>
      </c>
      <c r="O212" t="s">
        <v>66</v>
      </c>
      <c r="P212" t="s">
        <v>66</v>
      </c>
      <c r="Q212" t="s">
        <v>74</v>
      </c>
      <c r="R212" t="s">
        <v>1193</v>
      </c>
      <c r="S212" t="s">
        <v>32</v>
      </c>
      <c r="T212" s="2">
        <v>117.233989</v>
      </c>
      <c r="U212" s="2">
        <v>39.099573</v>
      </c>
    </row>
    <row r="213" spans="1:21">
      <c r="A213" t="s">
        <v>1194</v>
      </c>
      <c r="B213" t="s">
        <v>30</v>
      </c>
      <c r="C213" t="s">
        <v>1195</v>
      </c>
      <c r="D213" t="s">
        <v>1196</v>
      </c>
      <c r="E213" t="s">
        <v>1197</v>
      </c>
      <c r="F213" t="s">
        <v>7</v>
      </c>
      <c r="G213" t="s">
        <v>7</v>
      </c>
      <c r="H213" t="s">
        <v>56</v>
      </c>
      <c r="I213" t="s">
        <v>51</v>
      </c>
      <c r="J213" t="s">
        <v>1196</v>
      </c>
      <c r="K213" t="s">
        <v>1058</v>
      </c>
      <c r="L213" t="s">
        <v>65</v>
      </c>
      <c r="M213" t="s">
        <v>36</v>
      </c>
      <c r="N213" t="s">
        <v>37</v>
      </c>
      <c r="O213" t="s">
        <v>66</v>
      </c>
      <c r="P213" t="s">
        <v>66</v>
      </c>
      <c r="Q213" t="s">
        <v>74</v>
      </c>
      <c r="R213" t="s">
        <v>1198</v>
      </c>
      <c r="S213" t="s">
        <v>32</v>
      </c>
      <c r="T213" s="2">
        <v>117.257081</v>
      </c>
      <c r="U213" s="2">
        <v>39.21948</v>
      </c>
    </row>
    <row r="214" spans="1:21">
      <c r="A214" t="s">
        <v>1199</v>
      </c>
      <c r="B214" t="s">
        <v>30</v>
      </c>
      <c r="C214" t="s">
        <v>1200</v>
      </c>
      <c r="D214" t="s">
        <v>1201</v>
      </c>
      <c r="E214" t="s">
        <v>1202</v>
      </c>
      <c r="F214" t="s">
        <v>7</v>
      </c>
      <c r="G214" t="s">
        <v>7</v>
      </c>
      <c r="H214" t="s">
        <v>43</v>
      </c>
      <c r="I214" t="s">
        <v>51</v>
      </c>
      <c r="J214" t="s">
        <v>1201</v>
      </c>
      <c r="K214" t="s">
        <v>1203</v>
      </c>
      <c r="L214" t="s">
        <v>65</v>
      </c>
      <c r="M214" t="s">
        <v>36</v>
      </c>
      <c r="N214" t="s">
        <v>37</v>
      </c>
      <c r="O214" t="s">
        <v>66</v>
      </c>
      <c r="P214" t="s">
        <v>66</v>
      </c>
      <c r="Q214" t="s">
        <v>74</v>
      </c>
      <c r="R214" t="s">
        <v>1204</v>
      </c>
      <c r="S214" t="s">
        <v>32</v>
      </c>
      <c r="T214" s="2">
        <v>117.015535</v>
      </c>
      <c r="U214" s="2">
        <v>39.128136</v>
      </c>
    </row>
    <row r="215" spans="1:21">
      <c r="A215" t="s">
        <v>1205</v>
      </c>
      <c r="B215" t="s">
        <v>30</v>
      </c>
      <c r="C215" t="s">
        <v>1206</v>
      </c>
      <c r="D215" t="s">
        <v>1207</v>
      </c>
      <c r="E215" t="s">
        <v>1208</v>
      </c>
      <c r="F215" t="s">
        <v>7</v>
      </c>
      <c r="G215" t="s">
        <v>7</v>
      </c>
      <c r="H215" t="s">
        <v>407</v>
      </c>
      <c r="I215" t="s">
        <v>44</v>
      </c>
      <c r="J215" t="s">
        <v>1207</v>
      </c>
      <c r="K215" t="s">
        <v>85</v>
      </c>
      <c r="L215" t="s">
        <v>65</v>
      </c>
      <c r="M215" t="s">
        <v>36</v>
      </c>
      <c r="N215" t="s">
        <v>37</v>
      </c>
      <c r="O215" t="s">
        <v>66</v>
      </c>
      <c r="P215" t="s">
        <v>66</v>
      </c>
      <c r="Q215" t="s">
        <v>74</v>
      </c>
      <c r="R215" t="s">
        <v>1209</v>
      </c>
      <c r="S215" t="s">
        <v>32</v>
      </c>
      <c r="T215" s="2">
        <v>117.188864</v>
      </c>
      <c r="U215" s="2">
        <v>39.115017</v>
      </c>
    </row>
    <row r="216" spans="1:21">
      <c r="A216" t="s">
        <v>1210</v>
      </c>
      <c r="B216" t="s">
        <v>30</v>
      </c>
      <c r="C216" t="s">
        <v>1211</v>
      </c>
      <c r="D216" t="s">
        <v>1212</v>
      </c>
      <c r="E216" t="s">
        <v>1213</v>
      </c>
      <c r="F216" t="s">
        <v>7</v>
      </c>
      <c r="G216" t="s">
        <v>7</v>
      </c>
      <c r="H216" t="s">
        <v>56</v>
      </c>
      <c r="I216" t="s">
        <v>1214</v>
      </c>
      <c r="J216" t="s">
        <v>1212</v>
      </c>
      <c r="K216" t="s">
        <v>1215</v>
      </c>
      <c r="L216" t="s">
        <v>65</v>
      </c>
      <c r="M216" t="s">
        <v>36</v>
      </c>
      <c r="N216" t="s">
        <v>37</v>
      </c>
      <c r="O216" t="s">
        <v>66</v>
      </c>
      <c r="P216" t="s">
        <v>66</v>
      </c>
      <c r="Q216" t="s">
        <v>74</v>
      </c>
      <c r="R216" t="s">
        <v>1216</v>
      </c>
      <c r="S216" t="s">
        <v>32</v>
      </c>
      <c r="T216" s="2">
        <v>117.220597</v>
      </c>
      <c r="U216" s="2">
        <v>39.21597</v>
      </c>
    </row>
    <row r="217" spans="1:21">
      <c r="A217" t="s">
        <v>1217</v>
      </c>
      <c r="B217" t="s">
        <v>30</v>
      </c>
      <c r="C217" t="s">
        <v>1218</v>
      </c>
      <c r="D217" t="s">
        <v>1219</v>
      </c>
      <c r="E217" t="s">
        <v>1220</v>
      </c>
      <c r="F217" t="s">
        <v>7</v>
      </c>
      <c r="G217" t="s">
        <v>7</v>
      </c>
      <c r="H217" t="s">
        <v>56</v>
      </c>
      <c r="I217" t="s">
        <v>1221</v>
      </c>
      <c r="J217" t="s">
        <v>1219</v>
      </c>
      <c r="K217" t="s">
        <v>182</v>
      </c>
      <c r="L217" t="s">
        <v>65</v>
      </c>
      <c r="M217" t="s">
        <v>36</v>
      </c>
      <c r="N217" t="s">
        <v>37</v>
      </c>
      <c r="O217" t="s">
        <v>66</v>
      </c>
      <c r="P217" t="s">
        <v>66</v>
      </c>
      <c r="Q217" t="s">
        <v>45</v>
      </c>
      <c r="R217" t="s">
        <v>1222</v>
      </c>
      <c r="S217" t="s">
        <v>32</v>
      </c>
      <c r="T217" s="2">
        <v>117.065365</v>
      </c>
      <c r="U217" s="2">
        <v>39.194668</v>
      </c>
    </row>
    <row r="218" spans="1:21">
      <c r="A218" t="s">
        <v>1223</v>
      </c>
      <c r="B218" t="s">
        <v>30</v>
      </c>
      <c r="C218" t="s">
        <v>1224</v>
      </c>
      <c r="D218" t="s">
        <v>1225</v>
      </c>
      <c r="E218" t="s">
        <v>1226</v>
      </c>
      <c r="F218" t="s">
        <v>7</v>
      </c>
      <c r="G218" t="s">
        <v>7</v>
      </c>
      <c r="H218" t="s">
        <v>34</v>
      </c>
      <c r="I218" t="s">
        <v>44</v>
      </c>
      <c r="J218" t="s">
        <v>1225</v>
      </c>
      <c r="K218" t="s">
        <v>32</v>
      </c>
      <c r="L218" t="s">
        <v>32</v>
      </c>
      <c r="M218" t="s">
        <v>36</v>
      </c>
      <c r="N218" t="s">
        <v>37</v>
      </c>
      <c r="O218" t="s">
        <v>66</v>
      </c>
      <c r="P218" t="s">
        <v>66</v>
      </c>
      <c r="Q218" t="s">
        <v>74</v>
      </c>
      <c r="R218" t="s">
        <v>1227</v>
      </c>
      <c r="S218" t="s">
        <v>32</v>
      </c>
      <c r="T218" s="2">
        <v>117.148827</v>
      </c>
      <c r="U218" s="2">
        <v>39.130688</v>
      </c>
    </row>
    <row r="219" spans="1:21">
      <c r="A219" t="s">
        <v>1228</v>
      </c>
      <c r="B219" t="s">
        <v>30</v>
      </c>
      <c r="C219" t="s">
        <v>1229</v>
      </c>
      <c r="D219" t="s">
        <v>1230</v>
      </c>
      <c r="E219" t="s">
        <v>1231</v>
      </c>
      <c r="F219" t="s">
        <v>7</v>
      </c>
      <c r="G219" t="s">
        <v>7</v>
      </c>
      <c r="H219" t="s">
        <v>43</v>
      </c>
      <c r="I219" t="s">
        <v>51</v>
      </c>
      <c r="J219" t="s">
        <v>1230</v>
      </c>
      <c r="K219" t="s">
        <v>85</v>
      </c>
      <c r="L219" t="s">
        <v>595</v>
      </c>
      <c r="M219" t="s">
        <v>36</v>
      </c>
      <c r="N219" t="s">
        <v>37</v>
      </c>
      <c r="O219" t="s">
        <v>66</v>
      </c>
      <c r="P219" t="s">
        <v>66</v>
      </c>
      <c r="Q219" t="s">
        <v>74</v>
      </c>
      <c r="R219" t="s">
        <v>1232</v>
      </c>
      <c r="S219" t="s">
        <v>32</v>
      </c>
      <c r="T219" s="2">
        <v>117.009834</v>
      </c>
      <c r="U219" s="2">
        <v>39.100207</v>
      </c>
    </row>
    <row r="220" spans="1:21">
      <c r="A220" t="s">
        <v>1233</v>
      </c>
      <c r="B220" t="s">
        <v>30</v>
      </c>
      <c r="C220" t="s">
        <v>1234</v>
      </c>
      <c r="D220" t="s">
        <v>1235</v>
      </c>
      <c r="E220" t="s">
        <v>1236</v>
      </c>
      <c r="F220" t="s">
        <v>7</v>
      </c>
      <c r="G220" t="s">
        <v>7</v>
      </c>
      <c r="H220" t="s">
        <v>43</v>
      </c>
      <c r="I220" t="s">
        <v>692</v>
      </c>
      <c r="J220" t="s">
        <v>1235</v>
      </c>
      <c r="K220" t="s">
        <v>1101</v>
      </c>
      <c r="L220" t="s">
        <v>65</v>
      </c>
      <c r="M220" t="s">
        <v>36</v>
      </c>
      <c r="N220" t="s">
        <v>37</v>
      </c>
      <c r="O220" t="s">
        <v>66</v>
      </c>
      <c r="P220" t="s">
        <v>66</v>
      </c>
      <c r="Q220" t="s">
        <v>45</v>
      </c>
      <c r="R220" t="s">
        <v>1237</v>
      </c>
      <c r="S220" t="s">
        <v>32</v>
      </c>
      <c r="T220" s="2">
        <v>117.235032</v>
      </c>
      <c r="U220" s="2">
        <v>39.007021</v>
      </c>
    </row>
    <row r="221" spans="1:21">
      <c r="A221" t="s">
        <v>1238</v>
      </c>
      <c r="B221" t="s">
        <v>30</v>
      </c>
      <c r="C221" t="s">
        <v>1239</v>
      </c>
      <c r="D221" t="s">
        <v>1240</v>
      </c>
      <c r="E221" t="s">
        <v>1241</v>
      </c>
      <c r="F221" t="s">
        <v>7</v>
      </c>
      <c r="G221" t="s">
        <v>7</v>
      </c>
      <c r="H221" t="s">
        <v>43</v>
      </c>
      <c r="I221" t="s">
        <v>51</v>
      </c>
      <c r="J221" t="s">
        <v>1240</v>
      </c>
      <c r="K221" t="s">
        <v>1242</v>
      </c>
      <c r="L221" t="s">
        <v>65</v>
      </c>
      <c r="M221" t="s">
        <v>36</v>
      </c>
      <c r="N221" t="s">
        <v>37</v>
      </c>
      <c r="O221" t="s">
        <v>66</v>
      </c>
      <c r="P221" t="s">
        <v>66</v>
      </c>
      <c r="Q221" t="s">
        <v>74</v>
      </c>
      <c r="R221" t="s">
        <v>1243</v>
      </c>
      <c r="S221" t="s">
        <v>32</v>
      </c>
      <c r="T221" s="2">
        <v>117.043294</v>
      </c>
      <c r="U221" s="2">
        <v>39.125668</v>
      </c>
    </row>
    <row r="222" spans="1:21">
      <c r="A222" t="s">
        <v>1244</v>
      </c>
      <c r="B222" t="s">
        <v>30</v>
      </c>
      <c r="C222" t="s">
        <v>1245</v>
      </c>
      <c r="D222" t="s">
        <v>1246</v>
      </c>
      <c r="E222" t="s">
        <v>1247</v>
      </c>
      <c r="F222" t="s">
        <v>7</v>
      </c>
      <c r="G222" t="s">
        <v>7</v>
      </c>
      <c r="H222" t="s">
        <v>56</v>
      </c>
      <c r="I222" t="s">
        <v>593</v>
      </c>
      <c r="J222" t="s">
        <v>1246</v>
      </c>
      <c r="K222" t="s">
        <v>1248</v>
      </c>
      <c r="L222" t="s">
        <v>65</v>
      </c>
      <c r="M222" t="s">
        <v>36</v>
      </c>
      <c r="N222" t="s">
        <v>37</v>
      </c>
      <c r="O222" t="s">
        <v>66</v>
      </c>
      <c r="P222" t="s">
        <v>66</v>
      </c>
      <c r="Q222" t="s">
        <v>74</v>
      </c>
      <c r="R222" t="s">
        <v>1249</v>
      </c>
      <c r="S222" t="s">
        <v>32</v>
      </c>
      <c r="T222" s="2">
        <v>117.284744</v>
      </c>
      <c r="U222" s="2">
        <v>39.231367</v>
      </c>
    </row>
    <row r="223" spans="1:21">
      <c r="A223" t="s">
        <v>1250</v>
      </c>
      <c r="B223" t="s">
        <v>30</v>
      </c>
      <c r="C223" t="s">
        <v>1251</v>
      </c>
      <c r="D223" t="s">
        <v>1252</v>
      </c>
      <c r="E223" t="s">
        <v>1253</v>
      </c>
      <c r="F223" t="s">
        <v>7</v>
      </c>
      <c r="G223" t="s">
        <v>7</v>
      </c>
      <c r="H223" t="s">
        <v>43</v>
      </c>
      <c r="I223" t="s">
        <v>637</v>
      </c>
      <c r="J223" t="s">
        <v>1252</v>
      </c>
      <c r="K223" t="s">
        <v>32</v>
      </c>
      <c r="L223" t="s">
        <v>32</v>
      </c>
      <c r="M223" t="s">
        <v>36</v>
      </c>
      <c r="N223" t="s">
        <v>37</v>
      </c>
      <c r="O223" t="s">
        <v>66</v>
      </c>
      <c r="P223" t="s">
        <v>66</v>
      </c>
      <c r="Q223" t="s">
        <v>57</v>
      </c>
      <c r="R223" t="s">
        <v>1254</v>
      </c>
      <c r="S223" t="s">
        <v>32</v>
      </c>
      <c r="T223" s="2">
        <v>117.193886</v>
      </c>
      <c r="U223" s="2">
        <v>39.014012</v>
      </c>
    </row>
    <row r="224" spans="1:21">
      <c r="A224" t="s">
        <v>1255</v>
      </c>
      <c r="B224" t="s">
        <v>30</v>
      </c>
      <c r="C224" t="s">
        <v>1256</v>
      </c>
      <c r="D224" t="s">
        <v>1257</v>
      </c>
      <c r="E224" t="s">
        <v>1258</v>
      </c>
      <c r="F224" t="s">
        <v>7</v>
      </c>
      <c r="G224" t="s">
        <v>7</v>
      </c>
      <c r="H224" t="s">
        <v>56</v>
      </c>
      <c r="I224" t="s">
        <v>593</v>
      </c>
      <c r="J224" t="s">
        <v>1257</v>
      </c>
      <c r="K224" t="s">
        <v>64</v>
      </c>
      <c r="L224" t="s">
        <v>65</v>
      </c>
      <c r="M224" t="s">
        <v>36</v>
      </c>
      <c r="N224" t="s">
        <v>37</v>
      </c>
      <c r="O224" t="s">
        <v>66</v>
      </c>
      <c r="P224" t="s">
        <v>66</v>
      </c>
      <c r="Q224" t="s">
        <v>45</v>
      </c>
      <c r="R224" t="s">
        <v>1259</v>
      </c>
      <c r="S224" t="s">
        <v>32</v>
      </c>
      <c r="T224" s="2">
        <v>117.133079</v>
      </c>
      <c r="U224" s="2">
        <v>39.258781</v>
      </c>
    </row>
    <row r="225" spans="1:21">
      <c r="A225" t="s">
        <v>1260</v>
      </c>
      <c r="B225" t="s">
        <v>30</v>
      </c>
      <c r="C225" t="s">
        <v>1261</v>
      </c>
      <c r="D225" t="s">
        <v>1262</v>
      </c>
      <c r="E225" t="s">
        <v>1263</v>
      </c>
      <c r="F225" t="s">
        <v>7</v>
      </c>
      <c r="G225" t="s">
        <v>7</v>
      </c>
      <c r="H225" t="s">
        <v>73</v>
      </c>
      <c r="I225" t="s">
        <v>637</v>
      </c>
      <c r="J225" t="s">
        <v>1262</v>
      </c>
      <c r="K225" t="s">
        <v>1264</v>
      </c>
      <c r="L225" t="s">
        <v>65</v>
      </c>
      <c r="M225" t="s">
        <v>36</v>
      </c>
      <c r="N225" t="s">
        <v>37</v>
      </c>
      <c r="O225" t="s">
        <v>66</v>
      </c>
      <c r="P225" t="s">
        <v>66</v>
      </c>
      <c r="Q225" t="s">
        <v>74</v>
      </c>
      <c r="R225" t="s">
        <v>1265</v>
      </c>
      <c r="S225" t="s">
        <v>32</v>
      </c>
      <c r="T225" s="2">
        <v>117.37464</v>
      </c>
      <c r="U225" s="2">
        <v>39.070895</v>
      </c>
    </row>
    <row r="226" spans="1:21">
      <c r="A226" t="s">
        <v>1266</v>
      </c>
      <c r="B226" t="s">
        <v>30</v>
      </c>
      <c r="C226" t="s">
        <v>1267</v>
      </c>
      <c r="D226" t="s">
        <v>1268</v>
      </c>
      <c r="E226" t="s">
        <v>1269</v>
      </c>
      <c r="F226" t="s">
        <v>7</v>
      </c>
      <c r="G226" t="s">
        <v>7</v>
      </c>
      <c r="H226" t="s">
        <v>56</v>
      </c>
      <c r="I226" t="s">
        <v>51</v>
      </c>
      <c r="J226" t="s">
        <v>1268</v>
      </c>
      <c r="K226" t="s">
        <v>85</v>
      </c>
      <c r="L226" t="s">
        <v>65</v>
      </c>
      <c r="M226" t="s">
        <v>36</v>
      </c>
      <c r="N226" t="s">
        <v>37</v>
      </c>
      <c r="O226" t="s">
        <v>66</v>
      </c>
      <c r="P226" t="s">
        <v>66</v>
      </c>
      <c r="Q226" t="s">
        <v>45</v>
      </c>
      <c r="R226" t="s">
        <v>1270</v>
      </c>
      <c r="S226" t="s">
        <v>32</v>
      </c>
      <c r="T226" s="2">
        <v>117.158613</v>
      </c>
      <c r="U226" s="2">
        <v>39.311517</v>
      </c>
    </row>
    <row r="227" spans="1:21">
      <c r="A227" t="s">
        <v>1271</v>
      </c>
      <c r="B227" t="s">
        <v>30</v>
      </c>
      <c r="C227" t="s">
        <v>1272</v>
      </c>
      <c r="D227" t="s">
        <v>1273</v>
      </c>
      <c r="E227" t="s">
        <v>1274</v>
      </c>
      <c r="F227" t="s">
        <v>7</v>
      </c>
      <c r="G227" t="s">
        <v>7</v>
      </c>
      <c r="H227" t="s">
        <v>56</v>
      </c>
      <c r="I227" t="s">
        <v>51</v>
      </c>
      <c r="J227" t="s">
        <v>1273</v>
      </c>
      <c r="K227" t="s">
        <v>1275</v>
      </c>
      <c r="L227" t="s">
        <v>65</v>
      </c>
      <c r="M227" t="s">
        <v>36</v>
      </c>
      <c r="N227" t="s">
        <v>37</v>
      </c>
      <c r="O227" t="s">
        <v>66</v>
      </c>
      <c r="P227" t="s">
        <v>66</v>
      </c>
      <c r="Q227" t="s">
        <v>74</v>
      </c>
      <c r="R227" t="s">
        <v>1276</v>
      </c>
      <c r="S227" t="s">
        <v>32</v>
      </c>
      <c r="T227" s="2">
        <v>117.294256</v>
      </c>
      <c r="U227" s="2">
        <v>39.227654</v>
      </c>
    </row>
    <row r="228" spans="1:21">
      <c r="A228" t="s">
        <v>1277</v>
      </c>
      <c r="B228" t="s">
        <v>30</v>
      </c>
      <c r="C228" t="s">
        <v>1278</v>
      </c>
      <c r="D228" t="s">
        <v>1279</v>
      </c>
      <c r="E228" t="s">
        <v>1280</v>
      </c>
      <c r="F228" t="s">
        <v>7</v>
      </c>
      <c r="G228" t="s">
        <v>7</v>
      </c>
      <c r="H228" t="s">
        <v>320</v>
      </c>
      <c r="I228" t="s">
        <v>51</v>
      </c>
      <c r="J228" t="s">
        <v>1279</v>
      </c>
      <c r="K228" t="s">
        <v>85</v>
      </c>
      <c r="L228" t="s">
        <v>65</v>
      </c>
      <c r="M228" t="s">
        <v>36</v>
      </c>
      <c r="N228" t="s">
        <v>37</v>
      </c>
      <c r="O228" t="s">
        <v>66</v>
      </c>
      <c r="P228" t="s">
        <v>66</v>
      </c>
      <c r="Q228" t="s">
        <v>45</v>
      </c>
      <c r="R228" t="s">
        <v>1281</v>
      </c>
      <c r="S228" t="s">
        <v>32</v>
      </c>
      <c r="T228" s="2">
        <v>117.056712</v>
      </c>
      <c r="U228" s="2">
        <v>39.117315</v>
      </c>
    </row>
    <row r="229" spans="1:21">
      <c r="A229" t="s">
        <v>1282</v>
      </c>
      <c r="B229" t="s">
        <v>30</v>
      </c>
      <c r="C229" t="s">
        <v>1283</v>
      </c>
      <c r="D229" t="s">
        <v>1284</v>
      </c>
      <c r="E229" t="s">
        <v>1285</v>
      </c>
      <c r="F229" t="s">
        <v>7</v>
      </c>
      <c r="G229" t="s">
        <v>7</v>
      </c>
      <c r="H229" t="s">
        <v>43</v>
      </c>
      <c r="I229" t="s">
        <v>51</v>
      </c>
      <c r="J229" t="s">
        <v>1284</v>
      </c>
      <c r="K229" t="s">
        <v>85</v>
      </c>
      <c r="L229" t="s">
        <v>65</v>
      </c>
      <c r="M229" t="s">
        <v>36</v>
      </c>
      <c r="N229" t="s">
        <v>37</v>
      </c>
      <c r="O229" t="s">
        <v>66</v>
      </c>
      <c r="P229" t="s">
        <v>66</v>
      </c>
      <c r="Q229" t="s">
        <v>74</v>
      </c>
      <c r="R229" t="s">
        <v>1286</v>
      </c>
      <c r="S229" t="s">
        <v>32</v>
      </c>
      <c r="T229" s="2">
        <v>117.188656</v>
      </c>
      <c r="U229" s="2">
        <v>39.013121</v>
      </c>
    </row>
    <row r="230" spans="1:21">
      <c r="A230" t="s">
        <v>1287</v>
      </c>
      <c r="B230" t="s">
        <v>30</v>
      </c>
      <c r="C230" t="s">
        <v>1288</v>
      </c>
      <c r="D230" t="s">
        <v>1289</v>
      </c>
      <c r="E230" t="s">
        <v>1290</v>
      </c>
      <c r="F230" t="s">
        <v>7</v>
      </c>
      <c r="G230" t="s">
        <v>7</v>
      </c>
      <c r="H230" t="s">
        <v>43</v>
      </c>
      <c r="I230" t="s">
        <v>154</v>
      </c>
      <c r="J230" t="s">
        <v>1289</v>
      </c>
      <c r="K230" t="s">
        <v>85</v>
      </c>
      <c r="L230" t="s">
        <v>65</v>
      </c>
      <c r="M230" t="s">
        <v>36</v>
      </c>
      <c r="N230" t="s">
        <v>37</v>
      </c>
      <c r="O230" t="s">
        <v>66</v>
      </c>
      <c r="P230" t="s">
        <v>66</v>
      </c>
      <c r="Q230" t="s">
        <v>45</v>
      </c>
      <c r="R230" t="s">
        <v>1291</v>
      </c>
      <c r="S230" t="s">
        <v>32</v>
      </c>
      <c r="T230" s="2">
        <v>117.018724</v>
      </c>
      <c r="U230" s="2">
        <v>39.104812</v>
      </c>
    </row>
    <row r="231" spans="1:21">
      <c r="A231" t="s">
        <v>1292</v>
      </c>
      <c r="B231" t="s">
        <v>30</v>
      </c>
      <c r="C231" t="s">
        <v>1293</v>
      </c>
      <c r="D231" t="s">
        <v>1294</v>
      </c>
      <c r="E231" t="s">
        <v>1295</v>
      </c>
      <c r="F231" t="s">
        <v>7</v>
      </c>
      <c r="G231" t="s">
        <v>7</v>
      </c>
      <c r="H231" t="s">
        <v>56</v>
      </c>
      <c r="I231" t="s">
        <v>51</v>
      </c>
      <c r="J231" t="s">
        <v>1294</v>
      </c>
      <c r="K231" t="s">
        <v>85</v>
      </c>
      <c r="L231" t="s">
        <v>595</v>
      </c>
      <c r="M231" t="s">
        <v>36</v>
      </c>
      <c r="N231" t="s">
        <v>37</v>
      </c>
      <c r="O231" t="s">
        <v>66</v>
      </c>
      <c r="P231" t="s">
        <v>66</v>
      </c>
      <c r="Q231" t="s">
        <v>74</v>
      </c>
      <c r="R231" t="s">
        <v>1296</v>
      </c>
      <c r="S231" t="s">
        <v>32</v>
      </c>
      <c r="T231" s="2">
        <v>117.185527</v>
      </c>
      <c r="U231" s="2">
        <v>39.259226</v>
      </c>
    </row>
    <row r="232" spans="1:21">
      <c r="A232" t="s">
        <v>1297</v>
      </c>
      <c r="B232" t="s">
        <v>30</v>
      </c>
      <c r="C232" t="s">
        <v>1298</v>
      </c>
      <c r="D232" t="s">
        <v>1299</v>
      </c>
      <c r="E232" t="s">
        <v>1300</v>
      </c>
      <c r="F232" t="s">
        <v>7</v>
      </c>
      <c r="G232" t="s">
        <v>7</v>
      </c>
      <c r="H232" t="s">
        <v>73</v>
      </c>
      <c r="I232" t="s">
        <v>154</v>
      </c>
      <c r="J232" t="s">
        <v>1299</v>
      </c>
      <c r="K232" t="s">
        <v>85</v>
      </c>
      <c r="L232" t="s">
        <v>65</v>
      </c>
      <c r="M232" t="s">
        <v>36</v>
      </c>
      <c r="N232" t="s">
        <v>37</v>
      </c>
      <c r="O232" t="s">
        <v>66</v>
      </c>
      <c r="P232" t="s">
        <v>66</v>
      </c>
      <c r="Q232" t="s">
        <v>45</v>
      </c>
      <c r="R232" t="s">
        <v>1301</v>
      </c>
      <c r="S232" t="s">
        <v>32</v>
      </c>
      <c r="T232" s="2">
        <v>117.364284</v>
      </c>
      <c r="U232" s="2">
        <v>39.076833</v>
      </c>
    </row>
    <row r="233" spans="1:21">
      <c r="A233" t="s">
        <v>1302</v>
      </c>
      <c r="B233" t="s">
        <v>30</v>
      </c>
      <c r="C233" t="s">
        <v>1303</v>
      </c>
      <c r="D233" t="s">
        <v>1304</v>
      </c>
      <c r="E233" t="s">
        <v>1305</v>
      </c>
      <c r="F233" t="s">
        <v>7</v>
      </c>
      <c r="G233" t="s">
        <v>7</v>
      </c>
      <c r="H233" t="s">
        <v>43</v>
      </c>
      <c r="I233" t="s">
        <v>51</v>
      </c>
      <c r="J233" t="s">
        <v>1304</v>
      </c>
      <c r="K233" t="s">
        <v>797</v>
      </c>
      <c r="L233" t="s">
        <v>65</v>
      </c>
      <c r="M233" t="s">
        <v>36</v>
      </c>
      <c r="N233" t="s">
        <v>37</v>
      </c>
      <c r="O233" t="s">
        <v>66</v>
      </c>
      <c r="P233" t="s">
        <v>66</v>
      </c>
      <c r="Q233" t="s">
        <v>45</v>
      </c>
      <c r="R233" t="s">
        <v>1306</v>
      </c>
      <c r="S233" t="s">
        <v>32</v>
      </c>
      <c r="T233" s="2">
        <v>117.070814</v>
      </c>
      <c r="U233" s="2">
        <v>39.145496</v>
      </c>
    </row>
    <row r="234" spans="1:21">
      <c r="A234" t="s">
        <v>1307</v>
      </c>
      <c r="B234" t="s">
        <v>30</v>
      </c>
      <c r="C234" t="s">
        <v>1308</v>
      </c>
      <c r="D234" t="s">
        <v>1309</v>
      </c>
      <c r="E234" t="s">
        <v>1310</v>
      </c>
      <c r="F234" t="s">
        <v>7</v>
      </c>
      <c r="G234" t="s">
        <v>7</v>
      </c>
      <c r="H234" t="s">
        <v>56</v>
      </c>
      <c r="I234" t="s">
        <v>51</v>
      </c>
      <c r="J234" t="s">
        <v>1309</v>
      </c>
      <c r="K234" t="s">
        <v>64</v>
      </c>
      <c r="L234" t="s">
        <v>65</v>
      </c>
      <c r="M234" t="s">
        <v>36</v>
      </c>
      <c r="N234" t="s">
        <v>37</v>
      </c>
      <c r="O234" t="s">
        <v>66</v>
      </c>
      <c r="P234" t="s">
        <v>66</v>
      </c>
      <c r="Q234" t="s">
        <v>45</v>
      </c>
      <c r="R234" t="s">
        <v>1311</v>
      </c>
      <c r="S234" t="s">
        <v>32</v>
      </c>
      <c r="T234" s="2">
        <v>117.238438</v>
      </c>
      <c r="U234" s="2">
        <v>39.25663</v>
      </c>
    </row>
    <row r="235" spans="1:21">
      <c r="A235" t="s">
        <v>1312</v>
      </c>
      <c r="B235" t="s">
        <v>30</v>
      </c>
      <c r="C235" t="s">
        <v>1313</v>
      </c>
      <c r="D235" t="s">
        <v>1314</v>
      </c>
      <c r="E235" t="s">
        <v>1315</v>
      </c>
      <c r="F235" t="s">
        <v>7</v>
      </c>
      <c r="G235" t="s">
        <v>7</v>
      </c>
      <c r="H235" t="s">
        <v>56</v>
      </c>
      <c r="I235" t="s">
        <v>154</v>
      </c>
      <c r="J235" t="s">
        <v>1314</v>
      </c>
      <c r="K235" t="s">
        <v>85</v>
      </c>
      <c r="L235" t="s">
        <v>595</v>
      </c>
      <c r="M235" t="s">
        <v>36</v>
      </c>
      <c r="N235" t="s">
        <v>37</v>
      </c>
      <c r="O235" t="s">
        <v>66</v>
      </c>
      <c r="P235" t="s">
        <v>66</v>
      </c>
      <c r="Q235" t="s">
        <v>74</v>
      </c>
      <c r="R235" t="s">
        <v>1316</v>
      </c>
      <c r="S235" t="s">
        <v>32</v>
      </c>
      <c r="T235" s="2">
        <v>117.282549</v>
      </c>
      <c r="U235" s="2">
        <v>39.223082</v>
      </c>
    </row>
    <row r="236" spans="1:21">
      <c r="A236" t="s">
        <v>1317</v>
      </c>
      <c r="B236" t="s">
        <v>30</v>
      </c>
      <c r="C236" t="s">
        <v>1318</v>
      </c>
      <c r="D236" t="s">
        <v>1319</v>
      </c>
      <c r="E236" t="s">
        <v>1320</v>
      </c>
      <c r="F236" t="s">
        <v>7</v>
      </c>
      <c r="G236" t="s">
        <v>7</v>
      </c>
      <c r="H236" t="s">
        <v>63</v>
      </c>
      <c r="I236" t="s">
        <v>154</v>
      </c>
      <c r="J236" t="s">
        <v>1319</v>
      </c>
      <c r="K236" t="s">
        <v>85</v>
      </c>
      <c r="L236" t="s">
        <v>65</v>
      </c>
      <c r="M236" t="s">
        <v>36</v>
      </c>
      <c r="N236" t="s">
        <v>37</v>
      </c>
      <c r="O236" t="s">
        <v>66</v>
      </c>
      <c r="P236" t="s">
        <v>66</v>
      </c>
      <c r="Q236" t="s">
        <v>45</v>
      </c>
      <c r="R236" t="s">
        <v>1321</v>
      </c>
      <c r="S236" t="s">
        <v>32</v>
      </c>
      <c r="T236" s="2">
        <v>117.308475</v>
      </c>
      <c r="U236" s="2">
        <v>39.040901</v>
      </c>
    </row>
    <row r="237" spans="1:21">
      <c r="A237" t="s">
        <v>1322</v>
      </c>
      <c r="B237" t="s">
        <v>30</v>
      </c>
      <c r="C237" t="s">
        <v>1323</v>
      </c>
      <c r="D237" t="s">
        <v>1324</v>
      </c>
      <c r="E237" t="s">
        <v>1325</v>
      </c>
      <c r="F237" t="s">
        <v>7</v>
      </c>
      <c r="G237" t="s">
        <v>7</v>
      </c>
      <c r="H237" t="s">
        <v>105</v>
      </c>
      <c r="I237" t="s">
        <v>51</v>
      </c>
      <c r="J237" t="s">
        <v>1324</v>
      </c>
      <c r="K237" t="s">
        <v>85</v>
      </c>
      <c r="L237" t="s">
        <v>65</v>
      </c>
      <c r="M237" t="s">
        <v>36</v>
      </c>
      <c r="N237" t="s">
        <v>37</v>
      </c>
      <c r="O237" t="s">
        <v>66</v>
      </c>
      <c r="P237" t="s">
        <v>66</v>
      </c>
      <c r="Q237" t="s">
        <v>45</v>
      </c>
      <c r="R237" t="s">
        <v>1326</v>
      </c>
      <c r="S237" t="s">
        <v>32</v>
      </c>
      <c r="T237" s="2">
        <v>117.246628</v>
      </c>
      <c r="U237" s="2">
        <v>39.10463</v>
      </c>
    </row>
    <row r="238" spans="1:21">
      <c r="A238" t="s">
        <v>1327</v>
      </c>
      <c r="B238" t="s">
        <v>30</v>
      </c>
      <c r="C238" t="s">
        <v>1328</v>
      </c>
      <c r="D238" t="s">
        <v>1329</v>
      </c>
      <c r="E238" t="s">
        <v>1330</v>
      </c>
      <c r="F238" t="s">
        <v>7</v>
      </c>
      <c r="G238" t="s">
        <v>7</v>
      </c>
      <c r="H238" t="s">
        <v>63</v>
      </c>
      <c r="I238" t="s">
        <v>350</v>
      </c>
      <c r="J238" t="s">
        <v>1329</v>
      </c>
      <c r="K238" t="s">
        <v>1022</v>
      </c>
      <c r="L238" t="s">
        <v>65</v>
      </c>
      <c r="M238" t="s">
        <v>36</v>
      </c>
      <c r="N238" t="s">
        <v>37</v>
      </c>
      <c r="O238" t="s">
        <v>66</v>
      </c>
      <c r="P238" t="s">
        <v>66</v>
      </c>
      <c r="Q238" t="s">
        <v>45</v>
      </c>
      <c r="R238" t="s">
        <v>1331</v>
      </c>
      <c r="S238" t="s">
        <v>32</v>
      </c>
      <c r="T238" s="2">
        <v>117.30986</v>
      </c>
      <c r="U238" s="2">
        <v>39.017046</v>
      </c>
    </row>
    <row r="239" spans="1:21">
      <c r="A239" t="s">
        <v>1332</v>
      </c>
      <c r="B239" t="s">
        <v>30</v>
      </c>
      <c r="C239" t="s">
        <v>1333</v>
      </c>
      <c r="D239" t="s">
        <v>1334</v>
      </c>
      <c r="E239" t="s">
        <v>1335</v>
      </c>
      <c r="F239" t="s">
        <v>7</v>
      </c>
      <c r="G239" t="s">
        <v>7</v>
      </c>
      <c r="H239" t="s">
        <v>63</v>
      </c>
      <c r="I239" t="s">
        <v>154</v>
      </c>
      <c r="J239" t="s">
        <v>1334</v>
      </c>
      <c r="K239" t="s">
        <v>971</v>
      </c>
      <c r="L239" t="s">
        <v>65</v>
      </c>
      <c r="M239" t="s">
        <v>36</v>
      </c>
      <c r="N239" t="s">
        <v>37</v>
      </c>
      <c r="O239" t="s">
        <v>66</v>
      </c>
      <c r="P239" t="s">
        <v>66</v>
      </c>
      <c r="Q239" t="s">
        <v>45</v>
      </c>
      <c r="R239" t="s">
        <v>1336</v>
      </c>
      <c r="S239" t="s">
        <v>32</v>
      </c>
      <c r="T239" s="2">
        <v>117.284558</v>
      </c>
      <c r="U239" s="2">
        <v>39.028103</v>
      </c>
    </row>
    <row r="240" spans="1:21">
      <c r="A240" t="s">
        <v>1337</v>
      </c>
      <c r="B240" t="s">
        <v>30</v>
      </c>
      <c r="C240" t="s">
        <v>945</v>
      </c>
      <c r="D240" t="s">
        <v>1338</v>
      </c>
      <c r="E240" t="s">
        <v>1339</v>
      </c>
      <c r="F240" t="s">
        <v>7</v>
      </c>
      <c r="G240" t="s">
        <v>7</v>
      </c>
      <c r="H240" t="s">
        <v>262</v>
      </c>
      <c r="I240" t="s">
        <v>948</v>
      </c>
      <c r="J240" t="s">
        <v>1338</v>
      </c>
      <c r="K240" t="s">
        <v>85</v>
      </c>
      <c r="L240" t="s">
        <v>65</v>
      </c>
      <c r="M240" t="s">
        <v>36</v>
      </c>
      <c r="N240" t="s">
        <v>37</v>
      </c>
      <c r="O240" t="s">
        <v>66</v>
      </c>
      <c r="P240" t="s">
        <v>66</v>
      </c>
      <c r="Q240" t="s">
        <v>57</v>
      </c>
      <c r="R240" t="s">
        <v>950</v>
      </c>
      <c r="S240" t="s">
        <v>32</v>
      </c>
      <c r="T240" s="2">
        <v>117.24183</v>
      </c>
      <c r="U240" s="2">
        <v>39.176728</v>
      </c>
    </row>
    <row r="241" spans="1:21">
      <c r="A241" t="s">
        <v>1340</v>
      </c>
      <c r="B241" t="s">
        <v>30</v>
      </c>
      <c r="C241" t="s">
        <v>1341</v>
      </c>
      <c r="D241" t="s">
        <v>1342</v>
      </c>
      <c r="E241" t="s">
        <v>1343</v>
      </c>
      <c r="F241" t="s">
        <v>7</v>
      </c>
      <c r="G241" t="s">
        <v>7</v>
      </c>
      <c r="H241" t="s">
        <v>56</v>
      </c>
      <c r="I241" t="s">
        <v>1344</v>
      </c>
      <c r="J241" t="s">
        <v>1342</v>
      </c>
      <c r="K241" t="s">
        <v>1090</v>
      </c>
      <c r="L241" t="s">
        <v>65</v>
      </c>
      <c r="M241" t="s">
        <v>36</v>
      </c>
      <c r="N241" t="s">
        <v>37</v>
      </c>
      <c r="O241" t="s">
        <v>66</v>
      </c>
      <c r="P241" t="s">
        <v>66</v>
      </c>
      <c r="Q241" t="s">
        <v>32</v>
      </c>
      <c r="R241" t="s">
        <v>1345</v>
      </c>
      <c r="S241" t="s">
        <v>32</v>
      </c>
      <c r="T241" s="2">
        <v>117.280677</v>
      </c>
      <c r="U241" s="2">
        <v>39.234212</v>
      </c>
    </row>
    <row r="242" spans="1:21">
      <c r="A242" t="s">
        <v>1346</v>
      </c>
      <c r="B242" t="s">
        <v>30</v>
      </c>
      <c r="C242" t="s">
        <v>1347</v>
      </c>
      <c r="D242" t="s">
        <v>1348</v>
      </c>
      <c r="E242" t="s">
        <v>1349</v>
      </c>
      <c r="F242" t="s">
        <v>7</v>
      </c>
      <c r="G242" t="s">
        <v>7</v>
      </c>
      <c r="H242" t="s">
        <v>56</v>
      </c>
      <c r="I242" t="s">
        <v>51</v>
      </c>
      <c r="J242" t="s">
        <v>1348</v>
      </c>
      <c r="K242" t="s">
        <v>1350</v>
      </c>
      <c r="L242" t="s">
        <v>65</v>
      </c>
      <c r="M242" t="s">
        <v>36</v>
      </c>
      <c r="N242" t="s">
        <v>37</v>
      </c>
      <c r="O242" t="s">
        <v>66</v>
      </c>
      <c r="P242" t="s">
        <v>66</v>
      </c>
      <c r="Q242" t="s">
        <v>45</v>
      </c>
      <c r="R242" t="s">
        <v>1351</v>
      </c>
      <c r="S242" t="s">
        <v>32</v>
      </c>
      <c r="T242" s="2">
        <v>117.234094</v>
      </c>
      <c r="U242" s="2">
        <v>39.231357</v>
      </c>
    </row>
    <row r="243" spans="1:21">
      <c r="A243" t="s">
        <v>1352</v>
      </c>
      <c r="B243" t="s">
        <v>30</v>
      </c>
      <c r="C243" t="s">
        <v>1353</v>
      </c>
      <c r="D243" t="s">
        <v>1354</v>
      </c>
      <c r="E243" t="s">
        <v>1355</v>
      </c>
      <c r="F243" t="s">
        <v>7</v>
      </c>
      <c r="G243" t="s">
        <v>7</v>
      </c>
      <c r="H243" t="s">
        <v>56</v>
      </c>
      <c r="I243" t="s">
        <v>245</v>
      </c>
      <c r="J243" t="s">
        <v>1354</v>
      </c>
      <c r="K243" t="s">
        <v>1069</v>
      </c>
      <c r="L243" t="s">
        <v>65</v>
      </c>
      <c r="M243" t="s">
        <v>36</v>
      </c>
      <c r="N243" t="s">
        <v>37</v>
      </c>
      <c r="O243" t="s">
        <v>66</v>
      </c>
      <c r="P243" t="s">
        <v>66</v>
      </c>
      <c r="Q243" t="s">
        <v>74</v>
      </c>
      <c r="R243" t="s">
        <v>1356</v>
      </c>
      <c r="S243" t="s">
        <v>32</v>
      </c>
      <c r="T243" s="2">
        <v>117.180714</v>
      </c>
      <c r="U243" s="2">
        <v>39.212194</v>
      </c>
    </row>
    <row r="244" spans="1:21">
      <c r="A244" t="s">
        <v>1357</v>
      </c>
      <c r="B244" t="s">
        <v>30</v>
      </c>
      <c r="C244" t="s">
        <v>1358</v>
      </c>
      <c r="D244" t="s">
        <v>1359</v>
      </c>
      <c r="E244" t="s">
        <v>1360</v>
      </c>
      <c r="F244" t="s">
        <v>7</v>
      </c>
      <c r="G244" t="s">
        <v>7</v>
      </c>
      <c r="H244" t="s">
        <v>56</v>
      </c>
      <c r="I244" t="s">
        <v>51</v>
      </c>
      <c r="J244" t="s">
        <v>1359</v>
      </c>
      <c r="K244" t="s">
        <v>657</v>
      </c>
      <c r="L244" t="s">
        <v>65</v>
      </c>
      <c r="M244" t="s">
        <v>36</v>
      </c>
      <c r="N244" t="s">
        <v>37</v>
      </c>
      <c r="O244" t="s">
        <v>66</v>
      </c>
      <c r="P244" t="s">
        <v>66</v>
      </c>
      <c r="Q244" t="s">
        <v>45</v>
      </c>
      <c r="R244" t="s">
        <v>1361</v>
      </c>
      <c r="S244" t="s">
        <v>32</v>
      </c>
      <c r="T244" s="2">
        <v>117.213877</v>
      </c>
      <c r="U244" s="2">
        <v>39.205925</v>
      </c>
    </row>
    <row r="245" spans="1:21">
      <c r="A245" t="s">
        <v>1362</v>
      </c>
      <c r="B245" t="s">
        <v>30</v>
      </c>
      <c r="C245" t="s">
        <v>1363</v>
      </c>
      <c r="D245" t="s">
        <v>1364</v>
      </c>
      <c r="E245" t="s">
        <v>1365</v>
      </c>
      <c r="F245" t="s">
        <v>7</v>
      </c>
      <c r="G245" t="s">
        <v>7</v>
      </c>
      <c r="H245" t="s">
        <v>56</v>
      </c>
      <c r="I245" t="s">
        <v>154</v>
      </c>
      <c r="J245" t="s">
        <v>1364</v>
      </c>
      <c r="K245" t="s">
        <v>85</v>
      </c>
      <c r="L245" t="s">
        <v>65</v>
      </c>
      <c r="M245" t="s">
        <v>36</v>
      </c>
      <c r="N245" t="s">
        <v>37</v>
      </c>
      <c r="O245" t="s">
        <v>66</v>
      </c>
      <c r="P245" t="s">
        <v>66</v>
      </c>
      <c r="Q245" t="s">
        <v>45</v>
      </c>
      <c r="R245" t="s">
        <v>1366</v>
      </c>
      <c r="S245" t="s">
        <v>32</v>
      </c>
      <c r="T245" s="2">
        <v>117.195576</v>
      </c>
      <c r="U245" s="2">
        <v>39.221756</v>
      </c>
    </row>
    <row r="246" spans="1:21">
      <c r="A246" t="s">
        <v>1367</v>
      </c>
      <c r="B246" t="s">
        <v>30</v>
      </c>
      <c r="C246" t="s">
        <v>1368</v>
      </c>
      <c r="D246" t="s">
        <v>1369</v>
      </c>
      <c r="E246" t="s">
        <v>1370</v>
      </c>
      <c r="F246" t="s">
        <v>7</v>
      </c>
      <c r="G246" t="s">
        <v>7</v>
      </c>
      <c r="H246" t="s">
        <v>63</v>
      </c>
      <c r="I246" t="s">
        <v>44</v>
      </c>
      <c r="J246" t="s">
        <v>1369</v>
      </c>
      <c r="K246" t="s">
        <v>85</v>
      </c>
      <c r="L246" t="s">
        <v>65</v>
      </c>
      <c r="M246" t="s">
        <v>36</v>
      </c>
      <c r="N246" t="s">
        <v>37</v>
      </c>
      <c r="O246" t="s">
        <v>66</v>
      </c>
      <c r="P246" t="s">
        <v>66</v>
      </c>
      <c r="Q246" t="s">
        <v>45</v>
      </c>
      <c r="R246" t="s">
        <v>1371</v>
      </c>
      <c r="S246" t="s">
        <v>32</v>
      </c>
      <c r="T246" s="2">
        <v>117.315651</v>
      </c>
      <c r="U246" s="2">
        <v>39.037991</v>
      </c>
    </row>
    <row r="247" spans="1:21">
      <c r="A247" t="s">
        <v>1372</v>
      </c>
      <c r="B247" t="s">
        <v>30</v>
      </c>
      <c r="C247" t="s">
        <v>1373</v>
      </c>
      <c r="D247" t="s">
        <v>1374</v>
      </c>
      <c r="E247" t="s">
        <v>1375</v>
      </c>
      <c r="F247" t="s">
        <v>7</v>
      </c>
      <c r="G247" t="s">
        <v>7</v>
      </c>
      <c r="H247" t="s">
        <v>43</v>
      </c>
      <c r="I247" t="s">
        <v>154</v>
      </c>
      <c r="J247" t="s">
        <v>1374</v>
      </c>
      <c r="K247" t="s">
        <v>182</v>
      </c>
      <c r="L247" t="s">
        <v>65</v>
      </c>
      <c r="M247" t="s">
        <v>36</v>
      </c>
      <c r="N247" t="s">
        <v>37</v>
      </c>
      <c r="O247" t="s">
        <v>66</v>
      </c>
      <c r="P247" t="s">
        <v>66</v>
      </c>
      <c r="Q247" t="s">
        <v>45</v>
      </c>
      <c r="R247" t="s">
        <v>1376</v>
      </c>
      <c r="S247" t="s">
        <v>32</v>
      </c>
      <c r="T247" s="2">
        <v>117.059782</v>
      </c>
      <c r="U247" s="2">
        <v>39.144367</v>
      </c>
    </row>
    <row r="248" spans="1:21">
      <c r="A248" t="s">
        <v>1377</v>
      </c>
      <c r="B248" t="s">
        <v>30</v>
      </c>
      <c r="C248" t="s">
        <v>1378</v>
      </c>
      <c r="D248" t="s">
        <v>1379</v>
      </c>
      <c r="E248" t="s">
        <v>1380</v>
      </c>
      <c r="F248" t="s">
        <v>7</v>
      </c>
      <c r="G248" t="s">
        <v>7</v>
      </c>
      <c r="H248" t="s">
        <v>43</v>
      </c>
      <c r="I248" t="s">
        <v>154</v>
      </c>
      <c r="J248" t="s">
        <v>1379</v>
      </c>
      <c r="K248" t="s">
        <v>657</v>
      </c>
      <c r="L248" t="s">
        <v>65</v>
      </c>
      <c r="M248" t="s">
        <v>36</v>
      </c>
      <c r="N248" t="s">
        <v>37</v>
      </c>
      <c r="O248" t="s">
        <v>66</v>
      </c>
      <c r="P248" t="s">
        <v>66</v>
      </c>
      <c r="Q248" t="s">
        <v>45</v>
      </c>
      <c r="R248" t="s">
        <v>1381</v>
      </c>
      <c r="S248" t="s">
        <v>32</v>
      </c>
      <c r="T248" s="2">
        <v>117.006244</v>
      </c>
      <c r="U248" s="2">
        <v>39.145118</v>
      </c>
    </row>
    <row r="249" spans="1:21">
      <c r="A249" t="s">
        <v>1382</v>
      </c>
      <c r="B249" t="s">
        <v>30</v>
      </c>
      <c r="C249" t="s">
        <v>1383</v>
      </c>
      <c r="D249" t="s">
        <v>1384</v>
      </c>
      <c r="E249" t="s">
        <v>1385</v>
      </c>
      <c r="F249" t="s">
        <v>7</v>
      </c>
      <c r="G249" t="s">
        <v>7</v>
      </c>
      <c r="H249" t="s">
        <v>43</v>
      </c>
      <c r="I249" t="s">
        <v>51</v>
      </c>
      <c r="J249" t="s">
        <v>1384</v>
      </c>
      <c r="K249" t="s">
        <v>85</v>
      </c>
      <c r="L249" t="s">
        <v>65</v>
      </c>
      <c r="M249" t="s">
        <v>36</v>
      </c>
      <c r="N249" t="s">
        <v>37</v>
      </c>
      <c r="O249" t="s">
        <v>66</v>
      </c>
      <c r="P249" t="s">
        <v>66</v>
      </c>
      <c r="Q249" t="s">
        <v>45</v>
      </c>
      <c r="R249" t="s">
        <v>1386</v>
      </c>
      <c r="S249" t="s">
        <v>32</v>
      </c>
      <c r="T249" s="2">
        <v>117.097305</v>
      </c>
      <c r="U249" s="2">
        <v>39.110604</v>
      </c>
    </row>
    <row r="250" spans="1:21">
      <c r="A250" t="s">
        <v>1387</v>
      </c>
      <c r="B250" t="s">
        <v>30</v>
      </c>
      <c r="C250" t="s">
        <v>1388</v>
      </c>
      <c r="D250" t="s">
        <v>1389</v>
      </c>
      <c r="E250" t="s">
        <v>1390</v>
      </c>
      <c r="F250" t="s">
        <v>7</v>
      </c>
      <c r="G250" t="s">
        <v>7</v>
      </c>
      <c r="H250" t="s">
        <v>43</v>
      </c>
      <c r="I250" t="s">
        <v>51</v>
      </c>
      <c r="J250" t="s">
        <v>1389</v>
      </c>
      <c r="K250" t="s">
        <v>85</v>
      </c>
      <c r="L250" t="s">
        <v>1391</v>
      </c>
      <c r="M250" t="s">
        <v>36</v>
      </c>
      <c r="N250" t="s">
        <v>37</v>
      </c>
      <c r="O250" t="s">
        <v>66</v>
      </c>
      <c r="P250" t="s">
        <v>66</v>
      </c>
      <c r="Q250" t="s">
        <v>74</v>
      </c>
      <c r="R250" t="s">
        <v>1392</v>
      </c>
      <c r="S250" t="s">
        <v>32</v>
      </c>
      <c r="T250" s="2">
        <v>117.029516</v>
      </c>
      <c r="U250" s="2">
        <v>39.080296</v>
      </c>
    </row>
    <row r="251" spans="1:21">
      <c r="A251" t="s">
        <v>1393</v>
      </c>
      <c r="B251" t="s">
        <v>30</v>
      </c>
      <c r="C251" t="s">
        <v>1394</v>
      </c>
      <c r="D251" t="s">
        <v>1395</v>
      </c>
      <c r="E251" t="s">
        <v>1396</v>
      </c>
      <c r="F251" t="s">
        <v>7</v>
      </c>
      <c r="G251" t="s">
        <v>7</v>
      </c>
      <c r="H251" t="s">
        <v>43</v>
      </c>
      <c r="I251" t="s">
        <v>154</v>
      </c>
      <c r="J251" t="s">
        <v>1395</v>
      </c>
      <c r="K251" t="s">
        <v>645</v>
      </c>
      <c r="L251" t="s">
        <v>65</v>
      </c>
      <c r="M251" t="s">
        <v>36</v>
      </c>
      <c r="N251" t="s">
        <v>37</v>
      </c>
      <c r="O251" t="s">
        <v>66</v>
      </c>
      <c r="P251" t="s">
        <v>66</v>
      </c>
      <c r="Q251" t="s">
        <v>74</v>
      </c>
      <c r="R251" t="s">
        <v>1397</v>
      </c>
      <c r="S251" t="s">
        <v>32</v>
      </c>
      <c r="T251" s="2">
        <v>117.220364</v>
      </c>
      <c r="U251" s="2">
        <v>39.000756</v>
      </c>
    </row>
    <row r="252" spans="1:21">
      <c r="A252" t="s">
        <v>1398</v>
      </c>
      <c r="B252" t="s">
        <v>30</v>
      </c>
      <c r="C252" t="s">
        <v>1399</v>
      </c>
      <c r="D252" t="s">
        <v>1400</v>
      </c>
      <c r="E252" t="s">
        <v>1401</v>
      </c>
      <c r="F252" t="s">
        <v>7</v>
      </c>
      <c r="G252" t="s">
        <v>7</v>
      </c>
      <c r="H252" t="s">
        <v>43</v>
      </c>
      <c r="I252" t="s">
        <v>239</v>
      </c>
      <c r="J252" t="s">
        <v>1400</v>
      </c>
      <c r="K252" t="s">
        <v>1215</v>
      </c>
      <c r="L252" t="s">
        <v>65</v>
      </c>
      <c r="M252" t="s">
        <v>36</v>
      </c>
      <c r="N252" t="s">
        <v>37</v>
      </c>
      <c r="O252" t="s">
        <v>66</v>
      </c>
      <c r="P252" t="s">
        <v>66</v>
      </c>
      <c r="Q252" t="s">
        <v>45</v>
      </c>
      <c r="R252" t="s">
        <v>1402</v>
      </c>
      <c r="S252" t="s">
        <v>32</v>
      </c>
      <c r="T252" s="2">
        <v>117.191001</v>
      </c>
      <c r="U252" s="2">
        <v>39.015494</v>
      </c>
    </row>
    <row r="253" spans="1:21">
      <c r="A253" t="s">
        <v>1403</v>
      </c>
      <c r="B253" t="s">
        <v>30</v>
      </c>
      <c r="C253" t="s">
        <v>1404</v>
      </c>
      <c r="D253" t="s">
        <v>1405</v>
      </c>
      <c r="E253" t="s">
        <v>1406</v>
      </c>
      <c r="F253" t="s">
        <v>7</v>
      </c>
      <c r="G253" t="s">
        <v>7</v>
      </c>
      <c r="H253" t="s">
        <v>43</v>
      </c>
      <c r="I253" t="s">
        <v>637</v>
      </c>
      <c r="J253" t="s">
        <v>1405</v>
      </c>
      <c r="K253" t="s">
        <v>85</v>
      </c>
      <c r="L253" t="s">
        <v>65</v>
      </c>
      <c r="M253" t="s">
        <v>36</v>
      </c>
      <c r="N253" t="s">
        <v>37</v>
      </c>
      <c r="O253" t="s">
        <v>66</v>
      </c>
      <c r="P253" t="s">
        <v>66</v>
      </c>
      <c r="Q253" t="s">
        <v>74</v>
      </c>
      <c r="R253" t="s">
        <v>1407</v>
      </c>
      <c r="S253" t="s">
        <v>32</v>
      </c>
      <c r="T253" s="2">
        <v>117.256236</v>
      </c>
      <c r="U253" s="2">
        <v>38.987134</v>
      </c>
    </row>
    <row r="254" spans="1:21">
      <c r="A254" t="s">
        <v>1408</v>
      </c>
      <c r="B254" t="s">
        <v>30</v>
      </c>
      <c r="C254" t="s">
        <v>1409</v>
      </c>
      <c r="D254" t="s">
        <v>1410</v>
      </c>
      <c r="E254" t="s">
        <v>1411</v>
      </c>
      <c r="F254" t="s">
        <v>7</v>
      </c>
      <c r="G254" t="s">
        <v>7</v>
      </c>
      <c r="H254" t="s">
        <v>56</v>
      </c>
      <c r="I254" t="s">
        <v>51</v>
      </c>
      <c r="J254" t="s">
        <v>1410</v>
      </c>
      <c r="K254" t="s">
        <v>797</v>
      </c>
      <c r="L254" t="s">
        <v>65</v>
      </c>
      <c r="M254" t="s">
        <v>36</v>
      </c>
      <c r="N254" t="s">
        <v>37</v>
      </c>
      <c r="O254" t="s">
        <v>66</v>
      </c>
      <c r="P254" t="s">
        <v>66</v>
      </c>
      <c r="Q254" t="s">
        <v>45</v>
      </c>
      <c r="R254" t="s">
        <v>1412</v>
      </c>
      <c r="S254" t="s">
        <v>32</v>
      </c>
      <c r="T254" s="2">
        <v>117.139611</v>
      </c>
      <c r="U254" s="2">
        <v>39.227436</v>
      </c>
    </row>
    <row r="255" spans="1:21">
      <c r="A255" t="s">
        <v>1413</v>
      </c>
      <c r="B255" t="s">
        <v>69</v>
      </c>
      <c r="C255" t="s">
        <v>1414</v>
      </c>
      <c r="D255" t="s">
        <v>1415</v>
      </c>
      <c r="E255" t="s">
        <v>1416</v>
      </c>
      <c r="F255" t="s">
        <v>7</v>
      </c>
      <c r="G255" t="s">
        <v>7</v>
      </c>
      <c r="H255" t="s">
        <v>56</v>
      </c>
      <c r="I255" t="s">
        <v>51</v>
      </c>
      <c r="J255" t="s">
        <v>1415</v>
      </c>
      <c r="K255" t="s">
        <v>32</v>
      </c>
      <c r="L255" t="s">
        <v>32</v>
      </c>
      <c r="M255" t="s">
        <v>36</v>
      </c>
      <c r="N255" t="s">
        <v>37</v>
      </c>
      <c r="O255" t="s">
        <v>66</v>
      </c>
      <c r="P255" t="s">
        <v>66</v>
      </c>
      <c r="Q255" t="s">
        <v>57</v>
      </c>
      <c r="R255" t="s">
        <v>1417</v>
      </c>
      <c r="S255" t="s">
        <v>32</v>
      </c>
      <c r="T255" s="2">
        <v>117.072187</v>
      </c>
      <c r="U255" s="2">
        <v>39.19466</v>
      </c>
    </row>
    <row r="256" spans="1:21">
      <c r="A256" t="s">
        <v>1418</v>
      </c>
      <c r="B256" t="s">
        <v>1419</v>
      </c>
      <c r="C256" t="s">
        <v>1420</v>
      </c>
      <c r="D256" t="s">
        <v>1421</v>
      </c>
      <c r="E256" t="s">
        <v>1422</v>
      </c>
      <c r="F256" t="s">
        <v>7</v>
      </c>
      <c r="G256" t="s">
        <v>7</v>
      </c>
      <c r="H256" t="s">
        <v>73</v>
      </c>
      <c r="I256" t="s">
        <v>51</v>
      </c>
      <c r="J256" t="s">
        <v>1421</v>
      </c>
      <c r="K256" t="s">
        <v>85</v>
      </c>
      <c r="L256" t="s">
        <v>65</v>
      </c>
      <c r="M256" t="s">
        <v>36</v>
      </c>
      <c r="N256" t="s">
        <v>37</v>
      </c>
      <c r="O256" t="s">
        <v>66</v>
      </c>
      <c r="P256" t="s">
        <v>66</v>
      </c>
      <c r="Q256" t="s">
        <v>45</v>
      </c>
      <c r="R256" t="s">
        <v>1423</v>
      </c>
      <c r="S256" t="s">
        <v>32</v>
      </c>
      <c r="T256" s="2">
        <v>117.284831</v>
      </c>
      <c r="U256" s="2">
        <v>39.111015</v>
      </c>
    </row>
    <row r="257" spans="1:21">
      <c r="A257" t="s">
        <v>1424</v>
      </c>
      <c r="B257" t="s">
        <v>30</v>
      </c>
      <c r="C257" t="s">
        <v>1425</v>
      </c>
      <c r="D257" t="s">
        <v>1426</v>
      </c>
      <c r="E257" t="s">
        <v>1427</v>
      </c>
      <c r="F257" t="s">
        <v>7</v>
      </c>
      <c r="G257" t="s">
        <v>7</v>
      </c>
      <c r="H257" t="s">
        <v>43</v>
      </c>
      <c r="I257" t="s">
        <v>51</v>
      </c>
      <c r="J257" t="s">
        <v>1426</v>
      </c>
      <c r="K257" t="s">
        <v>85</v>
      </c>
      <c r="L257" t="s">
        <v>595</v>
      </c>
      <c r="M257" t="s">
        <v>36</v>
      </c>
      <c r="N257" t="s">
        <v>37</v>
      </c>
      <c r="O257" t="s">
        <v>66</v>
      </c>
      <c r="P257" t="s">
        <v>66</v>
      </c>
      <c r="Q257" t="s">
        <v>45</v>
      </c>
      <c r="R257" t="s">
        <v>1428</v>
      </c>
      <c r="S257" t="s">
        <v>32</v>
      </c>
      <c r="T257" s="2">
        <v>117.096516</v>
      </c>
      <c r="U257" s="2">
        <v>39.109734</v>
      </c>
    </row>
    <row r="258" spans="1:21">
      <c r="A258" t="s">
        <v>1429</v>
      </c>
      <c r="B258" t="s">
        <v>30</v>
      </c>
      <c r="C258" t="s">
        <v>1430</v>
      </c>
      <c r="D258" t="s">
        <v>1431</v>
      </c>
      <c r="E258" t="s">
        <v>1432</v>
      </c>
      <c r="F258" t="s">
        <v>7</v>
      </c>
      <c r="G258" t="s">
        <v>7</v>
      </c>
      <c r="H258" t="s">
        <v>73</v>
      </c>
      <c r="I258" t="s">
        <v>51</v>
      </c>
      <c r="J258" t="s">
        <v>1431</v>
      </c>
      <c r="K258" t="s">
        <v>85</v>
      </c>
      <c r="L258" t="s">
        <v>65</v>
      </c>
      <c r="M258" t="s">
        <v>36</v>
      </c>
      <c r="N258" t="s">
        <v>37</v>
      </c>
      <c r="O258" t="s">
        <v>66</v>
      </c>
      <c r="P258" t="s">
        <v>66</v>
      </c>
      <c r="Q258" t="s">
        <v>45</v>
      </c>
      <c r="R258" t="s">
        <v>1433</v>
      </c>
      <c r="S258" t="s">
        <v>32</v>
      </c>
      <c r="T258" s="2">
        <v>117.292053</v>
      </c>
      <c r="U258" s="2">
        <v>39.208027</v>
      </c>
    </row>
    <row r="259" spans="1:21">
      <c r="A259" t="s">
        <v>1434</v>
      </c>
      <c r="B259" t="s">
        <v>30</v>
      </c>
      <c r="C259" t="s">
        <v>1435</v>
      </c>
      <c r="D259" t="s">
        <v>1436</v>
      </c>
      <c r="E259" t="s">
        <v>1437</v>
      </c>
      <c r="F259" t="s">
        <v>7</v>
      </c>
      <c r="G259" t="s">
        <v>7</v>
      </c>
      <c r="H259" t="s">
        <v>56</v>
      </c>
      <c r="I259" t="s">
        <v>154</v>
      </c>
      <c r="J259" t="s">
        <v>1436</v>
      </c>
      <c r="K259" t="s">
        <v>1438</v>
      </c>
      <c r="L259" t="s">
        <v>65</v>
      </c>
      <c r="M259" t="s">
        <v>36</v>
      </c>
      <c r="N259" t="s">
        <v>37</v>
      </c>
      <c r="O259" t="s">
        <v>66</v>
      </c>
      <c r="P259" t="s">
        <v>66</v>
      </c>
      <c r="Q259" t="s">
        <v>74</v>
      </c>
      <c r="R259" t="s">
        <v>1439</v>
      </c>
      <c r="S259" t="s">
        <v>32</v>
      </c>
      <c r="T259" s="2">
        <v>117.270695</v>
      </c>
      <c r="U259" s="2">
        <v>39.238385</v>
      </c>
    </row>
    <row r="260" spans="1:21">
      <c r="A260" t="s">
        <v>1440</v>
      </c>
      <c r="B260" t="s">
        <v>30</v>
      </c>
      <c r="C260" t="s">
        <v>1441</v>
      </c>
      <c r="D260" t="s">
        <v>1442</v>
      </c>
      <c r="E260" t="s">
        <v>1443</v>
      </c>
      <c r="F260" t="s">
        <v>7</v>
      </c>
      <c r="G260" t="s">
        <v>7</v>
      </c>
      <c r="H260" t="s">
        <v>43</v>
      </c>
      <c r="I260" t="s">
        <v>51</v>
      </c>
      <c r="J260" t="s">
        <v>1442</v>
      </c>
      <c r="K260" t="s">
        <v>85</v>
      </c>
      <c r="L260" t="s">
        <v>65</v>
      </c>
      <c r="M260" t="s">
        <v>36</v>
      </c>
      <c r="N260" t="s">
        <v>37</v>
      </c>
      <c r="O260" t="s">
        <v>66</v>
      </c>
      <c r="P260" t="s">
        <v>66</v>
      </c>
      <c r="Q260" t="s">
        <v>45</v>
      </c>
      <c r="R260" t="s">
        <v>1444</v>
      </c>
      <c r="S260" t="s">
        <v>32</v>
      </c>
      <c r="T260" s="2">
        <v>117.040642</v>
      </c>
      <c r="U260" s="2">
        <v>39.077511</v>
      </c>
    </row>
    <row r="261" spans="1:21">
      <c r="A261" t="s">
        <v>1445</v>
      </c>
      <c r="B261" t="s">
        <v>30</v>
      </c>
      <c r="C261" t="s">
        <v>1446</v>
      </c>
      <c r="D261" t="s">
        <v>1447</v>
      </c>
      <c r="E261" t="s">
        <v>1448</v>
      </c>
      <c r="F261" t="s">
        <v>7</v>
      </c>
      <c r="G261" t="s">
        <v>7</v>
      </c>
      <c r="H261" t="s">
        <v>43</v>
      </c>
      <c r="I261" t="s">
        <v>245</v>
      </c>
      <c r="J261" t="s">
        <v>1447</v>
      </c>
      <c r="K261" t="s">
        <v>1449</v>
      </c>
      <c r="L261" t="s">
        <v>65</v>
      </c>
      <c r="M261" t="s">
        <v>36</v>
      </c>
      <c r="N261" t="s">
        <v>37</v>
      </c>
      <c r="O261" t="s">
        <v>66</v>
      </c>
      <c r="P261" t="s">
        <v>66</v>
      </c>
      <c r="Q261" t="s">
        <v>45</v>
      </c>
      <c r="R261" t="s">
        <v>1450</v>
      </c>
      <c r="S261" t="s">
        <v>32</v>
      </c>
      <c r="T261" s="2">
        <v>117.021247</v>
      </c>
      <c r="U261" s="2">
        <v>39.094617</v>
      </c>
    </row>
    <row r="262" spans="1:21">
      <c r="A262" t="s">
        <v>1451</v>
      </c>
      <c r="B262" t="s">
        <v>30</v>
      </c>
      <c r="C262" t="s">
        <v>1452</v>
      </c>
      <c r="D262" t="s">
        <v>1453</v>
      </c>
      <c r="E262" t="s">
        <v>1454</v>
      </c>
      <c r="F262" t="s">
        <v>7</v>
      </c>
      <c r="G262" t="s">
        <v>7</v>
      </c>
      <c r="H262" t="s">
        <v>43</v>
      </c>
      <c r="I262" t="s">
        <v>154</v>
      </c>
      <c r="J262" t="s">
        <v>1453</v>
      </c>
      <c r="K262" t="s">
        <v>85</v>
      </c>
      <c r="L262" t="s">
        <v>65</v>
      </c>
      <c r="M262" t="s">
        <v>36</v>
      </c>
      <c r="N262" t="s">
        <v>37</v>
      </c>
      <c r="O262" t="s">
        <v>66</v>
      </c>
      <c r="P262" t="s">
        <v>66</v>
      </c>
      <c r="Q262" t="s">
        <v>45</v>
      </c>
      <c r="R262" t="s">
        <v>1455</v>
      </c>
      <c r="S262" t="s">
        <v>32</v>
      </c>
      <c r="T262" s="2">
        <v>117.236342</v>
      </c>
      <c r="U262" s="2">
        <v>39.016138</v>
      </c>
    </row>
    <row r="263" spans="1:21">
      <c r="A263" t="s">
        <v>1456</v>
      </c>
      <c r="B263" t="s">
        <v>30</v>
      </c>
      <c r="C263" t="s">
        <v>1457</v>
      </c>
      <c r="D263" t="s">
        <v>1458</v>
      </c>
      <c r="E263" t="s">
        <v>1459</v>
      </c>
      <c r="F263" t="s">
        <v>7</v>
      </c>
      <c r="G263" t="s">
        <v>7</v>
      </c>
      <c r="H263" t="s">
        <v>56</v>
      </c>
      <c r="I263" t="s">
        <v>51</v>
      </c>
      <c r="J263" t="s">
        <v>1458</v>
      </c>
      <c r="K263" t="s">
        <v>85</v>
      </c>
      <c r="L263" t="s">
        <v>65</v>
      </c>
      <c r="M263" t="s">
        <v>36</v>
      </c>
      <c r="N263" t="s">
        <v>37</v>
      </c>
      <c r="O263" t="s">
        <v>66</v>
      </c>
      <c r="P263" t="s">
        <v>66</v>
      </c>
      <c r="Q263" t="s">
        <v>45</v>
      </c>
      <c r="R263" t="s">
        <v>1460</v>
      </c>
      <c r="S263" t="s">
        <v>32</v>
      </c>
      <c r="T263" s="2">
        <v>117.2097</v>
      </c>
      <c r="U263" s="2">
        <v>39.232303</v>
      </c>
    </row>
    <row r="264" spans="1:21">
      <c r="A264" t="s">
        <v>1461</v>
      </c>
      <c r="B264" t="s">
        <v>30</v>
      </c>
      <c r="C264" t="s">
        <v>1462</v>
      </c>
      <c r="D264" t="s">
        <v>1463</v>
      </c>
      <c r="E264" t="s">
        <v>1464</v>
      </c>
      <c r="F264" t="s">
        <v>7</v>
      </c>
      <c r="G264" t="s">
        <v>7</v>
      </c>
      <c r="H264" t="s">
        <v>56</v>
      </c>
      <c r="I264" t="s">
        <v>51</v>
      </c>
      <c r="J264" t="s">
        <v>1463</v>
      </c>
      <c r="K264" t="s">
        <v>64</v>
      </c>
      <c r="L264" t="s">
        <v>65</v>
      </c>
      <c r="M264" t="s">
        <v>36</v>
      </c>
      <c r="N264" t="s">
        <v>37</v>
      </c>
      <c r="O264" t="s">
        <v>66</v>
      </c>
      <c r="P264" t="s">
        <v>66</v>
      </c>
      <c r="Q264" t="s">
        <v>45</v>
      </c>
      <c r="R264" t="s">
        <v>1465</v>
      </c>
      <c r="S264" t="s">
        <v>32</v>
      </c>
      <c r="T264" s="2">
        <v>117.073958</v>
      </c>
      <c r="U264" s="2">
        <v>39.192412</v>
      </c>
    </row>
    <row r="265" spans="1:21">
      <c r="A265" t="s">
        <v>1466</v>
      </c>
      <c r="B265" t="s">
        <v>30</v>
      </c>
      <c r="C265" t="s">
        <v>1467</v>
      </c>
      <c r="D265" t="s">
        <v>1468</v>
      </c>
      <c r="E265" t="s">
        <v>1469</v>
      </c>
      <c r="F265" t="s">
        <v>7</v>
      </c>
      <c r="G265" t="s">
        <v>7</v>
      </c>
      <c r="H265" t="s">
        <v>43</v>
      </c>
      <c r="I265" t="s">
        <v>51</v>
      </c>
      <c r="J265" t="s">
        <v>1468</v>
      </c>
      <c r="K265" t="s">
        <v>85</v>
      </c>
      <c r="L265" t="s">
        <v>65</v>
      </c>
      <c r="M265" t="s">
        <v>36</v>
      </c>
      <c r="N265" t="s">
        <v>37</v>
      </c>
      <c r="O265" t="s">
        <v>66</v>
      </c>
      <c r="P265" t="s">
        <v>66</v>
      </c>
      <c r="Q265" t="s">
        <v>74</v>
      </c>
      <c r="R265" t="s">
        <v>1023</v>
      </c>
      <c r="S265" t="s">
        <v>32</v>
      </c>
      <c r="T265" s="2">
        <v>117.241989</v>
      </c>
      <c r="U265" s="2">
        <v>39.003834</v>
      </c>
    </row>
    <row r="266" spans="1:21">
      <c r="A266" t="s">
        <v>1470</v>
      </c>
      <c r="B266" t="s">
        <v>30</v>
      </c>
      <c r="C266" t="s">
        <v>1471</v>
      </c>
      <c r="D266" t="s">
        <v>1472</v>
      </c>
      <c r="E266" t="s">
        <v>1473</v>
      </c>
      <c r="F266" t="s">
        <v>7</v>
      </c>
      <c r="G266" t="s">
        <v>7</v>
      </c>
      <c r="H266" t="s">
        <v>63</v>
      </c>
      <c r="I266" t="s">
        <v>51</v>
      </c>
      <c r="J266" t="s">
        <v>1472</v>
      </c>
      <c r="K266" t="s">
        <v>85</v>
      </c>
      <c r="L266" t="s">
        <v>65</v>
      </c>
      <c r="M266" t="s">
        <v>36</v>
      </c>
      <c r="N266" t="s">
        <v>37</v>
      </c>
      <c r="O266" t="s">
        <v>66</v>
      </c>
      <c r="P266" t="s">
        <v>66</v>
      </c>
      <c r="Q266" t="s">
        <v>45</v>
      </c>
      <c r="R266" t="s">
        <v>1474</v>
      </c>
      <c r="S266" t="s">
        <v>32</v>
      </c>
      <c r="T266" s="2">
        <v>117.304493</v>
      </c>
      <c r="U266" s="2">
        <v>39.042192</v>
      </c>
    </row>
    <row r="267" spans="1:21">
      <c r="A267" t="s">
        <v>1475</v>
      </c>
      <c r="B267" t="s">
        <v>30</v>
      </c>
      <c r="C267" t="s">
        <v>1476</v>
      </c>
      <c r="D267" t="s">
        <v>1477</v>
      </c>
      <c r="E267" t="s">
        <v>1478</v>
      </c>
      <c r="F267" t="s">
        <v>7</v>
      </c>
      <c r="G267" t="s">
        <v>7</v>
      </c>
      <c r="H267" t="s">
        <v>56</v>
      </c>
      <c r="I267" t="s">
        <v>51</v>
      </c>
      <c r="J267" t="s">
        <v>1477</v>
      </c>
      <c r="K267" t="s">
        <v>971</v>
      </c>
      <c r="L267" t="s">
        <v>65</v>
      </c>
      <c r="M267" t="s">
        <v>36</v>
      </c>
      <c r="N267" t="s">
        <v>37</v>
      </c>
      <c r="O267" t="s">
        <v>66</v>
      </c>
      <c r="P267" t="s">
        <v>66</v>
      </c>
      <c r="Q267" t="s">
        <v>45</v>
      </c>
      <c r="R267" t="s">
        <v>1479</v>
      </c>
      <c r="S267" t="s">
        <v>32</v>
      </c>
      <c r="T267" s="2">
        <v>117.173526</v>
      </c>
      <c r="U267" s="2">
        <v>39.251832</v>
      </c>
    </row>
    <row r="268" spans="1:21">
      <c r="A268" t="s">
        <v>1480</v>
      </c>
      <c r="B268" t="s">
        <v>30</v>
      </c>
      <c r="C268" t="s">
        <v>1481</v>
      </c>
      <c r="D268" t="s">
        <v>1482</v>
      </c>
      <c r="E268" t="s">
        <v>1483</v>
      </c>
      <c r="F268" t="s">
        <v>7</v>
      </c>
      <c r="G268" t="s">
        <v>7</v>
      </c>
      <c r="H268" t="s">
        <v>146</v>
      </c>
      <c r="I268" t="s">
        <v>51</v>
      </c>
      <c r="J268" t="s">
        <v>1482</v>
      </c>
      <c r="K268" t="s">
        <v>182</v>
      </c>
      <c r="L268" t="s">
        <v>65</v>
      </c>
      <c r="M268" t="s">
        <v>36</v>
      </c>
      <c r="N268" t="s">
        <v>37</v>
      </c>
      <c r="O268" t="s">
        <v>66</v>
      </c>
      <c r="P268" t="s">
        <v>66</v>
      </c>
      <c r="Q268" t="s">
        <v>45</v>
      </c>
      <c r="R268" t="s">
        <v>1484</v>
      </c>
      <c r="S268" t="s">
        <v>32</v>
      </c>
      <c r="T268" s="2">
        <v>117.127695</v>
      </c>
      <c r="U268" s="2">
        <v>39.094457</v>
      </c>
    </row>
    <row r="269" spans="1:21">
      <c r="A269" t="s">
        <v>1485</v>
      </c>
      <c r="B269" t="s">
        <v>30</v>
      </c>
      <c r="C269" t="s">
        <v>1486</v>
      </c>
      <c r="D269" t="s">
        <v>1487</v>
      </c>
      <c r="E269" t="s">
        <v>1488</v>
      </c>
      <c r="F269" t="s">
        <v>7</v>
      </c>
      <c r="G269" t="s">
        <v>7</v>
      </c>
      <c r="H269" t="s">
        <v>73</v>
      </c>
      <c r="I269" t="s">
        <v>51</v>
      </c>
      <c r="J269" t="s">
        <v>1487</v>
      </c>
      <c r="K269" t="s">
        <v>85</v>
      </c>
      <c r="L269" t="s">
        <v>65</v>
      </c>
      <c r="M269" t="s">
        <v>36</v>
      </c>
      <c r="N269" t="s">
        <v>37</v>
      </c>
      <c r="O269" t="s">
        <v>66</v>
      </c>
      <c r="P269" t="s">
        <v>66</v>
      </c>
      <c r="Q269" t="s">
        <v>74</v>
      </c>
      <c r="R269" t="s">
        <v>1489</v>
      </c>
      <c r="S269" t="s">
        <v>32</v>
      </c>
      <c r="T269" s="2">
        <v>117.334484</v>
      </c>
      <c r="U269" s="2">
        <v>39.114098</v>
      </c>
    </row>
    <row r="270" spans="1:21">
      <c r="A270" t="s">
        <v>1490</v>
      </c>
      <c r="B270" t="s">
        <v>30</v>
      </c>
      <c r="C270" t="s">
        <v>1491</v>
      </c>
      <c r="D270" t="s">
        <v>1492</v>
      </c>
      <c r="E270" t="s">
        <v>1493</v>
      </c>
      <c r="F270" t="s">
        <v>7</v>
      </c>
      <c r="G270" t="s">
        <v>7</v>
      </c>
      <c r="H270" t="s">
        <v>146</v>
      </c>
      <c r="I270" t="s">
        <v>51</v>
      </c>
      <c r="J270" t="s">
        <v>1492</v>
      </c>
      <c r="K270" t="s">
        <v>797</v>
      </c>
      <c r="L270" t="s">
        <v>65</v>
      </c>
      <c r="M270" t="s">
        <v>36</v>
      </c>
      <c r="N270" t="s">
        <v>37</v>
      </c>
      <c r="O270" t="s">
        <v>66</v>
      </c>
      <c r="P270" t="s">
        <v>66</v>
      </c>
      <c r="Q270" t="s">
        <v>45</v>
      </c>
      <c r="R270" t="s">
        <v>1494</v>
      </c>
      <c r="S270" t="s">
        <v>32</v>
      </c>
      <c r="T270" s="2">
        <v>117.206477</v>
      </c>
      <c r="U270" s="2">
        <v>39.114678</v>
      </c>
    </row>
    <row r="271" spans="1:21">
      <c r="A271" t="s">
        <v>1495</v>
      </c>
      <c r="B271" t="s">
        <v>30</v>
      </c>
      <c r="C271" t="s">
        <v>1496</v>
      </c>
      <c r="D271" t="s">
        <v>1497</v>
      </c>
      <c r="E271" t="s">
        <v>1498</v>
      </c>
      <c r="F271" t="s">
        <v>7</v>
      </c>
      <c r="G271" t="s">
        <v>7</v>
      </c>
      <c r="H271" t="s">
        <v>320</v>
      </c>
      <c r="I271" t="s">
        <v>51</v>
      </c>
      <c r="J271" t="s">
        <v>1497</v>
      </c>
      <c r="K271" t="s">
        <v>85</v>
      </c>
      <c r="L271" t="s">
        <v>65</v>
      </c>
      <c r="M271" t="s">
        <v>36</v>
      </c>
      <c r="N271" t="s">
        <v>37</v>
      </c>
      <c r="O271" t="s">
        <v>66</v>
      </c>
      <c r="P271" t="s">
        <v>66</v>
      </c>
      <c r="Q271" t="s">
        <v>74</v>
      </c>
      <c r="R271" t="s">
        <v>1499</v>
      </c>
      <c r="S271" t="s">
        <v>32</v>
      </c>
      <c r="T271" s="2">
        <v>117.055884</v>
      </c>
      <c r="U271" s="2">
        <v>39.112789</v>
      </c>
    </row>
    <row r="272" spans="1:21">
      <c r="A272" t="s">
        <v>1500</v>
      </c>
      <c r="B272" t="s">
        <v>30</v>
      </c>
      <c r="C272" t="s">
        <v>1501</v>
      </c>
      <c r="D272" t="s">
        <v>1502</v>
      </c>
      <c r="E272" t="s">
        <v>1503</v>
      </c>
      <c r="F272" t="s">
        <v>7</v>
      </c>
      <c r="G272" t="s">
        <v>7</v>
      </c>
      <c r="H272" t="s">
        <v>56</v>
      </c>
      <c r="I272" t="s">
        <v>51</v>
      </c>
      <c r="J272" t="s">
        <v>1502</v>
      </c>
      <c r="K272" t="s">
        <v>85</v>
      </c>
      <c r="L272" t="s">
        <v>65</v>
      </c>
      <c r="M272" t="s">
        <v>36</v>
      </c>
      <c r="N272" t="s">
        <v>37</v>
      </c>
      <c r="O272" t="s">
        <v>66</v>
      </c>
      <c r="P272" t="s">
        <v>66</v>
      </c>
      <c r="Q272" t="s">
        <v>45</v>
      </c>
      <c r="R272" t="s">
        <v>1504</v>
      </c>
      <c r="S272" t="s">
        <v>32</v>
      </c>
      <c r="T272" s="2">
        <v>117.04143</v>
      </c>
      <c r="U272" s="2">
        <v>39.208884</v>
      </c>
    </row>
    <row r="273" spans="1:21">
      <c r="A273" t="s">
        <v>1505</v>
      </c>
      <c r="B273" t="s">
        <v>30</v>
      </c>
      <c r="C273" t="s">
        <v>1506</v>
      </c>
      <c r="D273" t="s">
        <v>1507</v>
      </c>
      <c r="E273" t="s">
        <v>1508</v>
      </c>
      <c r="F273" t="s">
        <v>7</v>
      </c>
      <c r="G273" t="s">
        <v>7</v>
      </c>
      <c r="H273" t="s">
        <v>50</v>
      </c>
      <c r="I273" t="s">
        <v>154</v>
      </c>
      <c r="J273" t="s">
        <v>1507</v>
      </c>
      <c r="K273" t="s">
        <v>85</v>
      </c>
      <c r="L273" t="s">
        <v>65</v>
      </c>
      <c r="M273" t="s">
        <v>36</v>
      </c>
      <c r="N273" t="s">
        <v>37</v>
      </c>
      <c r="O273" t="s">
        <v>66</v>
      </c>
      <c r="P273" t="s">
        <v>66</v>
      </c>
      <c r="Q273" t="s">
        <v>45</v>
      </c>
      <c r="R273" t="s">
        <v>1509</v>
      </c>
      <c r="S273" t="s">
        <v>32</v>
      </c>
      <c r="T273" s="2">
        <v>117.249003</v>
      </c>
      <c r="U273" s="2">
        <v>39.064529</v>
      </c>
    </row>
    <row r="274" spans="1:21">
      <c r="A274" t="s">
        <v>1510</v>
      </c>
      <c r="B274" t="s">
        <v>30</v>
      </c>
      <c r="C274" t="s">
        <v>1511</v>
      </c>
      <c r="D274" t="s">
        <v>1512</v>
      </c>
      <c r="E274" t="s">
        <v>1513</v>
      </c>
      <c r="F274" t="s">
        <v>7</v>
      </c>
      <c r="G274" t="s">
        <v>7</v>
      </c>
      <c r="H274" t="s">
        <v>146</v>
      </c>
      <c r="I274" t="s">
        <v>154</v>
      </c>
      <c r="J274" t="s">
        <v>1512</v>
      </c>
      <c r="K274" t="s">
        <v>85</v>
      </c>
      <c r="L274" t="s">
        <v>65</v>
      </c>
      <c r="M274" t="s">
        <v>36</v>
      </c>
      <c r="N274" t="s">
        <v>37</v>
      </c>
      <c r="O274" t="s">
        <v>66</v>
      </c>
      <c r="P274" t="s">
        <v>66</v>
      </c>
      <c r="Q274" t="s">
        <v>45</v>
      </c>
      <c r="R274" t="s">
        <v>1514</v>
      </c>
      <c r="S274" t="s">
        <v>32</v>
      </c>
      <c r="T274" s="2">
        <v>117.249363</v>
      </c>
      <c r="U274" s="2">
        <v>39.06025</v>
      </c>
    </row>
    <row r="275" spans="1:21">
      <c r="A275" t="s">
        <v>1515</v>
      </c>
      <c r="B275" t="s">
        <v>30</v>
      </c>
      <c r="C275" t="s">
        <v>267</v>
      </c>
      <c r="D275" t="s">
        <v>1516</v>
      </c>
      <c r="E275" t="s">
        <v>1517</v>
      </c>
      <c r="F275" t="s">
        <v>7</v>
      </c>
      <c r="G275" t="s">
        <v>7</v>
      </c>
      <c r="H275" t="s">
        <v>262</v>
      </c>
      <c r="I275" t="s">
        <v>51</v>
      </c>
      <c r="J275" t="s">
        <v>1516</v>
      </c>
      <c r="K275" t="s">
        <v>85</v>
      </c>
      <c r="L275" t="s">
        <v>65</v>
      </c>
      <c r="M275" t="s">
        <v>36</v>
      </c>
      <c r="N275" t="s">
        <v>37</v>
      </c>
      <c r="O275" t="s">
        <v>66</v>
      </c>
      <c r="P275" t="s">
        <v>66</v>
      </c>
      <c r="Q275" t="s">
        <v>45</v>
      </c>
      <c r="R275" t="s">
        <v>1518</v>
      </c>
      <c r="S275" t="s">
        <v>32</v>
      </c>
      <c r="T275" s="2">
        <v>117.22413</v>
      </c>
      <c r="U275" s="2">
        <v>39.148546</v>
      </c>
    </row>
    <row r="276" spans="1:21">
      <c r="A276" t="s">
        <v>1519</v>
      </c>
      <c r="B276" t="s">
        <v>30</v>
      </c>
      <c r="C276" t="s">
        <v>1520</v>
      </c>
      <c r="D276" t="s">
        <v>1521</v>
      </c>
      <c r="E276" t="s">
        <v>1522</v>
      </c>
      <c r="F276" t="s">
        <v>7</v>
      </c>
      <c r="G276" t="s">
        <v>7</v>
      </c>
      <c r="H276" t="s">
        <v>56</v>
      </c>
      <c r="I276" t="s">
        <v>51</v>
      </c>
      <c r="J276" t="s">
        <v>1521</v>
      </c>
      <c r="K276" t="s">
        <v>1523</v>
      </c>
      <c r="L276" t="s">
        <v>65</v>
      </c>
      <c r="M276" t="s">
        <v>36</v>
      </c>
      <c r="N276" t="s">
        <v>37</v>
      </c>
      <c r="O276" t="s">
        <v>66</v>
      </c>
      <c r="P276" t="s">
        <v>66</v>
      </c>
      <c r="Q276" t="s">
        <v>74</v>
      </c>
      <c r="R276" t="s">
        <v>1524</v>
      </c>
      <c r="S276" t="s">
        <v>32</v>
      </c>
      <c r="T276" s="2">
        <v>117.026366</v>
      </c>
      <c r="U276" s="2">
        <v>39.228306</v>
      </c>
    </row>
    <row r="277" spans="1:21">
      <c r="A277" t="s">
        <v>1525</v>
      </c>
      <c r="B277" t="s">
        <v>30</v>
      </c>
      <c r="C277" t="s">
        <v>1526</v>
      </c>
      <c r="D277" t="s">
        <v>1527</v>
      </c>
      <c r="E277" t="s">
        <v>1528</v>
      </c>
      <c r="F277" t="s">
        <v>7</v>
      </c>
      <c r="G277" t="s">
        <v>7</v>
      </c>
      <c r="H277" t="s">
        <v>56</v>
      </c>
      <c r="I277" t="s">
        <v>154</v>
      </c>
      <c r="J277" t="s">
        <v>1527</v>
      </c>
      <c r="K277" t="s">
        <v>85</v>
      </c>
      <c r="L277" t="s">
        <v>65</v>
      </c>
      <c r="M277" t="s">
        <v>36</v>
      </c>
      <c r="N277" t="s">
        <v>37</v>
      </c>
      <c r="O277" t="s">
        <v>66</v>
      </c>
      <c r="P277" t="s">
        <v>66</v>
      </c>
      <c r="Q277" t="s">
        <v>45</v>
      </c>
      <c r="R277" t="s">
        <v>1529</v>
      </c>
      <c r="S277" t="s">
        <v>32</v>
      </c>
      <c r="T277" s="2">
        <v>117.264526</v>
      </c>
      <c r="U277" s="2">
        <v>39.234648</v>
      </c>
    </row>
    <row r="278" spans="1:21">
      <c r="A278" t="s">
        <v>1530</v>
      </c>
      <c r="B278" t="s">
        <v>30</v>
      </c>
      <c r="C278" t="s">
        <v>1531</v>
      </c>
      <c r="D278" t="s">
        <v>1532</v>
      </c>
      <c r="E278" t="s">
        <v>1533</v>
      </c>
      <c r="F278" t="s">
        <v>7</v>
      </c>
      <c r="G278" t="s">
        <v>7</v>
      </c>
      <c r="H278" t="s">
        <v>133</v>
      </c>
      <c r="I278" t="s">
        <v>51</v>
      </c>
      <c r="J278" t="s">
        <v>1532</v>
      </c>
      <c r="K278" t="s">
        <v>85</v>
      </c>
      <c r="L278" t="s">
        <v>65</v>
      </c>
      <c r="M278" t="s">
        <v>36</v>
      </c>
      <c r="N278" t="s">
        <v>37</v>
      </c>
      <c r="O278" t="s">
        <v>66</v>
      </c>
      <c r="P278" t="s">
        <v>66</v>
      </c>
      <c r="Q278" t="s">
        <v>45</v>
      </c>
      <c r="R278" t="s">
        <v>1534</v>
      </c>
      <c r="S278" t="s">
        <v>32</v>
      </c>
      <c r="T278" s="2">
        <v>117.157279</v>
      </c>
      <c r="U278" s="2">
        <v>39.183163</v>
      </c>
    </row>
    <row r="279" spans="1:21">
      <c r="A279" t="s">
        <v>1535</v>
      </c>
      <c r="B279" t="s">
        <v>30</v>
      </c>
      <c r="C279" t="s">
        <v>1536</v>
      </c>
      <c r="D279" t="s">
        <v>1537</v>
      </c>
      <c r="E279" t="s">
        <v>1538</v>
      </c>
      <c r="F279" t="s">
        <v>7</v>
      </c>
      <c r="G279" t="s">
        <v>7</v>
      </c>
      <c r="H279" t="s">
        <v>105</v>
      </c>
      <c r="I279" t="s">
        <v>51</v>
      </c>
      <c r="J279" t="s">
        <v>1537</v>
      </c>
      <c r="K279" t="s">
        <v>85</v>
      </c>
      <c r="L279" t="s">
        <v>65</v>
      </c>
      <c r="M279" t="s">
        <v>36</v>
      </c>
      <c r="N279" t="s">
        <v>37</v>
      </c>
      <c r="O279" t="s">
        <v>66</v>
      </c>
      <c r="P279" t="s">
        <v>66</v>
      </c>
      <c r="Q279" t="s">
        <v>45</v>
      </c>
      <c r="R279" t="s">
        <v>1539</v>
      </c>
      <c r="S279" t="s">
        <v>32</v>
      </c>
      <c r="T279" s="2">
        <v>117.247176</v>
      </c>
      <c r="U279" s="2">
        <v>39.110012</v>
      </c>
    </row>
    <row r="280" spans="1:21">
      <c r="A280" t="s">
        <v>1540</v>
      </c>
      <c r="B280" t="s">
        <v>30</v>
      </c>
      <c r="C280" t="s">
        <v>1541</v>
      </c>
      <c r="D280" t="s">
        <v>1542</v>
      </c>
      <c r="E280" t="s">
        <v>1543</v>
      </c>
      <c r="F280" t="s">
        <v>7</v>
      </c>
      <c r="G280" t="s">
        <v>7</v>
      </c>
      <c r="H280" t="s">
        <v>34</v>
      </c>
      <c r="I280" t="s">
        <v>51</v>
      </c>
      <c r="J280" t="s">
        <v>1542</v>
      </c>
      <c r="K280" t="s">
        <v>85</v>
      </c>
      <c r="L280" t="s">
        <v>65</v>
      </c>
      <c r="M280" t="s">
        <v>36</v>
      </c>
      <c r="N280" t="s">
        <v>37</v>
      </c>
      <c r="O280" t="s">
        <v>66</v>
      </c>
      <c r="P280" t="s">
        <v>66</v>
      </c>
      <c r="Q280" t="s">
        <v>45</v>
      </c>
      <c r="R280" t="s">
        <v>1544</v>
      </c>
      <c r="S280" t="s">
        <v>32</v>
      </c>
      <c r="T280" s="2">
        <v>117.12847</v>
      </c>
      <c r="U280" s="2">
        <v>39.123165</v>
      </c>
    </row>
    <row r="281" spans="1:21">
      <c r="A281" t="s">
        <v>1545</v>
      </c>
      <c r="B281" t="s">
        <v>30</v>
      </c>
      <c r="C281" t="s">
        <v>1531</v>
      </c>
      <c r="D281" t="s">
        <v>1546</v>
      </c>
      <c r="E281" t="s">
        <v>1547</v>
      </c>
      <c r="F281" t="s">
        <v>7</v>
      </c>
      <c r="G281" t="s">
        <v>7</v>
      </c>
      <c r="H281" t="s">
        <v>43</v>
      </c>
      <c r="I281" t="s">
        <v>51</v>
      </c>
      <c r="J281" t="s">
        <v>1546</v>
      </c>
      <c r="K281" t="s">
        <v>85</v>
      </c>
      <c r="L281" t="s">
        <v>65</v>
      </c>
      <c r="M281" t="s">
        <v>36</v>
      </c>
      <c r="N281" t="s">
        <v>37</v>
      </c>
      <c r="O281" t="s">
        <v>66</v>
      </c>
      <c r="P281" t="s">
        <v>66</v>
      </c>
      <c r="Q281" t="s">
        <v>45</v>
      </c>
      <c r="R281" t="s">
        <v>1548</v>
      </c>
      <c r="S281" t="s">
        <v>32</v>
      </c>
      <c r="T281" s="2">
        <v>117.00715</v>
      </c>
      <c r="U281" s="2">
        <v>39.110544</v>
      </c>
    </row>
    <row r="282" spans="1:21">
      <c r="A282" t="s">
        <v>1549</v>
      </c>
      <c r="B282" t="s">
        <v>30</v>
      </c>
      <c r="C282" t="s">
        <v>1550</v>
      </c>
      <c r="D282" t="s">
        <v>1551</v>
      </c>
      <c r="E282" t="s">
        <v>1552</v>
      </c>
      <c r="F282" t="s">
        <v>7</v>
      </c>
      <c r="G282" t="s">
        <v>7</v>
      </c>
      <c r="H282" t="s">
        <v>43</v>
      </c>
      <c r="I282" t="s">
        <v>51</v>
      </c>
      <c r="J282" t="s">
        <v>1551</v>
      </c>
      <c r="K282" t="s">
        <v>977</v>
      </c>
      <c r="L282" t="s">
        <v>65</v>
      </c>
      <c r="M282" t="s">
        <v>36</v>
      </c>
      <c r="N282" t="s">
        <v>37</v>
      </c>
      <c r="O282" t="s">
        <v>66</v>
      </c>
      <c r="P282" t="s">
        <v>66</v>
      </c>
      <c r="Q282" t="s">
        <v>74</v>
      </c>
      <c r="R282" t="s">
        <v>1553</v>
      </c>
      <c r="S282" t="s">
        <v>32</v>
      </c>
      <c r="T282" s="2">
        <v>117.090954</v>
      </c>
      <c r="U282" s="2">
        <v>39.1457</v>
      </c>
    </row>
    <row r="283" spans="1:21">
      <c r="A283" t="s">
        <v>1554</v>
      </c>
      <c r="B283" t="s">
        <v>30</v>
      </c>
      <c r="C283" t="s">
        <v>1555</v>
      </c>
      <c r="D283" t="s">
        <v>1556</v>
      </c>
      <c r="E283" t="s">
        <v>1557</v>
      </c>
      <c r="F283" t="s">
        <v>7</v>
      </c>
      <c r="G283" t="s">
        <v>7</v>
      </c>
      <c r="H283" t="s">
        <v>43</v>
      </c>
      <c r="I283" t="s">
        <v>44</v>
      </c>
      <c r="J283" t="s">
        <v>1556</v>
      </c>
      <c r="K283" t="s">
        <v>918</v>
      </c>
      <c r="L283" t="s">
        <v>65</v>
      </c>
      <c r="M283" t="s">
        <v>36</v>
      </c>
      <c r="N283" t="s">
        <v>37</v>
      </c>
      <c r="O283" t="s">
        <v>66</v>
      </c>
      <c r="P283" t="s">
        <v>66</v>
      </c>
      <c r="Q283" t="s">
        <v>45</v>
      </c>
      <c r="R283" t="s">
        <v>1558</v>
      </c>
      <c r="S283" t="s">
        <v>32</v>
      </c>
      <c r="T283" s="2">
        <v>117.033564</v>
      </c>
      <c r="U283" s="2">
        <v>39.14128</v>
      </c>
    </row>
    <row r="284" spans="1:21">
      <c r="A284" t="s">
        <v>1559</v>
      </c>
      <c r="B284" t="s">
        <v>30</v>
      </c>
      <c r="C284" t="s">
        <v>1560</v>
      </c>
      <c r="D284" t="s">
        <v>1561</v>
      </c>
      <c r="E284" t="s">
        <v>1562</v>
      </c>
      <c r="F284" t="s">
        <v>7</v>
      </c>
      <c r="G284" t="s">
        <v>7</v>
      </c>
      <c r="H284" t="s">
        <v>50</v>
      </c>
      <c r="I284" t="s">
        <v>51</v>
      </c>
      <c r="J284" t="s">
        <v>1561</v>
      </c>
      <c r="K284" t="s">
        <v>85</v>
      </c>
      <c r="L284" t="s">
        <v>65</v>
      </c>
      <c r="M284" t="s">
        <v>36</v>
      </c>
      <c r="N284" t="s">
        <v>37</v>
      </c>
      <c r="O284" t="s">
        <v>66</v>
      </c>
      <c r="P284" t="s">
        <v>66</v>
      </c>
      <c r="Q284" t="s">
        <v>45</v>
      </c>
      <c r="R284" t="s">
        <v>1563</v>
      </c>
      <c r="S284" t="s">
        <v>32</v>
      </c>
      <c r="T284" s="2">
        <v>117.234995</v>
      </c>
      <c r="U284" s="2">
        <v>39.093835</v>
      </c>
    </row>
    <row r="285" spans="1:21">
      <c r="A285" t="s">
        <v>1564</v>
      </c>
      <c r="B285" t="s">
        <v>30</v>
      </c>
      <c r="C285" t="s">
        <v>1565</v>
      </c>
      <c r="D285" t="s">
        <v>1566</v>
      </c>
      <c r="E285" t="s">
        <v>1567</v>
      </c>
      <c r="F285" t="s">
        <v>7</v>
      </c>
      <c r="G285" t="s">
        <v>7</v>
      </c>
      <c r="H285" t="s">
        <v>56</v>
      </c>
      <c r="I285" t="s">
        <v>51</v>
      </c>
      <c r="J285" t="s">
        <v>1566</v>
      </c>
      <c r="K285" t="s">
        <v>85</v>
      </c>
      <c r="L285" t="s">
        <v>65</v>
      </c>
      <c r="M285" t="s">
        <v>36</v>
      </c>
      <c r="N285" t="s">
        <v>37</v>
      </c>
      <c r="O285" t="s">
        <v>66</v>
      </c>
      <c r="P285" t="s">
        <v>66</v>
      </c>
      <c r="Q285" t="s">
        <v>45</v>
      </c>
      <c r="R285" t="s">
        <v>1568</v>
      </c>
      <c r="S285" t="s">
        <v>32</v>
      </c>
      <c r="T285" s="2">
        <v>117.013074</v>
      </c>
      <c r="U285" s="2">
        <v>39.193741</v>
      </c>
    </row>
    <row r="286" spans="1:21">
      <c r="A286" t="s">
        <v>1569</v>
      </c>
      <c r="B286" t="s">
        <v>30</v>
      </c>
      <c r="C286" t="s">
        <v>1570</v>
      </c>
      <c r="D286" t="s">
        <v>1571</v>
      </c>
      <c r="E286" t="s">
        <v>1572</v>
      </c>
      <c r="F286" t="s">
        <v>7</v>
      </c>
      <c r="G286" t="s">
        <v>7</v>
      </c>
      <c r="H286" t="s">
        <v>43</v>
      </c>
      <c r="I286" t="s">
        <v>51</v>
      </c>
      <c r="J286" t="s">
        <v>1571</v>
      </c>
      <c r="K286" t="s">
        <v>85</v>
      </c>
      <c r="L286" t="s">
        <v>65</v>
      </c>
      <c r="M286" t="s">
        <v>36</v>
      </c>
      <c r="N286" t="s">
        <v>37</v>
      </c>
      <c r="O286" t="s">
        <v>66</v>
      </c>
      <c r="P286" t="s">
        <v>66</v>
      </c>
      <c r="Q286" t="s">
        <v>45</v>
      </c>
      <c r="R286" t="s">
        <v>1573</v>
      </c>
      <c r="S286" t="s">
        <v>32</v>
      </c>
      <c r="T286" s="2">
        <v>117.065621</v>
      </c>
      <c r="U286" s="2">
        <v>39.069122</v>
      </c>
    </row>
    <row r="287" spans="1:21">
      <c r="A287" t="s">
        <v>1574</v>
      </c>
      <c r="B287" t="s">
        <v>30</v>
      </c>
      <c r="C287" t="s">
        <v>1575</v>
      </c>
      <c r="D287" t="s">
        <v>1576</v>
      </c>
      <c r="E287" t="s">
        <v>1577</v>
      </c>
      <c r="F287" t="s">
        <v>7</v>
      </c>
      <c r="G287" t="s">
        <v>7</v>
      </c>
      <c r="H287" t="s">
        <v>105</v>
      </c>
      <c r="I287" t="s">
        <v>51</v>
      </c>
      <c r="J287" t="s">
        <v>1576</v>
      </c>
      <c r="K287" t="s">
        <v>85</v>
      </c>
      <c r="L287" t="s">
        <v>65</v>
      </c>
      <c r="M287" t="s">
        <v>36</v>
      </c>
      <c r="N287" t="s">
        <v>37</v>
      </c>
      <c r="O287" t="s">
        <v>66</v>
      </c>
      <c r="P287" t="s">
        <v>66</v>
      </c>
      <c r="Q287" t="s">
        <v>45</v>
      </c>
      <c r="R287" t="s">
        <v>1578</v>
      </c>
      <c r="S287" t="s">
        <v>32</v>
      </c>
      <c r="T287" s="2">
        <v>117.256897</v>
      </c>
      <c r="U287" s="2">
        <v>39.143308</v>
      </c>
    </row>
    <row r="288" spans="1:21">
      <c r="A288" t="s">
        <v>1579</v>
      </c>
      <c r="B288" t="s">
        <v>30</v>
      </c>
      <c r="C288" t="s">
        <v>1580</v>
      </c>
      <c r="D288" t="s">
        <v>1581</v>
      </c>
      <c r="E288" t="s">
        <v>1582</v>
      </c>
      <c r="F288" t="s">
        <v>7</v>
      </c>
      <c r="G288" t="s">
        <v>7</v>
      </c>
      <c r="H288" t="s">
        <v>43</v>
      </c>
      <c r="I288" t="s">
        <v>51</v>
      </c>
      <c r="J288" t="s">
        <v>1581</v>
      </c>
      <c r="K288" t="s">
        <v>85</v>
      </c>
      <c r="L288" t="s">
        <v>65</v>
      </c>
      <c r="M288" t="s">
        <v>36</v>
      </c>
      <c r="N288" t="s">
        <v>37</v>
      </c>
      <c r="O288" t="s">
        <v>66</v>
      </c>
      <c r="P288" t="s">
        <v>66</v>
      </c>
      <c r="Q288" t="s">
        <v>45</v>
      </c>
      <c r="R288" t="s">
        <v>1583</v>
      </c>
      <c r="S288" t="s">
        <v>32</v>
      </c>
      <c r="T288" s="2">
        <v>117.081354</v>
      </c>
      <c r="U288" s="2">
        <v>39.146609</v>
      </c>
    </row>
    <row r="289" spans="1:21">
      <c r="A289" t="s">
        <v>1584</v>
      </c>
      <c r="B289" t="s">
        <v>30</v>
      </c>
      <c r="C289" t="s">
        <v>1585</v>
      </c>
      <c r="D289" t="s">
        <v>1586</v>
      </c>
      <c r="E289" t="s">
        <v>1587</v>
      </c>
      <c r="F289" t="s">
        <v>7</v>
      </c>
      <c r="G289" t="s">
        <v>7</v>
      </c>
      <c r="H289" t="s">
        <v>43</v>
      </c>
      <c r="I289" t="s">
        <v>51</v>
      </c>
      <c r="J289" t="s">
        <v>1586</v>
      </c>
      <c r="K289" t="s">
        <v>85</v>
      </c>
      <c r="L289" t="s">
        <v>65</v>
      </c>
      <c r="M289" t="s">
        <v>36</v>
      </c>
      <c r="N289" t="s">
        <v>37</v>
      </c>
      <c r="O289" t="s">
        <v>66</v>
      </c>
      <c r="P289" t="s">
        <v>66</v>
      </c>
      <c r="Q289" t="s">
        <v>45</v>
      </c>
      <c r="R289" t="s">
        <v>1588</v>
      </c>
      <c r="S289" t="s">
        <v>32</v>
      </c>
      <c r="T289" s="2">
        <v>117.049707</v>
      </c>
      <c r="U289" s="2">
        <v>39.09685</v>
      </c>
    </row>
    <row r="290" spans="1:21">
      <c r="A290" t="s">
        <v>1589</v>
      </c>
      <c r="B290" t="s">
        <v>30</v>
      </c>
      <c r="C290" t="s">
        <v>1590</v>
      </c>
      <c r="D290" t="s">
        <v>1591</v>
      </c>
      <c r="E290" t="s">
        <v>1592</v>
      </c>
      <c r="F290" t="s">
        <v>7</v>
      </c>
      <c r="G290" t="s">
        <v>7</v>
      </c>
      <c r="H290" t="s">
        <v>43</v>
      </c>
      <c r="I290" t="s">
        <v>51</v>
      </c>
      <c r="J290" t="s">
        <v>1591</v>
      </c>
      <c r="K290" t="s">
        <v>32</v>
      </c>
      <c r="L290" t="s">
        <v>32</v>
      </c>
      <c r="M290" t="s">
        <v>36</v>
      </c>
      <c r="N290" t="s">
        <v>37</v>
      </c>
      <c r="O290" t="s">
        <v>66</v>
      </c>
      <c r="P290" t="s">
        <v>66</v>
      </c>
      <c r="Q290" t="s">
        <v>32</v>
      </c>
      <c r="R290" t="s">
        <v>1593</v>
      </c>
      <c r="S290" t="s">
        <v>32</v>
      </c>
      <c r="T290" s="2">
        <v>117.042657</v>
      </c>
      <c r="U290" s="2">
        <v>39.110761</v>
      </c>
    </row>
    <row r="291" spans="1:21">
      <c r="A291" t="s">
        <v>1594</v>
      </c>
      <c r="B291" t="s">
        <v>30</v>
      </c>
      <c r="C291" t="s">
        <v>1595</v>
      </c>
      <c r="D291" t="s">
        <v>1596</v>
      </c>
      <c r="E291" t="s">
        <v>1597</v>
      </c>
      <c r="F291" t="s">
        <v>7</v>
      </c>
      <c r="G291" t="s">
        <v>7</v>
      </c>
      <c r="H291" t="s">
        <v>56</v>
      </c>
      <c r="I291" t="s">
        <v>51</v>
      </c>
      <c r="J291" t="s">
        <v>1596</v>
      </c>
      <c r="K291" t="s">
        <v>85</v>
      </c>
      <c r="L291" t="s">
        <v>65</v>
      </c>
      <c r="M291" t="s">
        <v>36</v>
      </c>
      <c r="N291" t="s">
        <v>37</v>
      </c>
      <c r="O291" t="s">
        <v>66</v>
      </c>
      <c r="P291" t="s">
        <v>66</v>
      </c>
      <c r="Q291" t="s">
        <v>45</v>
      </c>
      <c r="R291" t="s">
        <v>1598</v>
      </c>
      <c r="S291" t="s">
        <v>32</v>
      </c>
      <c r="T291" s="2">
        <v>117.13248</v>
      </c>
      <c r="U291" s="2">
        <v>39.25833</v>
      </c>
    </row>
    <row r="292" spans="1:21">
      <c r="A292" t="s">
        <v>1599</v>
      </c>
      <c r="B292" t="s">
        <v>30</v>
      </c>
      <c r="C292" t="s">
        <v>1600</v>
      </c>
      <c r="D292" t="s">
        <v>1601</v>
      </c>
      <c r="E292" t="s">
        <v>1602</v>
      </c>
      <c r="F292" t="s">
        <v>7</v>
      </c>
      <c r="G292" t="s">
        <v>7</v>
      </c>
      <c r="H292" t="s">
        <v>73</v>
      </c>
      <c r="I292" t="s">
        <v>51</v>
      </c>
      <c r="J292" t="s">
        <v>1601</v>
      </c>
      <c r="K292" t="s">
        <v>85</v>
      </c>
      <c r="L292" t="s">
        <v>65</v>
      </c>
      <c r="M292" t="s">
        <v>36</v>
      </c>
      <c r="N292" t="s">
        <v>37</v>
      </c>
      <c r="O292" t="s">
        <v>66</v>
      </c>
      <c r="P292" t="s">
        <v>66</v>
      </c>
      <c r="Q292" t="s">
        <v>45</v>
      </c>
      <c r="R292" t="s">
        <v>1603</v>
      </c>
      <c r="S292" t="s">
        <v>32</v>
      </c>
      <c r="T292" s="2">
        <v>117.241348</v>
      </c>
      <c r="U292" s="2">
        <v>39.190937</v>
      </c>
    </row>
    <row r="293" spans="1:21">
      <c r="A293" t="s">
        <v>1604</v>
      </c>
      <c r="B293" t="s">
        <v>30</v>
      </c>
      <c r="C293" t="s">
        <v>1605</v>
      </c>
      <c r="D293" t="s">
        <v>1606</v>
      </c>
      <c r="E293" t="s">
        <v>1607</v>
      </c>
      <c r="F293" t="s">
        <v>7</v>
      </c>
      <c r="G293" t="s">
        <v>7</v>
      </c>
      <c r="H293" t="s">
        <v>73</v>
      </c>
      <c r="I293" t="s">
        <v>154</v>
      </c>
      <c r="J293" t="s">
        <v>1606</v>
      </c>
      <c r="K293" t="s">
        <v>971</v>
      </c>
      <c r="L293" t="s">
        <v>65</v>
      </c>
      <c r="M293" t="s">
        <v>36</v>
      </c>
      <c r="N293" t="s">
        <v>37</v>
      </c>
      <c r="O293" t="s">
        <v>66</v>
      </c>
      <c r="P293" t="s">
        <v>66</v>
      </c>
      <c r="Q293" t="s">
        <v>45</v>
      </c>
      <c r="R293" t="s">
        <v>1608</v>
      </c>
      <c r="S293" t="s">
        <v>32</v>
      </c>
      <c r="T293" s="2">
        <v>117.378904</v>
      </c>
      <c r="U293" s="2">
        <v>39.059143</v>
      </c>
    </row>
    <row r="294" spans="1:21">
      <c r="A294" t="s">
        <v>1609</v>
      </c>
      <c r="B294" t="s">
        <v>30</v>
      </c>
      <c r="C294" t="s">
        <v>1610</v>
      </c>
      <c r="D294" t="s">
        <v>1611</v>
      </c>
      <c r="E294" t="s">
        <v>1612</v>
      </c>
      <c r="F294" t="s">
        <v>7</v>
      </c>
      <c r="G294" t="s">
        <v>7</v>
      </c>
      <c r="H294" t="s">
        <v>56</v>
      </c>
      <c r="I294" t="s">
        <v>51</v>
      </c>
      <c r="J294" t="s">
        <v>1611</v>
      </c>
      <c r="K294" t="s">
        <v>797</v>
      </c>
      <c r="L294" t="s">
        <v>65</v>
      </c>
      <c r="M294" t="s">
        <v>36</v>
      </c>
      <c r="N294" t="s">
        <v>37</v>
      </c>
      <c r="O294" t="s">
        <v>66</v>
      </c>
      <c r="P294" t="s">
        <v>66</v>
      </c>
      <c r="Q294" t="s">
        <v>74</v>
      </c>
      <c r="R294" t="s">
        <v>1613</v>
      </c>
      <c r="S294" t="s">
        <v>32</v>
      </c>
      <c r="T294" s="2">
        <v>117.188378</v>
      </c>
      <c r="U294" s="2">
        <v>39.201674</v>
      </c>
    </row>
    <row r="295" spans="1:21">
      <c r="A295" t="s">
        <v>1614</v>
      </c>
      <c r="B295" t="s">
        <v>30</v>
      </c>
      <c r="C295" t="s">
        <v>1615</v>
      </c>
      <c r="D295" t="s">
        <v>1616</v>
      </c>
      <c r="E295" t="s">
        <v>1617</v>
      </c>
      <c r="F295" t="s">
        <v>7</v>
      </c>
      <c r="G295" t="s">
        <v>7</v>
      </c>
      <c r="H295" t="s">
        <v>73</v>
      </c>
      <c r="I295" t="s">
        <v>100</v>
      </c>
      <c r="J295" t="s">
        <v>1616</v>
      </c>
      <c r="K295" t="s">
        <v>85</v>
      </c>
      <c r="L295" t="s">
        <v>65</v>
      </c>
      <c r="M295" t="s">
        <v>36</v>
      </c>
      <c r="N295" t="s">
        <v>37</v>
      </c>
      <c r="O295" t="s">
        <v>66</v>
      </c>
      <c r="P295" t="s">
        <v>66</v>
      </c>
      <c r="Q295" t="s">
        <v>45</v>
      </c>
      <c r="R295" t="s">
        <v>1618</v>
      </c>
      <c r="S295" t="s">
        <v>32</v>
      </c>
      <c r="T295" s="2">
        <v>117.268692</v>
      </c>
      <c r="U295" s="2">
        <v>39.200583</v>
      </c>
    </row>
    <row r="296" spans="1:21">
      <c r="A296" t="s">
        <v>1619</v>
      </c>
      <c r="B296" t="s">
        <v>30</v>
      </c>
      <c r="C296" t="s">
        <v>1620</v>
      </c>
      <c r="D296" t="s">
        <v>1621</v>
      </c>
      <c r="E296" t="s">
        <v>1622</v>
      </c>
      <c r="F296" t="s">
        <v>7</v>
      </c>
      <c r="G296" t="s">
        <v>7</v>
      </c>
      <c r="H296" t="s">
        <v>56</v>
      </c>
      <c r="I296" t="s">
        <v>637</v>
      </c>
      <c r="J296" t="s">
        <v>1621</v>
      </c>
      <c r="K296" t="s">
        <v>85</v>
      </c>
      <c r="L296" t="s">
        <v>65</v>
      </c>
      <c r="M296" t="s">
        <v>36</v>
      </c>
      <c r="N296" t="s">
        <v>37</v>
      </c>
      <c r="O296" t="s">
        <v>66</v>
      </c>
      <c r="P296" t="s">
        <v>66</v>
      </c>
      <c r="Q296" t="s">
        <v>45</v>
      </c>
      <c r="R296" t="s">
        <v>1623</v>
      </c>
      <c r="S296" t="s">
        <v>32</v>
      </c>
      <c r="T296" s="2">
        <v>117.254458</v>
      </c>
      <c r="U296" s="2">
        <v>39.218326</v>
      </c>
    </row>
    <row r="297" spans="1:21">
      <c r="A297" t="s">
        <v>1624</v>
      </c>
      <c r="B297" t="s">
        <v>30</v>
      </c>
      <c r="C297" t="s">
        <v>1625</v>
      </c>
      <c r="D297" t="s">
        <v>1626</v>
      </c>
      <c r="E297" t="s">
        <v>1627</v>
      </c>
      <c r="F297" t="s">
        <v>7</v>
      </c>
      <c r="G297" t="s">
        <v>7</v>
      </c>
      <c r="H297" t="s">
        <v>43</v>
      </c>
      <c r="I297" t="s">
        <v>154</v>
      </c>
      <c r="J297" t="s">
        <v>1626</v>
      </c>
      <c r="K297" t="s">
        <v>85</v>
      </c>
      <c r="L297" t="s">
        <v>65</v>
      </c>
      <c r="M297" t="s">
        <v>36</v>
      </c>
      <c r="N297" t="s">
        <v>37</v>
      </c>
      <c r="O297" t="s">
        <v>66</v>
      </c>
      <c r="P297" t="s">
        <v>66</v>
      </c>
      <c r="Q297" t="s">
        <v>45</v>
      </c>
      <c r="R297" t="s">
        <v>1628</v>
      </c>
      <c r="S297" t="s">
        <v>32</v>
      </c>
      <c r="T297" s="2">
        <v>116.98003</v>
      </c>
      <c r="U297" s="2">
        <v>39.156549</v>
      </c>
    </row>
    <row r="298" spans="1:21">
      <c r="A298" t="s">
        <v>1629</v>
      </c>
      <c r="B298" t="s">
        <v>30</v>
      </c>
      <c r="C298" t="s">
        <v>1630</v>
      </c>
      <c r="D298" t="s">
        <v>1631</v>
      </c>
      <c r="E298" t="s">
        <v>1632</v>
      </c>
      <c r="F298" t="s">
        <v>7</v>
      </c>
      <c r="G298" t="s">
        <v>7</v>
      </c>
      <c r="H298" t="s">
        <v>43</v>
      </c>
      <c r="I298" t="s">
        <v>350</v>
      </c>
      <c r="J298" t="s">
        <v>1631</v>
      </c>
      <c r="K298" t="s">
        <v>85</v>
      </c>
      <c r="L298" t="s">
        <v>65</v>
      </c>
      <c r="M298" t="s">
        <v>36</v>
      </c>
      <c r="N298" t="s">
        <v>37</v>
      </c>
      <c r="O298" t="s">
        <v>66</v>
      </c>
      <c r="P298" t="s">
        <v>66</v>
      </c>
      <c r="Q298" t="s">
        <v>45</v>
      </c>
      <c r="R298" t="s">
        <v>1633</v>
      </c>
      <c r="S298" t="s">
        <v>32</v>
      </c>
      <c r="T298" s="2">
        <v>117.007746</v>
      </c>
      <c r="U298" s="2">
        <v>39.069503</v>
      </c>
    </row>
    <row r="299" spans="1:21">
      <c r="A299" t="s">
        <v>1634</v>
      </c>
      <c r="B299" t="s">
        <v>30</v>
      </c>
      <c r="C299" t="s">
        <v>1308</v>
      </c>
      <c r="D299" t="s">
        <v>1635</v>
      </c>
      <c r="E299" t="s">
        <v>1636</v>
      </c>
      <c r="F299" t="s">
        <v>7</v>
      </c>
      <c r="G299" t="s">
        <v>7</v>
      </c>
      <c r="H299" t="s">
        <v>43</v>
      </c>
      <c r="I299" t="s">
        <v>51</v>
      </c>
      <c r="J299" t="s">
        <v>1635</v>
      </c>
      <c r="K299" t="s">
        <v>85</v>
      </c>
      <c r="L299" t="s">
        <v>65</v>
      </c>
      <c r="M299" t="s">
        <v>36</v>
      </c>
      <c r="N299" t="s">
        <v>37</v>
      </c>
      <c r="O299" t="s">
        <v>66</v>
      </c>
      <c r="P299" t="s">
        <v>66</v>
      </c>
      <c r="Q299" t="s">
        <v>45</v>
      </c>
      <c r="R299" t="s">
        <v>1637</v>
      </c>
      <c r="S299" t="s">
        <v>32</v>
      </c>
      <c r="T299" s="2">
        <v>117.083375</v>
      </c>
      <c r="U299" s="2">
        <v>39.150769</v>
      </c>
    </row>
    <row r="300" spans="1:21">
      <c r="A300" t="s">
        <v>1638</v>
      </c>
      <c r="B300" t="s">
        <v>30</v>
      </c>
      <c r="C300" t="s">
        <v>1639</v>
      </c>
      <c r="D300" t="s">
        <v>1640</v>
      </c>
      <c r="E300" t="s">
        <v>1641</v>
      </c>
      <c r="F300" t="s">
        <v>7</v>
      </c>
      <c r="G300" t="s">
        <v>7</v>
      </c>
      <c r="H300" t="s">
        <v>56</v>
      </c>
      <c r="I300" t="s">
        <v>51</v>
      </c>
      <c r="J300" t="s">
        <v>1640</v>
      </c>
      <c r="K300" t="s">
        <v>1040</v>
      </c>
      <c r="L300" t="s">
        <v>65</v>
      </c>
      <c r="M300" t="s">
        <v>36</v>
      </c>
      <c r="N300" t="s">
        <v>37</v>
      </c>
      <c r="O300" t="s">
        <v>66</v>
      </c>
      <c r="P300" t="s">
        <v>66</v>
      </c>
      <c r="Q300" t="s">
        <v>45</v>
      </c>
      <c r="R300" t="s">
        <v>1642</v>
      </c>
      <c r="S300" t="s">
        <v>32</v>
      </c>
      <c r="T300" s="2">
        <v>117.039723</v>
      </c>
      <c r="U300" s="2">
        <v>39.240042</v>
      </c>
    </row>
    <row r="301" spans="1:21">
      <c r="A301" t="s">
        <v>1643</v>
      </c>
      <c r="B301" t="s">
        <v>30</v>
      </c>
      <c r="C301" t="s">
        <v>1644</v>
      </c>
      <c r="D301" t="s">
        <v>1645</v>
      </c>
      <c r="E301" t="s">
        <v>1646</v>
      </c>
      <c r="F301" t="s">
        <v>7</v>
      </c>
      <c r="G301" t="s">
        <v>7</v>
      </c>
      <c r="H301" t="s">
        <v>50</v>
      </c>
      <c r="I301" t="s">
        <v>51</v>
      </c>
      <c r="J301" t="s">
        <v>1645</v>
      </c>
      <c r="K301" t="s">
        <v>85</v>
      </c>
      <c r="L301" t="s">
        <v>595</v>
      </c>
      <c r="M301" t="s">
        <v>36</v>
      </c>
      <c r="N301" t="s">
        <v>37</v>
      </c>
      <c r="O301" t="s">
        <v>66</v>
      </c>
      <c r="P301" t="s">
        <v>66</v>
      </c>
      <c r="Q301" t="s">
        <v>45</v>
      </c>
      <c r="R301" t="s">
        <v>1647</v>
      </c>
      <c r="S301" t="s">
        <v>32</v>
      </c>
      <c r="T301" s="2">
        <v>117.202573</v>
      </c>
      <c r="U301" s="2">
        <v>39.075552</v>
      </c>
    </row>
    <row r="302" spans="1:21">
      <c r="A302" t="s">
        <v>1648</v>
      </c>
      <c r="B302" t="s">
        <v>30</v>
      </c>
      <c r="C302" t="s">
        <v>1649</v>
      </c>
      <c r="D302" t="s">
        <v>1650</v>
      </c>
      <c r="E302" t="s">
        <v>1651</v>
      </c>
      <c r="F302" t="s">
        <v>7</v>
      </c>
      <c r="G302" t="s">
        <v>7</v>
      </c>
      <c r="H302" t="s">
        <v>43</v>
      </c>
      <c r="I302" t="s">
        <v>154</v>
      </c>
      <c r="J302" t="s">
        <v>1650</v>
      </c>
      <c r="K302" t="s">
        <v>85</v>
      </c>
      <c r="L302" t="s">
        <v>65</v>
      </c>
      <c r="M302" t="s">
        <v>36</v>
      </c>
      <c r="N302" t="s">
        <v>37</v>
      </c>
      <c r="O302" t="s">
        <v>66</v>
      </c>
      <c r="P302" t="s">
        <v>66</v>
      </c>
      <c r="Q302" t="s">
        <v>74</v>
      </c>
      <c r="R302" t="s">
        <v>1652</v>
      </c>
      <c r="S302" t="s">
        <v>32</v>
      </c>
      <c r="T302" s="2">
        <v>117.077006</v>
      </c>
      <c r="U302" s="2">
        <v>39.137113</v>
      </c>
    </row>
    <row r="303" spans="1:21">
      <c r="A303" t="s">
        <v>1653</v>
      </c>
      <c r="B303" t="s">
        <v>30</v>
      </c>
      <c r="C303" t="s">
        <v>1654</v>
      </c>
      <c r="D303" t="s">
        <v>1655</v>
      </c>
      <c r="E303" t="s">
        <v>1656</v>
      </c>
      <c r="F303" t="s">
        <v>7</v>
      </c>
      <c r="G303" t="s">
        <v>7</v>
      </c>
      <c r="H303" t="s">
        <v>146</v>
      </c>
      <c r="I303" t="s">
        <v>51</v>
      </c>
      <c r="J303" t="s">
        <v>1655</v>
      </c>
      <c r="K303" t="s">
        <v>85</v>
      </c>
      <c r="L303" t="s">
        <v>65</v>
      </c>
      <c r="M303" t="s">
        <v>36</v>
      </c>
      <c r="N303" t="s">
        <v>37</v>
      </c>
      <c r="O303" t="s">
        <v>66</v>
      </c>
      <c r="P303" t="s">
        <v>66</v>
      </c>
      <c r="Q303" t="s">
        <v>45</v>
      </c>
      <c r="R303" t="s">
        <v>1657</v>
      </c>
      <c r="S303" t="s">
        <v>32</v>
      </c>
      <c r="T303" s="2">
        <v>117.087261</v>
      </c>
      <c r="U303" s="2">
        <v>39.074445</v>
      </c>
    </row>
    <row r="304" spans="1:21">
      <c r="A304" t="s">
        <v>1658</v>
      </c>
      <c r="B304" t="s">
        <v>30</v>
      </c>
      <c r="C304" t="s">
        <v>1659</v>
      </c>
      <c r="D304" t="s">
        <v>1660</v>
      </c>
      <c r="E304" t="s">
        <v>1661</v>
      </c>
      <c r="F304" t="s">
        <v>7</v>
      </c>
      <c r="G304" t="s">
        <v>7</v>
      </c>
      <c r="H304" t="s">
        <v>43</v>
      </c>
      <c r="I304" t="s">
        <v>51</v>
      </c>
      <c r="J304" t="s">
        <v>1660</v>
      </c>
      <c r="K304" t="s">
        <v>85</v>
      </c>
      <c r="L304" t="s">
        <v>65</v>
      </c>
      <c r="M304" t="s">
        <v>36</v>
      </c>
      <c r="N304" t="s">
        <v>37</v>
      </c>
      <c r="O304" t="s">
        <v>66</v>
      </c>
      <c r="P304" t="s">
        <v>66</v>
      </c>
      <c r="Q304" t="s">
        <v>45</v>
      </c>
      <c r="R304" t="s">
        <v>1662</v>
      </c>
      <c r="S304" t="s">
        <v>32</v>
      </c>
      <c r="T304" s="2">
        <v>117.043154</v>
      </c>
      <c r="U304" s="2">
        <v>39.120742</v>
      </c>
    </row>
    <row r="305" spans="1:21">
      <c r="A305" t="s">
        <v>1663</v>
      </c>
      <c r="B305" t="s">
        <v>30</v>
      </c>
      <c r="C305" t="s">
        <v>1664</v>
      </c>
      <c r="D305" t="s">
        <v>1665</v>
      </c>
      <c r="E305" t="s">
        <v>1666</v>
      </c>
      <c r="F305" t="s">
        <v>7</v>
      </c>
      <c r="G305" t="s">
        <v>7</v>
      </c>
      <c r="H305" t="s">
        <v>73</v>
      </c>
      <c r="I305" t="s">
        <v>154</v>
      </c>
      <c r="J305" t="s">
        <v>1665</v>
      </c>
      <c r="K305" t="s">
        <v>977</v>
      </c>
      <c r="L305" t="s">
        <v>65</v>
      </c>
      <c r="M305" t="s">
        <v>36</v>
      </c>
      <c r="N305" t="s">
        <v>37</v>
      </c>
      <c r="O305" t="s">
        <v>66</v>
      </c>
      <c r="P305" t="s">
        <v>66</v>
      </c>
      <c r="Q305" t="s">
        <v>45</v>
      </c>
      <c r="R305" t="s">
        <v>1667</v>
      </c>
      <c r="S305" t="s">
        <v>32</v>
      </c>
      <c r="T305" s="2">
        <v>117.322711</v>
      </c>
      <c r="U305" s="2">
        <v>39.229377</v>
      </c>
    </row>
    <row r="306" spans="1:21">
      <c r="A306" t="s">
        <v>1668</v>
      </c>
      <c r="B306" t="s">
        <v>30</v>
      </c>
      <c r="C306" t="s">
        <v>1669</v>
      </c>
      <c r="D306" t="s">
        <v>1670</v>
      </c>
      <c r="E306" t="s">
        <v>1671</v>
      </c>
      <c r="F306" t="s">
        <v>7</v>
      </c>
      <c r="G306" t="s">
        <v>7</v>
      </c>
      <c r="H306" t="s">
        <v>43</v>
      </c>
      <c r="I306" t="s">
        <v>51</v>
      </c>
      <c r="J306" t="s">
        <v>1670</v>
      </c>
      <c r="K306" t="s">
        <v>64</v>
      </c>
      <c r="L306" t="s">
        <v>65</v>
      </c>
      <c r="M306" t="s">
        <v>36</v>
      </c>
      <c r="N306" t="s">
        <v>37</v>
      </c>
      <c r="O306" t="s">
        <v>66</v>
      </c>
      <c r="P306" t="s">
        <v>66</v>
      </c>
      <c r="Q306" t="s">
        <v>45</v>
      </c>
      <c r="R306" t="s">
        <v>1672</v>
      </c>
      <c r="S306" t="s">
        <v>32</v>
      </c>
      <c r="T306" s="2">
        <v>117.080696</v>
      </c>
      <c r="U306" s="2">
        <v>39.146997</v>
      </c>
    </row>
    <row r="307" spans="1:21">
      <c r="A307" t="s">
        <v>1673</v>
      </c>
      <c r="B307" t="s">
        <v>30</v>
      </c>
      <c r="C307" t="s">
        <v>1674</v>
      </c>
      <c r="D307" t="s">
        <v>1675</v>
      </c>
      <c r="E307" t="s">
        <v>1676</v>
      </c>
      <c r="F307" t="s">
        <v>7</v>
      </c>
      <c r="G307" t="s">
        <v>7</v>
      </c>
      <c r="H307" t="s">
        <v>43</v>
      </c>
      <c r="I307" t="s">
        <v>154</v>
      </c>
      <c r="J307" t="s">
        <v>1675</v>
      </c>
      <c r="K307" t="s">
        <v>1058</v>
      </c>
      <c r="L307" t="s">
        <v>65</v>
      </c>
      <c r="M307" t="s">
        <v>36</v>
      </c>
      <c r="N307" t="s">
        <v>37</v>
      </c>
      <c r="O307" t="s">
        <v>66</v>
      </c>
      <c r="P307" t="s">
        <v>66</v>
      </c>
      <c r="Q307" t="s">
        <v>74</v>
      </c>
      <c r="R307" t="s">
        <v>1677</v>
      </c>
      <c r="S307" t="s">
        <v>32</v>
      </c>
      <c r="T307" s="2">
        <v>117.012106</v>
      </c>
      <c r="U307" s="2">
        <v>39.101667</v>
      </c>
    </row>
    <row r="308" spans="1:21">
      <c r="A308" t="s">
        <v>1678</v>
      </c>
      <c r="B308" t="s">
        <v>30</v>
      </c>
      <c r="C308" t="s">
        <v>1679</v>
      </c>
      <c r="D308" t="s">
        <v>1680</v>
      </c>
      <c r="E308" t="s">
        <v>1681</v>
      </c>
      <c r="F308" t="s">
        <v>7</v>
      </c>
      <c r="G308" t="s">
        <v>7</v>
      </c>
      <c r="H308" t="s">
        <v>43</v>
      </c>
      <c r="I308" t="s">
        <v>51</v>
      </c>
      <c r="J308" t="s">
        <v>1680</v>
      </c>
      <c r="K308" t="s">
        <v>85</v>
      </c>
      <c r="L308" t="s">
        <v>65</v>
      </c>
      <c r="M308" t="s">
        <v>36</v>
      </c>
      <c r="N308" t="s">
        <v>37</v>
      </c>
      <c r="O308" t="s">
        <v>66</v>
      </c>
      <c r="P308" t="s">
        <v>66</v>
      </c>
      <c r="Q308" t="s">
        <v>45</v>
      </c>
      <c r="R308" t="s">
        <v>1682</v>
      </c>
      <c r="S308" t="s">
        <v>32</v>
      </c>
      <c r="T308" s="2">
        <v>117.066347</v>
      </c>
      <c r="U308" s="2">
        <v>39.10845</v>
      </c>
    </row>
    <row r="309" spans="1:21">
      <c r="A309" t="s">
        <v>1683</v>
      </c>
      <c r="B309" t="s">
        <v>30</v>
      </c>
      <c r="C309" t="s">
        <v>1684</v>
      </c>
      <c r="D309" t="s">
        <v>1685</v>
      </c>
      <c r="E309" t="s">
        <v>1686</v>
      </c>
      <c r="F309" t="s">
        <v>7</v>
      </c>
      <c r="G309" t="s">
        <v>7</v>
      </c>
      <c r="H309" t="s">
        <v>262</v>
      </c>
      <c r="I309" t="s">
        <v>350</v>
      </c>
      <c r="J309" t="s">
        <v>1685</v>
      </c>
      <c r="K309" t="s">
        <v>85</v>
      </c>
      <c r="L309" t="s">
        <v>65</v>
      </c>
      <c r="M309" t="s">
        <v>36</v>
      </c>
      <c r="N309" t="s">
        <v>37</v>
      </c>
      <c r="O309" t="s">
        <v>66</v>
      </c>
      <c r="P309" t="s">
        <v>66</v>
      </c>
      <c r="Q309" t="s">
        <v>45</v>
      </c>
      <c r="R309" t="s">
        <v>1687</v>
      </c>
      <c r="S309" t="s">
        <v>32</v>
      </c>
      <c r="T309" s="2">
        <v>117.203115</v>
      </c>
      <c r="U309" s="2">
        <v>39.146197</v>
      </c>
    </row>
    <row r="310" spans="1:21">
      <c r="A310" t="s">
        <v>1688</v>
      </c>
      <c r="B310" t="s">
        <v>30</v>
      </c>
      <c r="C310" t="s">
        <v>1689</v>
      </c>
      <c r="D310" t="s">
        <v>1690</v>
      </c>
      <c r="E310" t="s">
        <v>1691</v>
      </c>
      <c r="F310" t="s">
        <v>7</v>
      </c>
      <c r="G310" t="s">
        <v>7</v>
      </c>
      <c r="H310" t="s">
        <v>50</v>
      </c>
      <c r="I310" t="s">
        <v>51</v>
      </c>
      <c r="J310" t="s">
        <v>1690</v>
      </c>
      <c r="K310" t="s">
        <v>85</v>
      </c>
      <c r="L310" t="s">
        <v>65</v>
      </c>
      <c r="M310" t="s">
        <v>36</v>
      </c>
      <c r="N310" t="s">
        <v>37</v>
      </c>
      <c r="O310" t="s">
        <v>66</v>
      </c>
      <c r="P310" t="s">
        <v>66</v>
      </c>
      <c r="Q310" t="s">
        <v>45</v>
      </c>
      <c r="R310" t="s">
        <v>1692</v>
      </c>
      <c r="S310" t="s">
        <v>32</v>
      </c>
      <c r="T310" s="2">
        <v>117.230165</v>
      </c>
      <c r="U310" s="2">
        <v>39.059888</v>
      </c>
    </row>
    <row r="311" spans="1:21">
      <c r="A311" t="s">
        <v>1693</v>
      </c>
      <c r="B311" t="s">
        <v>30</v>
      </c>
      <c r="C311" t="s">
        <v>1694</v>
      </c>
      <c r="D311" t="s">
        <v>1695</v>
      </c>
      <c r="E311" t="s">
        <v>1696</v>
      </c>
      <c r="F311" t="s">
        <v>7</v>
      </c>
      <c r="G311" t="s">
        <v>7</v>
      </c>
      <c r="H311" t="s">
        <v>262</v>
      </c>
      <c r="I311" t="s">
        <v>51</v>
      </c>
      <c r="J311" t="s">
        <v>1695</v>
      </c>
      <c r="K311" t="s">
        <v>85</v>
      </c>
      <c r="L311" t="s">
        <v>65</v>
      </c>
      <c r="M311" t="s">
        <v>36</v>
      </c>
      <c r="N311" t="s">
        <v>37</v>
      </c>
      <c r="O311" t="s">
        <v>66</v>
      </c>
      <c r="P311" t="s">
        <v>66</v>
      </c>
      <c r="Q311" t="s">
        <v>45</v>
      </c>
      <c r="R311" t="s">
        <v>1697</v>
      </c>
      <c r="S311" t="s">
        <v>32</v>
      </c>
      <c r="T311" s="2">
        <v>117.213145</v>
      </c>
      <c r="U311" s="2">
        <v>39.15414</v>
      </c>
    </row>
    <row r="312" spans="1:21">
      <c r="A312" t="s">
        <v>1698</v>
      </c>
      <c r="B312" t="s">
        <v>30</v>
      </c>
      <c r="C312" t="s">
        <v>1699</v>
      </c>
      <c r="D312" t="s">
        <v>1700</v>
      </c>
      <c r="E312" t="s">
        <v>1701</v>
      </c>
      <c r="F312" t="s">
        <v>7</v>
      </c>
      <c r="G312" t="s">
        <v>7</v>
      </c>
      <c r="H312" t="s">
        <v>73</v>
      </c>
      <c r="I312" t="s">
        <v>154</v>
      </c>
      <c r="J312" t="s">
        <v>1700</v>
      </c>
      <c r="K312" t="s">
        <v>797</v>
      </c>
      <c r="L312" t="s">
        <v>65</v>
      </c>
      <c r="M312" t="s">
        <v>36</v>
      </c>
      <c r="N312" t="s">
        <v>37</v>
      </c>
      <c r="O312" t="s">
        <v>66</v>
      </c>
      <c r="P312" t="s">
        <v>66</v>
      </c>
      <c r="Q312" t="s">
        <v>45</v>
      </c>
      <c r="R312" t="s">
        <v>1702</v>
      </c>
      <c r="S312" t="s">
        <v>32</v>
      </c>
      <c r="T312" s="2">
        <v>117.336056</v>
      </c>
      <c r="U312" s="2">
        <v>39.077754</v>
      </c>
    </row>
    <row r="313" spans="1:21">
      <c r="A313" t="s">
        <v>1703</v>
      </c>
      <c r="B313" t="s">
        <v>30</v>
      </c>
      <c r="C313" t="s">
        <v>1704</v>
      </c>
      <c r="D313" t="s">
        <v>1705</v>
      </c>
      <c r="E313" t="s">
        <v>1706</v>
      </c>
      <c r="F313" t="s">
        <v>7</v>
      </c>
      <c r="G313" t="s">
        <v>7</v>
      </c>
      <c r="H313" t="s">
        <v>73</v>
      </c>
      <c r="I313" t="s">
        <v>245</v>
      </c>
      <c r="J313" t="s">
        <v>1705</v>
      </c>
      <c r="K313" t="s">
        <v>32</v>
      </c>
      <c r="L313" t="s">
        <v>32</v>
      </c>
      <c r="M313" t="s">
        <v>36</v>
      </c>
      <c r="N313" t="s">
        <v>37</v>
      </c>
      <c r="O313" t="s">
        <v>66</v>
      </c>
      <c r="P313" t="s">
        <v>66</v>
      </c>
      <c r="Q313" t="s">
        <v>45</v>
      </c>
      <c r="R313" t="s">
        <v>1707</v>
      </c>
      <c r="S313" t="s">
        <v>32</v>
      </c>
      <c r="T313" s="2">
        <v>117.342699</v>
      </c>
      <c r="U313" s="2">
        <v>39.059526</v>
      </c>
    </row>
    <row r="314" spans="1:21">
      <c r="A314" t="s">
        <v>1708</v>
      </c>
      <c r="B314" t="s">
        <v>30</v>
      </c>
      <c r="C314" t="s">
        <v>1709</v>
      </c>
      <c r="D314" t="s">
        <v>1710</v>
      </c>
      <c r="E314" t="s">
        <v>1711</v>
      </c>
      <c r="F314" t="s">
        <v>7</v>
      </c>
      <c r="G314" t="s">
        <v>7</v>
      </c>
      <c r="H314" t="s">
        <v>43</v>
      </c>
      <c r="I314" t="s">
        <v>51</v>
      </c>
      <c r="J314" t="s">
        <v>1710</v>
      </c>
      <c r="K314" t="s">
        <v>1022</v>
      </c>
      <c r="L314" t="s">
        <v>65</v>
      </c>
      <c r="M314" t="s">
        <v>36</v>
      </c>
      <c r="N314" t="s">
        <v>37</v>
      </c>
      <c r="O314" t="s">
        <v>66</v>
      </c>
      <c r="P314" t="s">
        <v>66</v>
      </c>
      <c r="Q314" t="s">
        <v>45</v>
      </c>
      <c r="R314" t="s">
        <v>1712</v>
      </c>
      <c r="S314" t="s">
        <v>32</v>
      </c>
      <c r="T314" s="2">
        <v>117.008366</v>
      </c>
      <c r="U314" s="2">
        <v>39.10143</v>
      </c>
    </row>
    <row r="315" spans="1:21">
      <c r="A315" t="s">
        <v>1713</v>
      </c>
      <c r="B315" t="s">
        <v>30</v>
      </c>
      <c r="C315" t="s">
        <v>1714</v>
      </c>
      <c r="D315" t="s">
        <v>1715</v>
      </c>
      <c r="E315" t="s">
        <v>1716</v>
      </c>
      <c r="F315" t="s">
        <v>7</v>
      </c>
      <c r="G315" t="s">
        <v>7</v>
      </c>
      <c r="H315" t="s">
        <v>43</v>
      </c>
      <c r="I315" t="s">
        <v>51</v>
      </c>
      <c r="J315" t="s">
        <v>1715</v>
      </c>
      <c r="K315" t="s">
        <v>64</v>
      </c>
      <c r="L315" t="s">
        <v>65</v>
      </c>
      <c r="M315" t="s">
        <v>36</v>
      </c>
      <c r="N315" t="s">
        <v>37</v>
      </c>
      <c r="O315" t="s">
        <v>66</v>
      </c>
      <c r="P315" t="s">
        <v>66</v>
      </c>
      <c r="Q315" t="s">
        <v>45</v>
      </c>
      <c r="R315" t="s">
        <v>1717</v>
      </c>
      <c r="S315" t="s">
        <v>32</v>
      </c>
      <c r="T315" s="2">
        <v>117.066478</v>
      </c>
      <c r="U315" s="2">
        <v>39.106231</v>
      </c>
    </row>
    <row r="316" spans="1:21">
      <c r="A316" t="s">
        <v>1718</v>
      </c>
      <c r="B316" t="s">
        <v>30</v>
      </c>
      <c r="C316" t="s">
        <v>1719</v>
      </c>
      <c r="D316" t="s">
        <v>1720</v>
      </c>
      <c r="E316" t="s">
        <v>1721</v>
      </c>
      <c r="F316" t="s">
        <v>7</v>
      </c>
      <c r="G316" t="s">
        <v>7</v>
      </c>
      <c r="H316" t="s">
        <v>43</v>
      </c>
      <c r="I316" t="s">
        <v>154</v>
      </c>
      <c r="J316" t="s">
        <v>1720</v>
      </c>
      <c r="K316" t="s">
        <v>85</v>
      </c>
      <c r="L316" t="s">
        <v>65</v>
      </c>
      <c r="M316" t="s">
        <v>36</v>
      </c>
      <c r="N316" t="s">
        <v>37</v>
      </c>
      <c r="O316" t="s">
        <v>66</v>
      </c>
      <c r="P316" t="s">
        <v>66</v>
      </c>
      <c r="Q316" t="s">
        <v>45</v>
      </c>
      <c r="R316" t="s">
        <v>1722</v>
      </c>
      <c r="S316" t="s">
        <v>32</v>
      </c>
      <c r="T316" s="2">
        <v>117.06051</v>
      </c>
      <c r="U316" s="2">
        <v>39.141257</v>
      </c>
    </row>
    <row r="317" spans="1:21">
      <c r="A317" t="s">
        <v>1723</v>
      </c>
      <c r="B317" t="s">
        <v>30</v>
      </c>
      <c r="C317" t="s">
        <v>1724</v>
      </c>
      <c r="D317" t="s">
        <v>1725</v>
      </c>
      <c r="E317" t="s">
        <v>1726</v>
      </c>
      <c r="F317" t="s">
        <v>7</v>
      </c>
      <c r="G317" t="s">
        <v>7</v>
      </c>
      <c r="H317" t="s">
        <v>73</v>
      </c>
      <c r="I317" t="s">
        <v>51</v>
      </c>
      <c r="J317" t="s">
        <v>1725</v>
      </c>
      <c r="K317" t="s">
        <v>85</v>
      </c>
      <c r="L317" t="s">
        <v>65</v>
      </c>
      <c r="M317" t="s">
        <v>36</v>
      </c>
      <c r="N317" t="s">
        <v>37</v>
      </c>
      <c r="O317" t="s">
        <v>66</v>
      </c>
      <c r="P317" t="s">
        <v>66</v>
      </c>
      <c r="Q317" t="s">
        <v>45</v>
      </c>
      <c r="R317" t="s">
        <v>1727</v>
      </c>
      <c r="S317" t="s">
        <v>32</v>
      </c>
      <c r="T317" s="2">
        <v>117.271195</v>
      </c>
      <c r="U317" s="2">
        <v>39.211573</v>
      </c>
    </row>
    <row r="318" spans="1:21">
      <c r="A318" t="s">
        <v>1728</v>
      </c>
      <c r="B318" t="s">
        <v>30</v>
      </c>
      <c r="C318" t="s">
        <v>1729</v>
      </c>
      <c r="D318" t="s">
        <v>1730</v>
      </c>
      <c r="E318" t="s">
        <v>1731</v>
      </c>
      <c r="F318" t="s">
        <v>7</v>
      </c>
      <c r="G318" t="s">
        <v>7</v>
      </c>
      <c r="H318" t="s">
        <v>56</v>
      </c>
      <c r="I318" t="s">
        <v>51</v>
      </c>
      <c r="J318" t="s">
        <v>1730</v>
      </c>
      <c r="K318" t="s">
        <v>85</v>
      </c>
      <c r="L318" t="s">
        <v>65</v>
      </c>
      <c r="M318" t="s">
        <v>36</v>
      </c>
      <c r="N318" t="s">
        <v>37</v>
      </c>
      <c r="O318" t="s">
        <v>66</v>
      </c>
      <c r="P318" t="s">
        <v>66</v>
      </c>
      <c r="Q318" t="s">
        <v>45</v>
      </c>
      <c r="R318" t="s">
        <v>1732</v>
      </c>
      <c r="S318" t="s">
        <v>32</v>
      </c>
      <c r="T318" s="2">
        <v>117.0975</v>
      </c>
      <c r="U318" s="2">
        <v>39.228943</v>
      </c>
    </row>
    <row r="319" spans="1:21">
      <c r="A319" t="s">
        <v>1733</v>
      </c>
      <c r="B319" t="s">
        <v>30</v>
      </c>
      <c r="C319" t="s">
        <v>1734</v>
      </c>
      <c r="D319" t="s">
        <v>1735</v>
      </c>
      <c r="E319" t="s">
        <v>1736</v>
      </c>
      <c r="F319" t="s">
        <v>7</v>
      </c>
      <c r="G319" t="s">
        <v>7</v>
      </c>
      <c r="H319" t="s">
        <v>43</v>
      </c>
      <c r="I319" t="s">
        <v>350</v>
      </c>
      <c r="J319" t="s">
        <v>1735</v>
      </c>
      <c r="K319" t="s">
        <v>85</v>
      </c>
      <c r="L319" t="s">
        <v>65</v>
      </c>
      <c r="M319" t="s">
        <v>36</v>
      </c>
      <c r="N319" t="s">
        <v>37</v>
      </c>
      <c r="O319" t="s">
        <v>66</v>
      </c>
      <c r="P319" t="s">
        <v>66</v>
      </c>
      <c r="Q319" t="s">
        <v>45</v>
      </c>
      <c r="R319" t="s">
        <v>1737</v>
      </c>
      <c r="S319" t="s">
        <v>32</v>
      </c>
      <c r="T319" s="2">
        <v>117.069395</v>
      </c>
      <c r="U319" s="2">
        <v>39.123439</v>
      </c>
    </row>
    <row r="320" spans="1:21">
      <c r="A320" t="s">
        <v>1738</v>
      </c>
      <c r="B320" t="s">
        <v>30</v>
      </c>
      <c r="C320" t="s">
        <v>1739</v>
      </c>
      <c r="D320" t="s">
        <v>1740</v>
      </c>
      <c r="E320" t="s">
        <v>1741</v>
      </c>
      <c r="F320" t="s">
        <v>7</v>
      </c>
      <c r="G320" t="s">
        <v>7</v>
      </c>
      <c r="H320" t="s">
        <v>56</v>
      </c>
      <c r="I320" t="s">
        <v>154</v>
      </c>
      <c r="J320" t="s">
        <v>1740</v>
      </c>
      <c r="K320" t="s">
        <v>85</v>
      </c>
      <c r="L320" t="s">
        <v>65</v>
      </c>
      <c r="M320" t="s">
        <v>36</v>
      </c>
      <c r="N320" t="s">
        <v>37</v>
      </c>
      <c r="O320" t="s">
        <v>66</v>
      </c>
      <c r="P320" t="s">
        <v>66</v>
      </c>
      <c r="Q320" t="s">
        <v>74</v>
      </c>
      <c r="R320" t="s">
        <v>1742</v>
      </c>
      <c r="S320" t="s">
        <v>32</v>
      </c>
      <c r="T320" s="2">
        <v>117.228911</v>
      </c>
      <c r="U320" s="2">
        <v>39.234952</v>
      </c>
    </row>
    <row r="321" spans="1:21">
      <c r="A321" t="s">
        <v>1743</v>
      </c>
      <c r="B321" t="s">
        <v>30</v>
      </c>
      <c r="C321" t="s">
        <v>1744</v>
      </c>
      <c r="D321" t="s">
        <v>1745</v>
      </c>
      <c r="E321" t="s">
        <v>1746</v>
      </c>
      <c r="F321" t="s">
        <v>7</v>
      </c>
      <c r="G321" t="s">
        <v>7</v>
      </c>
      <c r="H321" t="s">
        <v>56</v>
      </c>
      <c r="I321" t="s">
        <v>154</v>
      </c>
      <c r="J321" t="s">
        <v>1745</v>
      </c>
      <c r="K321" t="s">
        <v>85</v>
      </c>
      <c r="L321" t="s">
        <v>65</v>
      </c>
      <c r="M321" t="s">
        <v>36</v>
      </c>
      <c r="N321" t="s">
        <v>37</v>
      </c>
      <c r="O321" t="s">
        <v>66</v>
      </c>
      <c r="P321" t="s">
        <v>66</v>
      </c>
      <c r="Q321" t="s">
        <v>45</v>
      </c>
      <c r="R321" t="s">
        <v>1747</v>
      </c>
      <c r="S321" t="s">
        <v>32</v>
      </c>
      <c r="T321" s="2">
        <v>116.954893</v>
      </c>
      <c r="U321" s="2">
        <v>39.180821</v>
      </c>
    </row>
    <row r="322" spans="1:21">
      <c r="A322" t="s">
        <v>1748</v>
      </c>
      <c r="B322" t="s">
        <v>30</v>
      </c>
      <c r="C322" t="s">
        <v>1749</v>
      </c>
      <c r="D322" t="s">
        <v>1750</v>
      </c>
      <c r="E322" t="s">
        <v>1751</v>
      </c>
      <c r="F322" t="s">
        <v>7</v>
      </c>
      <c r="G322" t="s">
        <v>7</v>
      </c>
      <c r="H322" t="s">
        <v>262</v>
      </c>
      <c r="I322" t="s">
        <v>51</v>
      </c>
      <c r="J322" t="s">
        <v>1750</v>
      </c>
      <c r="K322" t="s">
        <v>85</v>
      </c>
      <c r="L322" t="s">
        <v>65</v>
      </c>
      <c r="M322" t="s">
        <v>36</v>
      </c>
      <c r="N322" t="s">
        <v>37</v>
      </c>
      <c r="O322" t="s">
        <v>66</v>
      </c>
      <c r="P322" t="s">
        <v>66</v>
      </c>
      <c r="Q322" t="s">
        <v>74</v>
      </c>
      <c r="R322" t="s">
        <v>1752</v>
      </c>
      <c r="S322" t="s">
        <v>32</v>
      </c>
      <c r="T322" s="2">
        <v>117.238034</v>
      </c>
      <c r="U322" s="2">
        <v>39.173372</v>
      </c>
    </row>
    <row r="323" spans="1:21">
      <c r="A323" t="s">
        <v>1753</v>
      </c>
      <c r="B323" t="s">
        <v>30</v>
      </c>
      <c r="C323" t="s">
        <v>1754</v>
      </c>
      <c r="D323" t="s">
        <v>1755</v>
      </c>
      <c r="E323" t="s">
        <v>1756</v>
      </c>
      <c r="F323" t="s">
        <v>7</v>
      </c>
      <c r="G323" t="s">
        <v>7</v>
      </c>
      <c r="H323" t="s">
        <v>56</v>
      </c>
      <c r="I323" t="s">
        <v>692</v>
      </c>
      <c r="J323" t="s">
        <v>1755</v>
      </c>
      <c r="K323" t="s">
        <v>977</v>
      </c>
      <c r="L323" t="s">
        <v>65</v>
      </c>
      <c r="M323" t="s">
        <v>36</v>
      </c>
      <c r="N323" t="s">
        <v>37</v>
      </c>
      <c r="O323" t="s">
        <v>66</v>
      </c>
      <c r="P323" t="s">
        <v>66</v>
      </c>
      <c r="Q323" t="s">
        <v>45</v>
      </c>
      <c r="R323" t="s">
        <v>1757</v>
      </c>
      <c r="S323" t="s">
        <v>32</v>
      </c>
      <c r="T323" s="2">
        <v>117.108183</v>
      </c>
      <c r="U323" s="2">
        <v>39.282842</v>
      </c>
    </row>
    <row r="324" spans="1:21">
      <c r="A324" t="s">
        <v>1758</v>
      </c>
      <c r="B324" t="s">
        <v>30</v>
      </c>
      <c r="C324" t="s">
        <v>1759</v>
      </c>
      <c r="D324" t="s">
        <v>1760</v>
      </c>
      <c r="E324" t="s">
        <v>1761</v>
      </c>
      <c r="F324" t="s">
        <v>7</v>
      </c>
      <c r="G324" t="s">
        <v>7</v>
      </c>
      <c r="H324" t="s">
        <v>43</v>
      </c>
      <c r="I324" t="s">
        <v>51</v>
      </c>
      <c r="J324" t="s">
        <v>1760</v>
      </c>
      <c r="K324" t="s">
        <v>977</v>
      </c>
      <c r="L324" t="s">
        <v>65</v>
      </c>
      <c r="M324" t="s">
        <v>36</v>
      </c>
      <c r="N324" t="s">
        <v>37</v>
      </c>
      <c r="O324" t="s">
        <v>66</v>
      </c>
      <c r="P324" t="s">
        <v>66</v>
      </c>
      <c r="Q324" t="s">
        <v>45</v>
      </c>
      <c r="R324" t="s">
        <v>1762</v>
      </c>
      <c r="S324" t="s">
        <v>32</v>
      </c>
      <c r="T324" s="2">
        <v>117.007447</v>
      </c>
      <c r="U324" s="2">
        <v>39.097208</v>
      </c>
    </row>
    <row r="325" spans="1:21">
      <c r="A325" t="s">
        <v>1763</v>
      </c>
      <c r="B325" t="s">
        <v>30</v>
      </c>
      <c r="C325" t="s">
        <v>1764</v>
      </c>
      <c r="D325" t="s">
        <v>1765</v>
      </c>
      <c r="E325" t="s">
        <v>1766</v>
      </c>
      <c r="F325" t="s">
        <v>7</v>
      </c>
      <c r="G325" t="s">
        <v>7</v>
      </c>
      <c r="H325" t="s">
        <v>105</v>
      </c>
      <c r="I325" t="s">
        <v>100</v>
      </c>
      <c r="J325" t="s">
        <v>1765</v>
      </c>
      <c r="K325" t="s">
        <v>85</v>
      </c>
      <c r="L325" t="s">
        <v>65</v>
      </c>
      <c r="M325" t="s">
        <v>36</v>
      </c>
      <c r="N325" t="s">
        <v>37</v>
      </c>
      <c r="O325" t="s">
        <v>66</v>
      </c>
      <c r="P325" t="s">
        <v>66</v>
      </c>
      <c r="Q325" t="s">
        <v>45</v>
      </c>
      <c r="R325" t="s">
        <v>1767</v>
      </c>
      <c r="S325" t="s">
        <v>32</v>
      </c>
      <c r="T325" s="2">
        <v>116.990068</v>
      </c>
      <c r="U325" s="2">
        <v>39.076489</v>
      </c>
    </row>
    <row r="326" spans="1:21">
      <c r="A326" t="s">
        <v>1768</v>
      </c>
      <c r="B326" t="s">
        <v>30</v>
      </c>
      <c r="C326" t="s">
        <v>1769</v>
      </c>
      <c r="D326" t="s">
        <v>1770</v>
      </c>
      <c r="E326" t="s">
        <v>1771</v>
      </c>
      <c r="F326" t="s">
        <v>7</v>
      </c>
      <c r="G326" t="s">
        <v>7</v>
      </c>
      <c r="H326" t="s">
        <v>73</v>
      </c>
      <c r="I326" t="s">
        <v>51</v>
      </c>
      <c r="J326" t="s">
        <v>1770</v>
      </c>
      <c r="K326" t="s">
        <v>85</v>
      </c>
      <c r="L326" t="s">
        <v>65</v>
      </c>
      <c r="M326" t="s">
        <v>36</v>
      </c>
      <c r="N326" t="s">
        <v>37</v>
      </c>
      <c r="O326" t="s">
        <v>66</v>
      </c>
      <c r="P326" t="s">
        <v>66</v>
      </c>
      <c r="Q326" t="s">
        <v>74</v>
      </c>
      <c r="R326" t="s">
        <v>1772</v>
      </c>
      <c r="S326" t="s">
        <v>32</v>
      </c>
      <c r="T326" s="2">
        <v>117.338141</v>
      </c>
      <c r="U326" s="2">
        <v>39.17117</v>
      </c>
    </row>
    <row r="327" spans="1:21">
      <c r="A327" t="s">
        <v>1773</v>
      </c>
      <c r="B327" t="s">
        <v>30</v>
      </c>
      <c r="C327" t="s">
        <v>1774</v>
      </c>
      <c r="D327" t="s">
        <v>1775</v>
      </c>
      <c r="E327" t="s">
        <v>1776</v>
      </c>
      <c r="F327" t="s">
        <v>7</v>
      </c>
      <c r="G327" t="s">
        <v>7</v>
      </c>
      <c r="H327" t="s">
        <v>34</v>
      </c>
      <c r="I327" t="s">
        <v>1777</v>
      </c>
      <c r="J327" t="s">
        <v>1775</v>
      </c>
      <c r="K327" t="s">
        <v>85</v>
      </c>
      <c r="L327" t="s">
        <v>65</v>
      </c>
      <c r="M327" t="s">
        <v>36</v>
      </c>
      <c r="N327" t="s">
        <v>37</v>
      </c>
      <c r="O327" t="s">
        <v>66</v>
      </c>
      <c r="P327" t="s">
        <v>66</v>
      </c>
      <c r="Q327" t="s">
        <v>45</v>
      </c>
      <c r="R327" t="s">
        <v>1778</v>
      </c>
      <c r="S327" t="s">
        <v>32</v>
      </c>
      <c r="T327" s="2">
        <v>117.142811</v>
      </c>
      <c r="U327" s="2">
        <v>39.110153</v>
      </c>
    </row>
    <row r="328" spans="1:21">
      <c r="A328" t="s">
        <v>1779</v>
      </c>
      <c r="B328" t="s">
        <v>30</v>
      </c>
      <c r="C328" t="s">
        <v>1780</v>
      </c>
      <c r="D328" t="s">
        <v>1781</v>
      </c>
      <c r="E328" t="s">
        <v>1782</v>
      </c>
      <c r="F328" t="s">
        <v>7</v>
      </c>
      <c r="G328" t="s">
        <v>7</v>
      </c>
      <c r="H328" t="s">
        <v>50</v>
      </c>
      <c r="I328" t="s">
        <v>51</v>
      </c>
      <c r="J328" t="s">
        <v>1781</v>
      </c>
      <c r="K328" t="s">
        <v>85</v>
      </c>
      <c r="L328" t="s">
        <v>65</v>
      </c>
      <c r="M328" t="s">
        <v>36</v>
      </c>
      <c r="N328" t="s">
        <v>37</v>
      </c>
      <c r="O328" t="s">
        <v>66</v>
      </c>
      <c r="P328" t="s">
        <v>66</v>
      </c>
      <c r="Q328" t="s">
        <v>45</v>
      </c>
      <c r="R328" t="s">
        <v>1783</v>
      </c>
      <c r="S328" t="s">
        <v>32</v>
      </c>
      <c r="T328" s="2">
        <v>117.233609</v>
      </c>
      <c r="U328" s="2">
        <v>39.05481</v>
      </c>
    </row>
    <row r="329" spans="1:21">
      <c r="A329" t="s">
        <v>1784</v>
      </c>
      <c r="B329" t="s">
        <v>30</v>
      </c>
      <c r="C329" t="s">
        <v>1785</v>
      </c>
      <c r="D329" t="s">
        <v>1786</v>
      </c>
      <c r="E329" t="s">
        <v>1787</v>
      </c>
      <c r="F329" t="s">
        <v>7</v>
      </c>
      <c r="G329" t="s">
        <v>7</v>
      </c>
      <c r="H329" t="s">
        <v>73</v>
      </c>
      <c r="I329" t="s">
        <v>51</v>
      </c>
      <c r="J329" t="s">
        <v>1786</v>
      </c>
      <c r="K329" t="s">
        <v>85</v>
      </c>
      <c r="L329" t="s">
        <v>65</v>
      </c>
      <c r="M329" t="s">
        <v>36</v>
      </c>
      <c r="N329" t="s">
        <v>37</v>
      </c>
      <c r="O329" t="s">
        <v>66</v>
      </c>
      <c r="P329" t="s">
        <v>66</v>
      </c>
      <c r="Q329" t="s">
        <v>74</v>
      </c>
      <c r="R329" t="s">
        <v>1788</v>
      </c>
      <c r="S329" t="s">
        <v>32</v>
      </c>
      <c r="T329" s="2">
        <v>117.36308</v>
      </c>
      <c r="U329" s="2">
        <v>39.077072</v>
      </c>
    </row>
    <row r="330" spans="1:21">
      <c r="A330" t="s">
        <v>1789</v>
      </c>
      <c r="B330" t="s">
        <v>30</v>
      </c>
      <c r="C330" t="s">
        <v>1790</v>
      </c>
      <c r="D330" t="s">
        <v>1791</v>
      </c>
      <c r="E330" t="s">
        <v>1792</v>
      </c>
      <c r="F330" t="s">
        <v>7</v>
      </c>
      <c r="G330" t="s">
        <v>7</v>
      </c>
      <c r="H330" t="s">
        <v>73</v>
      </c>
      <c r="I330" t="s">
        <v>51</v>
      </c>
      <c r="J330" t="s">
        <v>1791</v>
      </c>
      <c r="K330" t="s">
        <v>85</v>
      </c>
      <c r="L330" t="s">
        <v>65</v>
      </c>
      <c r="M330" t="s">
        <v>36</v>
      </c>
      <c r="N330" t="s">
        <v>37</v>
      </c>
      <c r="O330" t="s">
        <v>66</v>
      </c>
      <c r="P330" t="s">
        <v>66</v>
      </c>
      <c r="Q330" t="s">
        <v>45</v>
      </c>
      <c r="R330" t="s">
        <v>1793</v>
      </c>
      <c r="S330" t="s">
        <v>32</v>
      </c>
      <c r="T330" s="2">
        <v>117.355575</v>
      </c>
      <c r="U330" s="2">
        <v>39.176695</v>
      </c>
    </row>
    <row r="331" spans="1:21">
      <c r="A331" t="s">
        <v>1794</v>
      </c>
      <c r="B331" t="s">
        <v>30</v>
      </c>
      <c r="C331" t="s">
        <v>1795</v>
      </c>
      <c r="D331" t="s">
        <v>1796</v>
      </c>
      <c r="E331" t="s">
        <v>1797</v>
      </c>
      <c r="F331" t="s">
        <v>7</v>
      </c>
      <c r="G331" t="s">
        <v>7</v>
      </c>
      <c r="H331" t="s">
        <v>73</v>
      </c>
      <c r="I331" t="s">
        <v>51</v>
      </c>
      <c r="J331" t="s">
        <v>1796</v>
      </c>
      <c r="K331" t="s">
        <v>1798</v>
      </c>
      <c r="L331" t="s">
        <v>65</v>
      </c>
      <c r="M331" t="s">
        <v>36</v>
      </c>
      <c r="N331" t="s">
        <v>37</v>
      </c>
      <c r="O331" t="s">
        <v>66</v>
      </c>
      <c r="P331" t="s">
        <v>66</v>
      </c>
      <c r="Q331" t="s">
        <v>74</v>
      </c>
      <c r="R331" t="s">
        <v>1799</v>
      </c>
      <c r="S331" t="s">
        <v>32</v>
      </c>
      <c r="T331" s="2">
        <v>117.376783</v>
      </c>
      <c r="U331" s="2">
        <v>39.104645</v>
      </c>
    </row>
    <row r="332" spans="1:21">
      <c r="A332" t="s">
        <v>1800</v>
      </c>
      <c r="B332" t="s">
        <v>30</v>
      </c>
      <c r="C332" t="s">
        <v>1801</v>
      </c>
      <c r="D332" t="s">
        <v>1802</v>
      </c>
      <c r="E332" t="s">
        <v>1803</v>
      </c>
      <c r="F332" t="s">
        <v>7</v>
      </c>
      <c r="G332" t="s">
        <v>7</v>
      </c>
      <c r="H332" t="s">
        <v>56</v>
      </c>
      <c r="I332" t="s">
        <v>51</v>
      </c>
      <c r="J332" t="s">
        <v>1802</v>
      </c>
      <c r="K332" t="s">
        <v>85</v>
      </c>
      <c r="L332" t="s">
        <v>65</v>
      </c>
      <c r="M332" t="s">
        <v>36</v>
      </c>
      <c r="N332" t="s">
        <v>37</v>
      </c>
      <c r="O332" t="s">
        <v>66</v>
      </c>
      <c r="P332" t="s">
        <v>66</v>
      </c>
      <c r="Q332" t="s">
        <v>45</v>
      </c>
      <c r="R332" t="s">
        <v>1804</v>
      </c>
      <c r="S332" t="s">
        <v>32</v>
      </c>
      <c r="T332" s="2">
        <v>117.225168</v>
      </c>
      <c r="U332" s="2">
        <v>39.202083</v>
      </c>
    </row>
    <row r="333" spans="1:21">
      <c r="A333" t="s">
        <v>1805</v>
      </c>
      <c r="B333" t="s">
        <v>30</v>
      </c>
      <c r="C333" t="s">
        <v>1806</v>
      </c>
      <c r="D333" t="s">
        <v>1807</v>
      </c>
      <c r="E333" t="s">
        <v>1808</v>
      </c>
      <c r="F333" t="s">
        <v>7</v>
      </c>
      <c r="G333" t="s">
        <v>7</v>
      </c>
      <c r="H333" t="s">
        <v>56</v>
      </c>
      <c r="I333" t="s">
        <v>51</v>
      </c>
      <c r="J333" t="s">
        <v>1807</v>
      </c>
      <c r="K333" t="s">
        <v>645</v>
      </c>
      <c r="L333" t="s">
        <v>595</v>
      </c>
      <c r="M333" t="s">
        <v>36</v>
      </c>
      <c r="N333" t="s">
        <v>37</v>
      </c>
      <c r="O333" t="s">
        <v>66</v>
      </c>
      <c r="P333" t="s">
        <v>66</v>
      </c>
      <c r="Q333" t="s">
        <v>45</v>
      </c>
      <c r="R333" t="s">
        <v>1809</v>
      </c>
      <c r="S333" t="s">
        <v>32</v>
      </c>
      <c r="T333" s="2">
        <v>117.06776</v>
      </c>
      <c r="U333" s="2">
        <v>39.17534</v>
      </c>
    </row>
    <row r="334" spans="1:21">
      <c r="A334" t="s">
        <v>1810</v>
      </c>
      <c r="B334" t="s">
        <v>30</v>
      </c>
      <c r="C334" t="s">
        <v>1811</v>
      </c>
      <c r="D334" t="s">
        <v>1812</v>
      </c>
      <c r="E334" t="s">
        <v>1813</v>
      </c>
      <c r="F334" t="s">
        <v>7</v>
      </c>
      <c r="G334" t="s">
        <v>7</v>
      </c>
      <c r="H334" t="s">
        <v>56</v>
      </c>
      <c r="I334" t="s">
        <v>51</v>
      </c>
      <c r="J334" t="s">
        <v>1812</v>
      </c>
      <c r="K334" t="s">
        <v>85</v>
      </c>
      <c r="L334" t="s">
        <v>65</v>
      </c>
      <c r="M334" t="s">
        <v>36</v>
      </c>
      <c r="N334" t="s">
        <v>37</v>
      </c>
      <c r="O334" t="s">
        <v>66</v>
      </c>
      <c r="P334" t="s">
        <v>66</v>
      </c>
      <c r="Q334" t="s">
        <v>45</v>
      </c>
      <c r="R334" t="s">
        <v>1814</v>
      </c>
      <c r="S334" t="s">
        <v>32</v>
      </c>
      <c r="T334" s="2">
        <v>117.216824</v>
      </c>
      <c r="U334" s="2">
        <v>39.264321</v>
      </c>
    </row>
    <row r="335" spans="1:21">
      <c r="A335" t="s">
        <v>1815</v>
      </c>
      <c r="B335" t="s">
        <v>30</v>
      </c>
      <c r="C335" t="s">
        <v>1816</v>
      </c>
      <c r="D335" t="s">
        <v>1817</v>
      </c>
      <c r="E335" t="s">
        <v>1818</v>
      </c>
      <c r="F335" t="s">
        <v>7</v>
      </c>
      <c r="G335" t="s">
        <v>7</v>
      </c>
      <c r="H335" t="s">
        <v>63</v>
      </c>
      <c r="I335" t="s">
        <v>51</v>
      </c>
      <c r="J335" t="s">
        <v>1817</v>
      </c>
      <c r="K335" t="s">
        <v>85</v>
      </c>
      <c r="L335" t="s">
        <v>65</v>
      </c>
      <c r="M335" t="s">
        <v>36</v>
      </c>
      <c r="N335" t="s">
        <v>37</v>
      </c>
      <c r="O335" t="s">
        <v>66</v>
      </c>
      <c r="P335" t="s">
        <v>66</v>
      </c>
      <c r="Q335" t="s">
        <v>45</v>
      </c>
      <c r="R335" t="s">
        <v>1819</v>
      </c>
      <c r="S335" t="s">
        <v>32</v>
      </c>
      <c r="T335" s="2">
        <v>117.308682</v>
      </c>
      <c r="U335" s="2">
        <v>39.039088</v>
      </c>
    </row>
    <row r="336" spans="1:21">
      <c r="A336" t="s">
        <v>1820</v>
      </c>
      <c r="B336" t="s">
        <v>30</v>
      </c>
      <c r="C336" t="s">
        <v>1821</v>
      </c>
      <c r="D336" t="s">
        <v>1822</v>
      </c>
      <c r="E336" t="s">
        <v>1823</v>
      </c>
      <c r="F336" t="s">
        <v>7</v>
      </c>
      <c r="G336" t="s">
        <v>7</v>
      </c>
      <c r="H336" t="s">
        <v>56</v>
      </c>
      <c r="I336" t="s">
        <v>51</v>
      </c>
      <c r="J336" t="s">
        <v>1822</v>
      </c>
      <c r="K336" t="s">
        <v>85</v>
      </c>
      <c r="L336" t="s">
        <v>65</v>
      </c>
      <c r="M336" t="s">
        <v>36</v>
      </c>
      <c r="N336" t="s">
        <v>37</v>
      </c>
      <c r="O336" t="s">
        <v>66</v>
      </c>
      <c r="P336" t="s">
        <v>66</v>
      </c>
      <c r="Q336" t="s">
        <v>45</v>
      </c>
      <c r="R336" t="s">
        <v>1824</v>
      </c>
      <c r="S336" t="s">
        <v>32</v>
      </c>
      <c r="T336" s="2">
        <v>117.141592</v>
      </c>
      <c r="U336" s="2">
        <v>39.213311</v>
      </c>
    </row>
    <row r="337" spans="1:21">
      <c r="A337" t="s">
        <v>1825</v>
      </c>
      <c r="B337" t="s">
        <v>30</v>
      </c>
      <c r="C337" t="s">
        <v>1826</v>
      </c>
      <c r="D337" t="s">
        <v>1827</v>
      </c>
      <c r="E337" t="s">
        <v>1828</v>
      </c>
      <c r="F337" t="s">
        <v>7</v>
      </c>
      <c r="G337" t="s">
        <v>7</v>
      </c>
      <c r="H337" t="s">
        <v>43</v>
      </c>
      <c r="I337" t="s">
        <v>637</v>
      </c>
      <c r="J337" t="s">
        <v>1827</v>
      </c>
      <c r="K337" t="s">
        <v>85</v>
      </c>
      <c r="L337" t="s">
        <v>65</v>
      </c>
      <c r="M337" t="s">
        <v>36</v>
      </c>
      <c r="N337" t="s">
        <v>37</v>
      </c>
      <c r="O337" t="s">
        <v>66</v>
      </c>
      <c r="P337" t="s">
        <v>66</v>
      </c>
      <c r="Q337" t="s">
        <v>45</v>
      </c>
      <c r="R337" t="s">
        <v>1829</v>
      </c>
      <c r="S337" t="s">
        <v>32</v>
      </c>
      <c r="T337" s="2">
        <v>117.042947</v>
      </c>
      <c r="U337" s="2">
        <v>39.108503</v>
      </c>
    </row>
    <row r="338" spans="1:21">
      <c r="A338" t="s">
        <v>1830</v>
      </c>
      <c r="B338" t="s">
        <v>30</v>
      </c>
      <c r="C338" t="s">
        <v>1831</v>
      </c>
      <c r="D338" t="s">
        <v>1832</v>
      </c>
      <c r="E338" t="s">
        <v>1833</v>
      </c>
      <c r="F338" t="s">
        <v>7</v>
      </c>
      <c r="G338" t="s">
        <v>7</v>
      </c>
      <c r="H338" t="s">
        <v>43</v>
      </c>
      <c r="I338" t="s">
        <v>350</v>
      </c>
      <c r="J338" t="s">
        <v>1832</v>
      </c>
      <c r="K338" t="s">
        <v>85</v>
      </c>
      <c r="L338" t="s">
        <v>65</v>
      </c>
      <c r="M338" t="s">
        <v>36</v>
      </c>
      <c r="N338" t="s">
        <v>37</v>
      </c>
      <c r="O338" t="s">
        <v>66</v>
      </c>
      <c r="P338" t="s">
        <v>66</v>
      </c>
      <c r="Q338" t="s">
        <v>45</v>
      </c>
      <c r="R338" t="s">
        <v>1834</v>
      </c>
      <c r="S338" t="s">
        <v>32</v>
      </c>
      <c r="T338" s="2">
        <v>117.037074</v>
      </c>
      <c r="U338" s="2">
        <v>39.069271</v>
      </c>
    </row>
    <row r="339" spans="1:21">
      <c r="A339" t="s">
        <v>1835</v>
      </c>
      <c r="B339" t="s">
        <v>30</v>
      </c>
      <c r="C339" t="s">
        <v>1836</v>
      </c>
      <c r="D339" t="s">
        <v>1837</v>
      </c>
      <c r="E339" t="s">
        <v>1838</v>
      </c>
      <c r="F339" t="s">
        <v>7</v>
      </c>
      <c r="G339" t="s">
        <v>7</v>
      </c>
      <c r="H339" t="s">
        <v>73</v>
      </c>
      <c r="I339" t="s">
        <v>51</v>
      </c>
      <c r="J339" t="s">
        <v>1837</v>
      </c>
      <c r="K339" t="s">
        <v>797</v>
      </c>
      <c r="L339" t="s">
        <v>65</v>
      </c>
      <c r="M339" t="s">
        <v>36</v>
      </c>
      <c r="N339" t="s">
        <v>37</v>
      </c>
      <c r="O339" t="s">
        <v>66</v>
      </c>
      <c r="P339" t="s">
        <v>66</v>
      </c>
      <c r="Q339" t="s">
        <v>45</v>
      </c>
      <c r="R339" t="s">
        <v>1839</v>
      </c>
      <c r="S339" t="s">
        <v>32</v>
      </c>
      <c r="T339" s="2">
        <v>117.368075</v>
      </c>
      <c r="U339" s="2">
        <v>39.077002</v>
      </c>
    </row>
    <row r="340" spans="1:21">
      <c r="A340" t="s">
        <v>1840</v>
      </c>
      <c r="B340" t="s">
        <v>30</v>
      </c>
      <c r="C340" t="s">
        <v>1841</v>
      </c>
      <c r="D340" t="s">
        <v>1842</v>
      </c>
      <c r="E340" t="s">
        <v>1843</v>
      </c>
      <c r="F340" t="s">
        <v>7</v>
      </c>
      <c r="G340" t="s">
        <v>7</v>
      </c>
      <c r="H340" t="s">
        <v>73</v>
      </c>
      <c r="I340" t="s">
        <v>51</v>
      </c>
      <c r="J340" t="s">
        <v>1842</v>
      </c>
      <c r="K340" t="s">
        <v>85</v>
      </c>
      <c r="L340" t="s">
        <v>65</v>
      </c>
      <c r="M340" t="s">
        <v>36</v>
      </c>
      <c r="N340" t="s">
        <v>37</v>
      </c>
      <c r="O340" t="s">
        <v>66</v>
      </c>
      <c r="P340" t="s">
        <v>66</v>
      </c>
      <c r="Q340" t="s">
        <v>74</v>
      </c>
      <c r="R340" t="s">
        <v>1844</v>
      </c>
      <c r="S340" t="s">
        <v>32</v>
      </c>
      <c r="T340" s="2">
        <v>117.283875</v>
      </c>
      <c r="U340" s="2">
        <v>39.12165</v>
      </c>
    </row>
    <row r="341" spans="1:21">
      <c r="A341" t="s">
        <v>1845</v>
      </c>
      <c r="B341" t="s">
        <v>30</v>
      </c>
      <c r="C341" t="s">
        <v>1846</v>
      </c>
      <c r="D341" t="s">
        <v>1847</v>
      </c>
      <c r="E341" t="s">
        <v>1848</v>
      </c>
      <c r="F341" t="s">
        <v>7</v>
      </c>
      <c r="G341" t="s">
        <v>7</v>
      </c>
      <c r="H341" t="s">
        <v>262</v>
      </c>
      <c r="I341" t="s">
        <v>154</v>
      </c>
      <c r="J341" t="s">
        <v>1847</v>
      </c>
      <c r="K341" t="s">
        <v>85</v>
      </c>
      <c r="L341" t="s">
        <v>65</v>
      </c>
      <c r="M341" t="s">
        <v>36</v>
      </c>
      <c r="N341" t="s">
        <v>37</v>
      </c>
      <c r="O341" t="s">
        <v>66</v>
      </c>
      <c r="P341" t="s">
        <v>66</v>
      </c>
      <c r="Q341" t="s">
        <v>45</v>
      </c>
      <c r="R341" t="s">
        <v>1849</v>
      </c>
      <c r="S341" t="s">
        <v>32</v>
      </c>
      <c r="T341" s="2">
        <v>117.227548</v>
      </c>
      <c r="U341" s="2">
        <v>39.17973</v>
      </c>
    </row>
    <row r="342" spans="1:21">
      <c r="A342" t="s">
        <v>1850</v>
      </c>
      <c r="B342" t="s">
        <v>30</v>
      </c>
      <c r="C342" t="s">
        <v>1851</v>
      </c>
      <c r="D342" t="s">
        <v>1852</v>
      </c>
      <c r="E342" t="s">
        <v>1853</v>
      </c>
      <c r="F342" t="s">
        <v>7</v>
      </c>
      <c r="G342" t="s">
        <v>7</v>
      </c>
      <c r="H342" t="s">
        <v>43</v>
      </c>
      <c r="I342" t="s">
        <v>51</v>
      </c>
      <c r="J342" t="s">
        <v>1852</v>
      </c>
      <c r="K342" t="s">
        <v>85</v>
      </c>
      <c r="L342" t="s">
        <v>65</v>
      </c>
      <c r="M342" t="s">
        <v>36</v>
      </c>
      <c r="N342" t="s">
        <v>37</v>
      </c>
      <c r="O342" t="s">
        <v>66</v>
      </c>
      <c r="P342" t="s">
        <v>66</v>
      </c>
      <c r="Q342" t="s">
        <v>45</v>
      </c>
      <c r="R342" t="s">
        <v>1854</v>
      </c>
      <c r="S342" t="s">
        <v>32</v>
      </c>
      <c r="T342" s="2">
        <v>117.069649</v>
      </c>
      <c r="U342" s="2">
        <v>39.117001</v>
      </c>
    </row>
    <row r="343" spans="1:21">
      <c r="A343" t="s">
        <v>1855</v>
      </c>
      <c r="B343" t="s">
        <v>30</v>
      </c>
      <c r="C343" t="s">
        <v>1856</v>
      </c>
      <c r="D343" t="s">
        <v>1857</v>
      </c>
      <c r="E343" t="s">
        <v>1858</v>
      </c>
      <c r="F343" t="s">
        <v>7</v>
      </c>
      <c r="G343" t="s">
        <v>7</v>
      </c>
      <c r="H343" t="s">
        <v>50</v>
      </c>
      <c r="I343" t="s">
        <v>189</v>
      </c>
      <c r="J343" t="s">
        <v>1857</v>
      </c>
      <c r="K343" t="s">
        <v>32</v>
      </c>
      <c r="L343" t="s">
        <v>32</v>
      </c>
      <c r="M343" t="s">
        <v>36</v>
      </c>
      <c r="N343" t="s">
        <v>37</v>
      </c>
      <c r="O343" t="s">
        <v>66</v>
      </c>
      <c r="P343" t="s">
        <v>66</v>
      </c>
      <c r="Q343" t="s">
        <v>74</v>
      </c>
      <c r="R343" t="s">
        <v>1859</v>
      </c>
      <c r="S343" t="s">
        <v>32</v>
      </c>
      <c r="T343" s="2">
        <v>117.249998</v>
      </c>
      <c r="U343" s="2">
        <v>39.050097</v>
      </c>
    </row>
    <row r="344" spans="1:21">
      <c r="A344" t="s">
        <v>1860</v>
      </c>
      <c r="B344" t="s">
        <v>30</v>
      </c>
      <c r="C344" t="s">
        <v>1861</v>
      </c>
      <c r="D344" t="s">
        <v>1862</v>
      </c>
      <c r="E344" t="s">
        <v>1863</v>
      </c>
      <c r="F344" t="s">
        <v>7</v>
      </c>
      <c r="G344" t="s">
        <v>7</v>
      </c>
      <c r="H344" t="s">
        <v>43</v>
      </c>
      <c r="I344" t="s">
        <v>51</v>
      </c>
      <c r="J344" t="s">
        <v>1862</v>
      </c>
      <c r="K344" t="s">
        <v>85</v>
      </c>
      <c r="L344" t="s">
        <v>1864</v>
      </c>
      <c r="M344" t="s">
        <v>36</v>
      </c>
      <c r="N344" t="s">
        <v>37</v>
      </c>
      <c r="O344" t="s">
        <v>66</v>
      </c>
      <c r="P344" t="s">
        <v>66</v>
      </c>
      <c r="Q344" t="s">
        <v>45</v>
      </c>
      <c r="R344" t="s">
        <v>1865</v>
      </c>
      <c r="S344" t="s">
        <v>32</v>
      </c>
      <c r="T344" s="2">
        <v>117.097895</v>
      </c>
      <c r="U344" s="2">
        <v>39.11285</v>
      </c>
    </row>
    <row r="345" spans="1:21">
      <c r="A345" t="s">
        <v>1866</v>
      </c>
      <c r="B345" t="s">
        <v>30</v>
      </c>
      <c r="C345" t="s">
        <v>1867</v>
      </c>
      <c r="D345" t="s">
        <v>1868</v>
      </c>
      <c r="E345" t="s">
        <v>1869</v>
      </c>
      <c r="F345" t="s">
        <v>7</v>
      </c>
      <c r="G345" t="s">
        <v>7</v>
      </c>
      <c r="H345" t="s">
        <v>56</v>
      </c>
      <c r="I345" t="s">
        <v>51</v>
      </c>
      <c r="J345" t="s">
        <v>1868</v>
      </c>
      <c r="K345" t="s">
        <v>657</v>
      </c>
      <c r="L345" t="s">
        <v>65</v>
      </c>
      <c r="M345" t="s">
        <v>36</v>
      </c>
      <c r="N345" t="s">
        <v>37</v>
      </c>
      <c r="O345" t="s">
        <v>66</v>
      </c>
      <c r="P345" t="s">
        <v>66</v>
      </c>
      <c r="Q345" t="s">
        <v>45</v>
      </c>
      <c r="R345" t="s">
        <v>1870</v>
      </c>
      <c r="S345" t="s">
        <v>32</v>
      </c>
      <c r="T345" s="2">
        <v>117.241101</v>
      </c>
      <c r="U345" s="2">
        <v>39.230376</v>
      </c>
    </row>
    <row r="346" spans="1:21">
      <c r="A346" t="s">
        <v>1871</v>
      </c>
      <c r="B346" t="s">
        <v>30</v>
      </c>
      <c r="C346" t="s">
        <v>1531</v>
      </c>
      <c r="D346" t="s">
        <v>1872</v>
      </c>
      <c r="E346" t="s">
        <v>1873</v>
      </c>
      <c r="F346" t="s">
        <v>7</v>
      </c>
      <c r="G346" t="s">
        <v>7</v>
      </c>
      <c r="H346" t="s">
        <v>43</v>
      </c>
      <c r="I346" t="s">
        <v>51</v>
      </c>
      <c r="J346" t="s">
        <v>1872</v>
      </c>
      <c r="K346" t="s">
        <v>85</v>
      </c>
      <c r="L346" t="s">
        <v>65</v>
      </c>
      <c r="M346" t="s">
        <v>36</v>
      </c>
      <c r="N346" t="s">
        <v>37</v>
      </c>
      <c r="O346" t="s">
        <v>66</v>
      </c>
      <c r="P346" t="s">
        <v>66</v>
      </c>
      <c r="Q346" t="s">
        <v>45</v>
      </c>
      <c r="R346" t="s">
        <v>1874</v>
      </c>
      <c r="S346" t="s">
        <v>32</v>
      </c>
      <c r="T346" s="2">
        <v>117.035025</v>
      </c>
      <c r="U346" s="2">
        <v>39.131641</v>
      </c>
    </row>
    <row r="347" spans="1:21">
      <c r="A347" t="s">
        <v>1875</v>
      </c>
      <c r="B347" t="s">
        <v>30</v>
      </c>
      <c r="C347" t="s">
        <v>1876</v>
      </c>
      <c r="D347" t="s">
        <v>1877</v>
      </c>
      <c r="E347" t="s">
        <v>1878</v>
      </c>
      <c r="F347" t="s">
        <v>7</v>
      </c>
      <c r="G347" t="s">
        <v>7</v>
      </c>
      <c r="H347" t="s">
        <v>133</v>
      </c>
      <c r="I347" t="s">
        <v>51</v>
      </c>
      <c r="J347" t="s">
        <v>1877</v>
      </c>
      <c r="K347" t="s">
        <v>85</v>
      </c>
      <c r="L347" t="s">
        <v>65</v>
      </c>
      <c r="M347" t="s">
        <v>36</v>
      </c>
      <c r="N347" t="s">
        <v>37</v>
      </c>
      <c r="O347" t="s">
        <v>66</v>
      </c>
      <c r="P347" t="s">
        <v>66</v>
      </c>
      <c r="Q347" t="s">
        <v>45</v>
      </c>
      <c r="R347" t="s">
        <v>1879</v>
      </c>
      <c r="S347" t="s">
        <v>32</v>
      </c>
      <c r="T347" s="2">
        <v>117.144002</v>
      </c>
      <c r="U347" s="2">
        <v>39.188451</v>
      </c>
    </row>
    <row r="348" spans="1:21">
      <c r="A348" t="s">
        <v>1880</v>
      </c>
      <c r="B348" t="s">
        <v>30</v>
      </c>
      <c r="C348" t="s">
        <v>1881</v>
      </c>
      <c r="D348" t="s">
        <v>1882</v>
      </c>
      <c r="E348" t="s">
        <v>1883</v>
      </c>
      <c r="F348" t="s">
        <v>7</v>
      </c>
      <c r="G348" t="s">
        <v>7</v>
      </c>
      <c r="H348" t="s">
        <v>56</v>
      </c>
      <c r="I348" t="s">
        <v>51</v>
      </c>
      <c r="J348" t="s">
        <v>1882</v>
      </c>
      <c r="K348" t="s">
        <v>85</v>
      </c>
      <c r="L348" t="s">
        <v>65</v>
      </c>
      <c r="M348" t="s">
        <v>36</v>
      </c>
      <c r="N348" t="s">
        <v>37</v>
      </c>
      <c r="O348" t="s">
        <v>66</v>
      </c>
      <c r="P348" t="s">
        <v>66</v>
      </c>
      <c r="Q348" t="s">
        <v>45</v>
      </c>
      <c r="R348" t="s">
        <v>1884</v>
      </c>
      <c r="S348" t="s">
        <v>32</v>
      </c>
      <c r="T348" s="2">
        <v>117.145585</v>
      </c>
      <c r="U348" s="2">
        <v>39.23752</v>
      </c>
    </row>
    <row r="349" spans="1:21">
      <c r="A349" t="s">
        <v>1885</v>
      </c>
      <c r="B349" t="s">
        <v>30</v>
      </c>
      <c r="C349" t="s">
        <v>1886</v>
      </c>
      <c r="D349" t="s">
        <v>1887</v>
      </c>
      <c r="E349" t="s">
        <v>1888</v>
      </c>
      <c r="F349" t="s">
        <v>7</v>
      </c>
      <c r="G349" t="s">
        <v>7</v>
      </c>
      <c r="H349" t="s">
        <v>73</v>
      </c>
      <c r="I349" t="s">
        <v>154</v>
      </c>
      <c r="J349" t="s">
        <v>1887</v>
      </c>
      <c r="K349" t="s">
        <v>85</v>
      </c>
      <c r="L349" t="s">
        <v>65</v>
      </c>
      <c r="M349" t="s">
        <v>36</v>
      </c>
      <c r="N349" t="s">
        <v>37</v>
      </c>
      <c r="O349" t="s">
        <v>66</v>
      </c>
      <c r="P349" t="s">
        <v>66</v>
      </c>
      <c r="Q349" t="s">
        <v>45</v>
      </c>
      <c r="R349" t="s">
        <v>1889</v>
      </c>
      <c r="S349" t="s">
        <v>32</v>
      </c>
      <c r="T349" s="2">
        <v>117.239608</v>
      </c>
      <c r="U349" s="2">
        <v>39.187495</v>
      </c>
    </row>
    <row r="350" spans="1:21">
      <c r="A350" t="s">
        <v>1890</v>
      </c>
      <c r="B350" t="s">
        <v>30</v>
      </c>
      <c r="C350" t="s">
        <v>1891</v>
      </c>
      <c r="D350" t="s">
        <v>1892</v>
      </c>
      <c r="E350" t="s">
        <v>1893</v>
      </c>
      <c r="F350" t="s">
        <v>7</v>
      </c>
      <c r="G350" t="s">
        <v>7</v>
      </c>
      <c r="H350" t="s">
        <v>73</v>
      </c>
      <c r="I350" t="s">
        <v>274</v>
      </c>
      <c r="J350" t="s">
        <v>1892</v>
      </c>
      <c r="K350" t="s">
        <v>85</v>
      </c>
      <c r="L350" t="s">
        <v>65</v>
      </c>
      <c r="M350" t="s">
        <v>36</v>
      </c>
      <c r="N350" t="s">
        <v>37</v>
      </c>
      <c r="O350" t="s">
        <v>66</v>
      </c>
      <c r="P350" t="s">
        <v>66</v>
      </c>
      <c r="Q350" t="s">
        <v>74</v>
      </c>
      <c r="R350" t="s">
        <v>1894</v>
      </c>
      <c r="S350" t="s">
        <v>32</v>
      </c>
      <c r="T350" s="2">
        <v>117.306517</v>
      </c>
      <c r="U350" s="2">
        <v>39.163123</v>
      </c>
    </row>
    <row r="351" spans="1:21">
      <c r="A351" t="s">
        <v>1895</v>
      </c>
      <c r="B351" t="s">
        <v>30</v>
      </c>
      <c r="C351" t="s">
        <v>1896</v>
      </c>
      <c r="D351" t="s">
        <v>1897</v>
      </c>
      <c r="E351" t="s">
        <v>1898</v>
      </c>
      <c r="F351" t="s">
        <v>7</v>
      </c>
      <c r="G351" t="s">
        <v>7</v>
      </c>
      <c r="H351" t="s">
        <v>73</v>
      </c>
      <c r="I351" t="s">
        <v>51</v>
      </c>
      <c r="J351" t="s">
        <v>1897</v>
      </c>
      <c r="K351" t="s">
        <v>85</v>
      </c>
      <c r="L351" t="s">
        <v>65</v>
      </c>
      <c r="M351" t="s">
        <v>36</v>
      </c>
      <c r="N351" t="s">
        <v>37</v>
      </c>
      <c r="O351" t="s">
        <v>66</v>
      </c>
      <c r="P351" t="s">
        <v>66</v>
      </c>
      <c r="Q351" t="s">
        <v>74</v>
      </c>
      <c r="R351" t="s">
        <v>1899</v>
      </c>
      <c r="S351" t="s">
        <v>32</v>
      </c>
      <c r="T351" s="2">
        <v>117.275796</v>
      </c>
      <c r="U351" s="2">
        <v>39.198897</v>
      </c>
    </row>
    <row r="352" spans="1:21">
      <c r="A352" t="s">
        <v>1900</v>
      </c>
      <c r="B352" t="s">
        <v>30</v>
      </c>
      <c r="C352" t="s">
        <v>1901</v>
      </c>
      <c r="D352" t="s">
        <v>1902</v>
      </c>
      <c r="E352" t="s">
        <v>1903</v>
      </c>
      <c r="F352" t="s">
        <v>7</v>
      </c>
      <c r="G352" t="s">
        <v>7</v>
      </c>
      <c r="H352" t="s">
        <v>56</v>
      </c>
      <c r="I352" t="s">
        <v>51</v>
      </c>
      <c r="J352" t="s">
        <v>1902</v>
      </c>
      <c r="K352" t="s">
        <v>85</v>
      </c>
      <c r="L352" t="s">
        <v>65</v>
      </c>
      <c r="M352" t="s">
        <v>36</v>
      </c>
      <c r="N352" t="s">
        <v>37</v>
      </c>
      <c r="O352" t="s">
        <v>66</v>
      </c>
      <c r="P352" t="s">
        <v>66</v>
      </c>
      <c r="Q352" t="s">
        <v>45</v>
      </c>
      <c r="R352" t="s">
        <v>1904</v>
      </c>
      <c r="S352" t="s">
        <v>32</v>
      </c>
      <c r="T352" s="2">
        <v>117.188395</v>
      </c>
      <c r="U352" s="2">
        <v>39.200784</v>
      </c>
    </row>
    <row r="353" spans="1:21">
      <c r="A353" t="s">
        <v>1905</v>
      </c>
      <c r="B353" t="s">
        <v>30</v>
      </c>
      <c r="C353" t="s">
        <v>1906</v>
      </c>
      <c r="D353" t="s">
        <v>1907</v>
      </c>
      <c r="E353" t="s">
        <v>1908</v>
      </c>
      <c r="F353" t="s">
        <v>7</v>
      </c>
      <c r="G353" t="s">
        <v>7</v>
      </c>
      <c r="H353" t="s">
        <v>43</v>
      </c>
      <c r="I353" t="s">
        <v>154</v>
      </c>
      <c r="J353" t="s">
        <v>1907</v>
      </c>
      <c r="K353" t="s">
        <v>797</v>
      </c>
      <c r="L353" t="s">
        <v>65</v>
      </c>
      <c r="M353" t="s">
        <v>36</v>
      </c>
      <c r="N353" t="s">
        <v>37</v>
      </c>
      <c r="O353" t="s">
        <v>66</v>
      </c>
      <c r="P353" t="s">
        <v>66</v>
      </c>
      <c r="Q353" t="s">
        <v>45</v>
      </c>
      <c r="R353" t="s">
        <v>1909</v>
      </c>
      <c r="S353" t="s">
        <v>32</v>
      </c>
      <c r="T353" s="2">
        <v>117.081814</v>
      </c>
      <c r="U353" s="2">
        <v>39.070823</v>
      </c>
    </row>
    <row r="354" spans="1:21">
      <c r="A354" t="s">
        <v>1910</v>
      </c>
      <c r="B354" t="s">
        <v>30</v>
      </c>
      <c r="C354" t="s">
        <v>1911</v>
      </c>
      <c r="D354" t="s">
        <v>1912</v>
      </c>
      <c r="E354" t="s">
        <v>1913</v>
      </c>
      <c r="F354" t="s">
        <v>7</v>
      </c>
      <c r="G354" t="s">
        <v>7</v>
      </c>
      <c r="H354" t="s">
        <v>43</v>
      </c>
      <c r="I354" t="s">
        <v>154</v>
      </c>
      <c r="J354" t="s">
        <v>1912</v>
      </c>
      <c r="K354" t="s">
        <v>85</v>
      </c>
      <c r="L354" t="s">
        <v>65</v>
      </c>
      <c r="M354" t="s">
        <v>36</v>
      </c>
      <c r="N354" t="s">
        <v>37</v>
      </c>
      <c r="O354" t="s">
        <v>66</v>
      </c>
      <c r="P354" t="s">
        <v>66</v>
      </c>
      <c r="Q354" t="s">
        <v>45</v>
      </c>
      <c r="R354" t="s">
        <v>1914</v>
      </c>
      <c r="S354" t="s">
        <v>32</v>
      </c>
      <c r="T354" s="2">
        <v>117.275594</v>
      </c>
      <c r="U354" s="2">
        <v>38.999725</v>
      </c>
    </row>
    <row r="355" spans="1:21">
      <c r="A355" t="s">
        <v>1915</v>
      </c>
      <c r="B355" t="s">
        <v>30</v>
      </c>
      <c r="C355" t="s">
        <v>1916</v>
      </c>
      <c r="D355" t="s">
        <v>1917</v>
      </c>
      <c r="E355" t="s">
        <v>1918</v>
      </c>
      <c r="F355" t="s">
        <v>7</v>
      </c>
      <c r="G355" t="s">
        <v>7</v>
      </c>
      <c r="H355" t="s">
        <v>146</v>
      </c>
      <c r="I355" t="s">
        <v>154</v>
      </c>
      <c r="J355" t="s">
        <v>1917</v>
      </c>
      <c r="K355" t="s">
        <v>85</v>
      </c>
      <c r="L355" t="s">
        <v>65</v>
      </c>
      <c r="M355" t="s">
        <v>36</v>
      </c>
      <c r="N355" t="s">
        <v>37</v>
      </c>
      <c r="O355" t="s">
        <v>66</v>
      </c>
      <c r="P355" t="s">
        <v>66</v>
      </c>
      <c r="Q355" t="s">
        <v>45</v>
      </c>
      <c r="R355" t="s">
        <v>1919</v>
      </c>
      <c r="S355" t="s">
        <v>32</v>
      </c>
      <c r="T355" s="2">
        <v>117.249335</v>
      </c>
      <c r="U355" s="2">
        <v>39.059049</v>
      </c>
    </row>
    <row r="356" spans="1:21">
      <c r="A356" t="s">
        <v>1920</v>
      </c>
      <c r="B356" t="s">
        <v>30</v>
      </c>
      <c r="C356" t="s">
        <v>1921</v>
      </c>
      <c r="D356" t="s">
        <v>1922</v>
      </c>
      <c r="E356" t="s">
        <v>1923</v>
      </c>
      <c r="F356" t="s">
        <v>7</v>
      </c>
      <c r="G356" t="s">
        <v>7</v>
      </c>
      <c r="H356" t="s">
        <v>63</v>
      </c>
      <c r="I356" t="s">
        <v>51</v>
      </c>
      <c r="J356" t="s">
        <v>1922</v>
      </c>
      <c r="K356" t="s">
        <v>85</v>
      </c>
      <c r="L356" t="s">
        <v>65</v>
      </c>
      <c r="M356" t="s">
        <v>36</v>
      </c>
      <c r="N356" t="s">
        <v>37</v>
      </c>
      <c r="O356" t="s">
        <v>66</v>
      </c>
      <c r="P356" t="s">
        <v>66</v>
      </c>
      <c r="Q356" t="s">
        <v>45</v>
      </c>
      <c r="R356" t="s">
        <v>1924</v>
      </c>
      <c r="S356" t="s">
        <v>32</v>
      </c>
      <c r="T356" s="2">
        <v>117.302362</v>
      </c>
      <c r="U356" s="2">
        <v>39.011654</v>
      </c>
    </row>
    <row r="357" spans="1:21">
      <c r="A357" t="s">
        <v>1925</v>
      </c>
      <c r="B357" t="s">
        <v>30</v>
      </c>
      <c r="C357" t="s">
        <v>1926</v>
      </c>
      <c r="D357" t="s">
        <v>1927</v>
      </c>
      <c r="E357" t="s">
        <v>1928</v>
      </c>
      <c r="F357" t="s">
        <v>7</v>
      </c>
      <c r="G357" t="s">
        <v>7</v>
      </c>
      <c r="H357" t="s">
        <v>43</v>
      </c>
      <c r="I357" t="s">
        <v>154</v>
      </c>
      <c r="J357" t="s">
        <v>1927</v>
      </c>
      <c r="K357" t="s">
        <v>85</v>
      </c>
      <c r="L357" t="s">
        <v>65</v>
      </c>
      <c r="M357" t="s">
        <v>36</v>
      </c>
      <c r="N357" t="s">
        <v>37</v>
      </c>
      <c r="O357" t="s">
        <v>66</v>
      </c>
      <c r="P357" t="s">
        <v>66</v>
      </c>
      <c r="Q357" t="s">
        <v>45</v>
      </c>
      <c r="R357" t="s">
        <v>1929</v>
      </c>
      <c r="S357" t="s">
        <v>32</v>
      </c>
      <c r="T357" s="2">
        <v>117.17585</v>
      </c>
      <c r="U357" s="2">
        <v>39.03545</v>
      </c>
    </row>
    <row r="358" spans="1:21">
      <c r="A358" t="s">
        <v>1930</v>
      </c>
      <c r="B358" t="s">
        <v>30</v>
      </c>
      <c r="C358" t="s">
        <v>1931</v>
      </c>
      <c r="D358" t="s">
        <v>1932</v>
      </c>
      <c r="E358" t="s">
        <v>1933</v>
      </c>
      <c r="F358" t="s">
        <v>7</v>
      </c>
      <c r="G358" t="s">
        <v>7</v>
      </c>
      <c r="H358" t="s">
        <v>43</v>
      </c>
      <c r="I358" t="s">
        <v>154</v>
      </c>
      <c r="J358" t="s">
        <v>1932</v>
      </c>
      <c r="K358" t="s">
        <v>85</v>
      </c>
      <c r="L358" t="s">
        <v>65</v>
      </c>
      <c r="M358" t="s">
        <v>36</v>
      </c>
      <c r="N358" t="s">
        <v>37</v>
      </c>
      <c r="O358" t="s">
        <v>66</v>
      </c>
      <c r="P358" t="s">
        <v>66</v>
      </c>
      <c r="Q358" t="s">
        <v>45</v>
      </c>
      <c r="R358" t="s">
        <v>1934</v>
      </c>
      <c r="S358" t="s">
        <v>32</v>
      </c>
      <c r="T358" s="2">
        <v>117.001552</v>
      </c>
      <c r="U358" s="2">
        <v>39.107594</v>
      </c>
    </row>
    <row r="359" spans="1:21">
      <c r="A359" t="s">
        <v>1935</v>
      </c>
      <c r="B359" t="s">
        <v>30</v>
      </c>
      <c r="C359" t="s">
        <v>1936</v>
      </c>
      <c r="D359" t="s">
        <v>1937</v>
      </c>
      <c r="E359" t="s">
        <v>1938</v>
      </c>
      <c r="F359" t="s">
        <v>7</v>
      </c>
      <c r="G359" t="s">
        <v>7</v>
      </c>
      <c r="H359" t="s">
        <v>133</v>
      </c>
      <c r="I359" t="s">
        <v>154</v>
      </c>
      <c r="J359" t="s">
        <v>1937</v>
      </c>
      <c r="K359" t="s">
        <v>977</v>
      </c>
      <c r="L359" t="s">
        <v>65</v>
      </c>
      <c r="M359" t="s">
        <v>36</v>
      </c>
      <c r="N359" t="s">
        <v>37</v>
      </c>
      <c r="O359" t="s">
        <v>66</v>
      </c>
      <c r="P359" t="s">
        <v>66</v>
      </c>
      <c r="Q359" t="s">
        <v>45</v>
      </c>
      <c r="R359" t="s">
        <v>1939</v>
      </c>
      <c r="S359" t="s">
        <v>32</v>
      </c>
      <c r="T359" s="2">
        <v>117.169759</v>
      </c>
      <c r="U359" s="2">
        <v>39.175325</v>
      </c>
    </row>
    <row r="360" spans="1:21">
      <c r="A360" t="s">
        <v>1940</v>
      </c>
      <c r="B360" t="s">
        <v>30</v>
      </c>
      <c r="C360" t="s">
        <v>1941</v>
      </c>
      <c r="D360" t="s">
        <v>1942</v>
      </c>
      <c r="E360" t="s">
        <v>1943</v>
      </c>
      <c r="F360" t="s">
        <v>7</v>
      </c>
      <c r="G360" t="s">
        <v>7</v>
      </c>
      <c r="H360" t="s">
        <v>56</v>
      </c>
      <c r="I360" t="s">
        <v>51</v>
      </c>
      <c r="J360" t="s">
        <v>1942</v>
      </c>
      <c r="K360" t="s">
        <v>182</v>
      </c>
      <c r="L360" t="s">
        <v>65</v>
      </c>
      <c r="M360" t="s">
        <v>36</v>
      </c>
      <c r="N360" t="s">
        <v>37</v>
      </c>
      <c r="O360" t="s">
        <v>66</v>
      </c>
      <c r="P360" t="s">
        <v>66</v>
      </c>
      <c r="Q360" t="s">
        <v>74</v>
      </c>
      <c r="R360" t="s">
        <v>1944</v>
      </c>
      <c r="S360" t="s">
        <v>32</v>
      </c>
      <c r="T360" s="2">
        <v>117.093332</v>
      </c>
      <c r="U360" s="2">
        <v>39.262001</v>
      </c>
    </row>
    <row r="361" spans="1:21">
      <c r="A361" t="s">
        <v>1945</v>
      </c>
      <c r="B361" t="s">
        <v>30</v>
      </c>
      <c r="C361" t="s">
        <v>1946</v>
      </c>
      <c r="D361" t="s">
        <v>1947</v>
      </c>
      <c r="E361" t="s">
        <v>1948</v>
      </c>
      <c r="F361" t="s">
        <v>7</v>
      </c>
      <c r="G361" t="s">
        <v>7</v>
      </c>
      <c r="H361" t="s">
        <v>73</v>
      </c>
      <c r="I361" t="s">
        <v>51</v>
      </c>
      <c r="J361" t="s">
        <v>1947</v>
      </c>
      <c r="K361" t="s">
        <v>85</v>
      </c>
      <c r="L361" t="s">
        <v>65</v>
      </c>
      <c r="M361" t="s">
        <v>36</v>
      </c>
      <c r="N361" t="s">
        <v>37</v>
      </c>
      <c r="O361" t="s">
        <v>66</v>
      </c>
      <c r="P361" t="s">
        <v>66</v>
      </c>
      <c r="Q361" t="s">
        <v>45</v>
      </c>
      <c r="R361" t="s">
        <v>1949</v>
      </c>
      <c r="S361" t="s">
        <v>32</v>
      </c>
      <c r="T361" s="2">
        <v>117.299013</v>
      </c>
      <c r="U361" s="2">
        <v>39.198099</v>
      </c>
    </row>
    <row r="362" spans="1:21">
      <c r="A362" t="s">
        <v>1950</v>
      </c>
      <c r="B362" t="s">
        <v>30</v>
      </c>
      <c r="C362" t="s">
        <v>1951</v>
      </c>
      <c r="D362" t="s">
        <v>1952</v>
      </c>
      <c r="E362" t="s">
        <v>1953</v>
      </c>
      <c r="F362" t="s">
        <v>7</v>
      </c>
      <c r="G362" t="s">
        <v>7</v>
      </c>
      <c r="H362" t="s">
        <v>56</v>
      </c>
      <c r="I362" t="s">
        <v>51</v>
      </c>
      <c r="J362" t="s">
        <v>1952</v>
      </c>
      <c r="K362" t="s">
        <v>32</v>
      </c>
      <c r="L362" t="s">
        <v>32</v>
      </c>
      <c r="M362" t="s">
        <v>36</v>
      </c>
      <c r="N362" t="s">
        <v>37</v>
      </c>
      <c r="O362" t="s">
        <v>66</v>
      </c>
      <c r="P362" t="s">
        <v>66</v>
      </c>
      <c r="Q362" t="s">
        <v>74</v>
      </c>
      <c r="R362" t="s">
        <v>1954</v>
      </c>
      <c r="S362" t="s">
        <v>32</v>
      </c>
      <c r="T362" s="2">
        <v>117.323636</v>
      </c>
      <c r="U362" s="2">
        <v>39.252141</v>
      </c>
    </row>
    <row r="363" spans="1:21">
      <c r="A363" t="s">
        <v>1955</v>
      </c>
      <c r="B363" t="s">
        <v>30</v>
      </c>
      <c r="C363" t="s">
        <v>1956</v>
      </c>
      <c r="D363" t="s">
        <v>1957</v>
      </c>
      <c r="E363" t="s">
        <v>1958</v>
      </c>
      <c r="F363" t="s">
        <v>7</v>
      </c>
      <c r="G363" t="s">
        <v>7</v>
      </c>
      <c r="H363" t="s">
        <v>56</v>
      </c>
      <c r="I363" t="s">
        <v>44</v>
      </c>
      <c r="J363" t="s">
        <v>1957</v>
      </c>
      <c r="K363" t="s">
        <v>85</v>
      </c>
      <c r="L363" t="s">
        <v>65</v>
      </c>
      <c r="M363" t="s">
        <v>36</v>
      </c>
      <c r="N363" t="s">
        <v>37</v>
      </c>
      <c r="O363" t="s">
        <v>66</v>
      </c>
      <c r="P363" t="s">
        <v>66</v>
      </c>
      <c r="Q363" t="s">
        <v>45</v>
      </c>
      <c r="R363" t="s">
        <v>1959</v>
      </c>
      <c r="S363" t="s">
        <v>32</v>
      </c>
      <c r="T363" s="2">
        <v>117.217353</v>
      </c>
      <c r="U363" s="2">
        <v>39.237382</v>
      </c>
    </row>
    <row r="364" spans="1:21">
      <c r="A364" t="s">
        <v>1960</v>
      </c>
      <c r="B364" t="s">
        <v>30</v>
      </c>
      <c r="C364" t="s">
        <v>1961</v>
      </c>
      <c r="D364" t="s">
        <v>1962</v>
      </c>
      <c r="E364" t="s">
        <v>1963</v>
      </c>
      <c r="F364" t="s">
        <v>7</v>
      </c>
      <c r="G364" t="s">
        <v>7</v>
      </c>
      <c r="H364" t="s">
        <v>56</v>
      </c>
      <c r="I364" t="s">
        <v>1221</v>
      </c>
      <c r="J364" t="s">
        <v>1962</v>
      </c>
      <c r="K364" t="s">
        <v>85</v>
      </c>
      <c r="L364" t="s">
        <v>65</v>
      </c>
      <c r="M364" t="s">
        <v>36</v>
      </c>
      <c r="N364" t="s">
        <v>37</v>
      </c>
      <c r="O364" t="s">
        <v>66</v>
      </c>
      <c r="P364" t="s">
        <v>66</v>
      </c>
      <c r="Q364" t="s">
        <v>45</v>
      </c>
      <c r="R364" t="s">
        <v>1964</v>
      </c>
      <c r="S364" t="s">
        <v>32</v>
      </c>
      <c r="T364" s="2">
        <v>117.116819</v>
      </c>
      <c r="U364" s="2">
        <v>39.276701</v>
      </c>
    </row>
    <row r="365" spans="1:21">
      <c r="A365" t="s">
        <v>1965</v>
      </c>
      <c r="B365" t="s">
        <v>30</v>
      </c>
      <c r="C365" t="s">
        <v>1966</v>
      </c>
      <c r="D365" t="s">
        <v>1967</v>
      </c>
      <c r="E365" t="s">
        <v>1968</v>
      </c>
      <c r="F365" t="s">
        <v>7</v>
      </c>
      <c r="G365" t="s">
        <v>7</v>
      </c>
      <c r="H365" t="s">
        <v>56</v>
      </c>
      <c r="I365" t="s">
        <v>350</v>
      </c>
      <c r="J365" t="s">
        <v>1967</v>
      </c>
      <c r="K365" t="s">
        <v>977</v>
      </c>
      <c r="L365" t="s">
        <v>65</v>
      </c>
      <c r="M365" t="s">
        <v>36</v>
      </c>
      <c r="N365" t="s">
        <v>37</v>
      </c>
      <c r="O365" t="s">
        <v>66</v>
      </c>
      <c r="P365" t="s">
        <v>66</v>
      </c>
      <c r="Q365" t="s">
        <v>45</v>
      </c>
      <c r="R365" t="s">
        <v>1969</v>
      </c>
      <c r="S365" t="s">
        <v>32</v>
      </c>
      <c r="T365" s="2">
        <v>117.236866</v>
      </c>
      <c r="U365" s="2">
        <v>39.285401</v>
      </c>
    </row>
    <row r="366" spans="1:21">
      <c r="A366" t="s">
        <v>1970</v>
      </c>
      <c r="B366" t="s">
        <v>30</v>
      </c>
      <c r="C366" t="s">
        <v>1971</v>
      </c>
      <c r="D366" t="s">
        <v>1972</v>
      </c>
      <c r="E366" t="s">
        <v>1973</v>
      </c>
      <c r="F366" t="s">
        <v>7</v>
      </c>
      <c r="G366" t="s">
        <v>7</v>
      </c>
      <c r="H366" t="s">
        <v>43</v>
      </c>
      <c r="I366" t="s">
        <v>154</v>
      </c>
      <c r="J366" t="s">
        <v>1972</v>
      </c>
      <c r="K366" t="s">
        <v>85</v>
      </c>
      <c r="L366" t="s">
        <v>65</v>
      </c>
      <c r="M366" t="s">
        <v>36</v>
      </c>
      <c r="N366" t="s">
        <v>37</v>
      </c>
      <c r="O366" t="s">
        <v>66</v>
      </c>
      <c r="P366" t="s">
        <v>66</v>
      </c>
      <c r="Q366" t="s">
        <v>45</v>
      </c>
      <c r="R366" t="s">
        <v>1974</v>
      </c>
      <c r="S366" t="s">
        <v>32</v>
      </c>
      <c r="T366" s="2">
        <v>117.017741</v>
      </c>
      <c r="U366" s="2">
        <v>39.099671</v>
      </c>
    </row>
    <row r="367" spans="1:21">
      <c r="A367" t="s">
        <v>1975</v>
      </c>
      <c r="B367" t="s">
        <v>30</v>
      </c>
      <c r="C367" t="s">
        <v>1976</v>
      </c>
      <c r="D367" t="s">
        <v>1977</v>
      </c>
      <c r="E367" t="s">
        <v>1978</v>
      </c>
      <c r="F367" t="s">
        <v>7</v>
      </c>
      <c r="G367" t="s">
        <v>7</v>
      </c>
      <c r="H367" t="s">
        <v>43</v>
      </c>
      <c r="I367" t="s">
        <v>51</v>
      </c>
      <c r="J367" t="s">
        <v>1977</v>
      </c>
      <c r="K367" t="s">
        <v>85</v>
      </c>
      <c r="L367" t="s">
        <v>65</v>
      </c>
      <c r="M367" t="s">
        <v>36</v>
      </c>
      <c r="N367" t="s">
        <v>37</v>
      </c>
      <c r="O367" t="s">
        <v>66</v>
      </c>
      <c r="P367" t="s">
        <v>66</v>
      </c>
      <c r="Q367" t="s">
        <v>45</v>
      </c>
      <c r="R367" t="s">
        <v>1979</v>
      </c>
      <c r="S367" t="s">
        <v>32</v>
      </c>
      <c r="T367" s="2">
        <v>116.964106</v>
      </c>
      <c r="U367" s="2">
        <v>39.163973</v>
      </c>
    </row>
    <row r="368" spans="1:21">
      <c r="A368" t="s">
        <v>1980</v>
      </c>
      <c r="B368" t="s">
        <v>30</v>
      </c>
      <c r="C368" t="s">
        <v>1981</v>
      </c>
      <c r="D368" t="s">
        <v>1982</v>
      </c>
      <c r="E368" t="s">
        <v>1983</v>
      </c>
      <c r="F368" t="s">
        <v>7</v>
      </c>
      <c r="G368" t="s">
        <v>7</v>
      </c>
      <c r="H368" t="s">
        <v>56</v>
      </c>
      <c r="I368" t="s">
        <v>1221</v>
      </c>
      <c r="J368" t="s">
        <v>1982</v>
      </c>
      <c r="K368" t="s">
        <v>85</v>
      </c>
      <c r="L368" t="s">
        <v>65</v>
      </c>
      <c r="M368" t="s">
        <v>36</v>
      </c>
      <c r="N368" t="s">
        <v>37</v>
      </c>
      <c r="O368" t="s">
        <v>66</v>
      </c>
      <c r="P368" t="s">
        <v>66</v>
      </c>
      <c r="Q368" t="s">
        <v>45</v>
      </c>
      <c r="R368" t="s">
        <v>1984</v>
      </c>
      <c r="S368" t="s">
        <v>32</v>
      </c>
      <c r="T368" s="2">
        <v>117.229034</v>
      </c>
      <c r="U368" s="2">
        <v>39.290653</v>
      </c>
    </row>
    <row r="369" spans="1:21">
      <c r="A369" t="s">
        <v>1985</v>
      </c>
      <c r="B369" t="s">
        <v>30</v>
      </c>
      <c r="C369" t="s">
        <v>1986</v>
      </c>
      <c r="D369" t="s">
        <v>1987</v>
      </c>
      <c r="E369" t="s">
        <v>1988</v>
      </c>
      <c r="F369" t="s">
        <v>7</v>
      </c>
      <c r="G369" t="s">
        <v>7</v>
      </c>
      <c r="H369" t="s">
        <v>73</v>
      </c>
      <c r="I369" t="s">
        <v>51</v>
      </c>
      <c r="J369" t="s">
        <v>1987</v>
      </c>
      <c r="K369" t="s">
        <v>85</v>
      </c>
      <c r="L369" t="s">
        <v>65</v>
      </c>
      <c r="M369" t="s">
        <v>36</v>
      </c>
      <c r="N369" t="s">
        <v>37</v>
      </c>
      <c r="O369" t="s">
        <v>66</v>
      </c>
      <c r="P369" t="s">
        <v>66</v>
      </c>
      <c r="Q369" t="s">
        <v>45</v>
      </c>
      <c r="R369" t="s">
        <v>1989</v>
      </c>
      <c r="S369" t="s">
        <v>32</v>
      </c>
      <c r="T369" s="2">
        <v>117.366262</v>
      </c>
      <c r="U369" s="2">
        <v>39.085613</v>
      </c>
    </row>
    <row r="370" spans="1:21">
      <c r="A370" t="s">
        <v>1990</v>
      </c>
      <c r="B370" t="s">
        <v>30</v>
      </c>
      <c r="C370" t="s">
        <v>1991</v>
      </c>
      <c r="D370" t="s">
        <v>1992</v>
      </c>
      <c r="E370" t="s">
        <v>1993</v>
      </c>
      <c r="F370" t="s">
        <v>7</v>
      </c>
      <c r="G370" t="s">
        <v>7</v>
      </c>
      <c r="H370" t="s">
        <v>43</v>
      </c>
      <c r="I370" t="s">
        <v>51</v>
      </c>
      <c r="J370" t="s">
        <v>1992</v>
      </c>
      <c r="K370" t="s">
        <v>85</v>
      </c>
      <c r="L370" t="s">
        <v>65</v>
      </c>
      <c r="M370" t="s">
        <v>36</v>
      </c>
      <c r="N370" t="s">
        <v>37</v>
      </c>
      <c r="O370" t="s">
        <v>66</v>
      </c>
      <c r="P370" t="s">
        <v>66</v>
      </c>
      <c r="Q370" t="s">
        <v>45</v>
      </c>
      <c r="R370" t="s">
        <v>1994</v>
      </c>
      <c r="S370" t="s">
        <v>32</v>
      </c>
      <c r="T370" s="2">
        <v>117.024251</v>
      </c>
      <c r="U370" s="2">
        <v>39.240347</v>
      </c>
    </row>
    <row r="371" spans="1:21">
      <c r="A371" t="s">
        <v>1995</v>
      </c>
      <c r="B371" t="s">
        <v>30</v>
      </c>
      <c r="C371" t="s">
        <v>1996</v>
      </c>
      <c r="D371" t="s">
        <v>1997</v>
      </c>
      <c r="E371" t="s">
        <v>1998</v>
      </c>
      <c r="F371" t="s">
        <v>7</v>
      </c>
      <c r="G371" t="s">
        <v>7</v>
      </c>
      <c r="H371" t="s">
        <v>73</v>
      </c>
      <c r="I371" t="s">
        <v>51</v>
      </c>
      <c r="J371" t="s">
        <v>1997</v>
      </c>
      <c r="K371" t="s">
        <v>85</v>
      </c>
      <c r="L371" t="s">
        <v>65</v>
      </c>
      <c r="M371" t="s">
        <v>36</v>
      </c>
      <c r="N371" t="s">
        <v>37</v>
      </c>
      <c r="O371" t="s">
        <v>66</v>
      </c>
      <c r="P371" t="s">
        <v>66</v>
      </c>
      <c r="Q371" t="s">
        <v>45</v>
      </c>
      <c r="R371" t="s">
        <v>1999</v>
      </c>
      <c r="S371" t="s">
        <v>32</v>
      </c>
      <c r="T371" s="2">
        <v>117.280211</v>
      </c>
      <c r="U371" s="2">
        <v>39.124316</v>
      </c>
    </row>
    <row r="372" spans="1:21">
      <c r="A372" t="s">
        <v>2000</v>
      </c>
      <c r="B372" t="s">
        <v>30</v>
      </c>
      <c r="C372" t="s">
        <v>2001</v>
      </c>
      <c r="D372" t="s">
        <v>2002</v>
      </c>
      <c r="E372" t="s">
        <v>2003</v>
      </c>
      <c r="F372" t="s">
        <v>7</v>
      </c>
      <c r="G372" t="s">
        <v>7</v>
      </c>
      <c r="H372" t="s">
        <v>56</v>
      </c>
      <c r="I372" t="s">
        <v>51</v>
      </c>
      <c r="J372" t="s">
        <v>2002</v>
      </c>
      <c r="K372" t="s">
        <v>977</v>
      </c>
      <c r="L372" t="s">
        <v>65</v>
      </c>
      <c r="M372" t="s">
        <v>36</v>
      </c>
      <c r="N372" t="s">
        <v>37</v>
      </c>
      <c r="O372" t="s">
        <v>66</v>
      </c>
      <c r="P372" t="s">
        <v>66</v>
      </c>
      <c r="Q372" t="s">
        <v>45</v>
      </c>
      <c r="R372" t="s">
        <v>2004</v>
      </c>
      <c r="S372" t="s">
        <v>32</v>
      </c>
      <c r="T372" s="2">
        <v>117.120589</v>
      </c>
      <c r="U372" s="2">
        <v>39.267903</v>
      </c>
    </row>
    <row r="373" spans="1:21">
      <c r="A373" t="s">
        <v>2005</v>
      </c>
      <c r="B373" t="s">
        <v>30</v>
      </c>
      <c r="C373" t="s">
        <v>2006</v>
      </c>
      <c r="D373" t="s">
        <v>2007</v>
      </c>
      <c r="E373" t="s">
        <v>2008</v>
      </c>
      <c r="F373" t="s">
        <v>7</v>
      </c>
      <c r="G373" t="s">
        <v>7</v>
      </c>
      <c r="H373" t="s">
        <v>50</v>
      </c>
      <c r="I373" t="s">
        <v>154</v>
      </c>
      <c r="J373" t="s">
        <v>2007</v>
      </c>
      <c r="K373" t="s">
        <v>85</v>
      </c>
      <c r="L373" t="s">
        <v>65</v>
      </c>
      <c r="M373" t="s">
        <v>36</v>
      </c>
      <c r="N373" t="s">
        <v>37</v>
      </c>
      <c r="O373" t="s">
        <v>66</v>
      </c>
      <c r="P373" t="s">
        <v>66</v>
      </c>
      <c r="Q373" t="s">
        <v>45</v>
      </c>
      <c r="R373" t="s">
        <v>2009</v>
      </c>
      <c r="S373" t="s">
        <v>32</v>
      </c>
      <c r="T373" s="2">
        <v>117.235253</v>
      </c>
      <c r="U373" s="2">
        <v>39.052875</v>
      </c>
    </row>
    <row r="374" spans="1:21">
      <c r="A374" t="s">
        <v>2010</v>
      </c>
      <c r="B374" t="s">
        <v>30</v>
      </c>
      <c r="C374" t="s">
        <v>2011</v>
      </c>
      <c r="D374" t="s">
        <v>2012</v>
      </c>
      <c r="E374" t="s">
        <v>2013</v>
      </c>
      <c r="F374" t="s">
        <v>7</v>
      </c>
      <c r="G374" t="s">
        <v>7</v>
      </c>
      <c r="H374" t="s">
        <v>43</v>
      </c>
      <c r="I374" t="s">
        <v>51</v>
      </c>
      <c r="J374" t="s">
        <v>2012</v>
      </c>
      <c r="K374" t="s">
        <v>85</v>
      </c>
      <c r="L374" t="s">
        <v>65</v>
      </c>
      <c r="M374" t="s">
        <v>36</v>
      </c>
      <c r="N374" t="s">
        <v>37</v>
      </c>
      <c r="O374" t="s">
        <v>66</v>
      </c>
      <c r="P374" t="s">
        <v>66</v>
      </c>
      <c r="Q374" t="s">
        <v>74</v>
      </c>
      <c r="R374" t="s">
        <v>2014</v>
      </c>
      <c r="S374" t="s">
        <v>32</v>
      </c>
      <c r="T374" s="2">
        <v>117.098302</v>
      </c>
      <c r="U374" s="2">
        <v>39.110526</v>
      </c>
    </row>
    <row r="375" spans="1:21">
      <c r="A375" t="s">
        <v>2015</v>
      </c>
      <c r="B375" t="s">
        <v>30</v>
      </c>
      <c r="C375" t="s">
        <v>2016</v>
      </c>
      <c r="D375" t="s">
        <v>2017</v>
      </c>
      <c r="E375" t="s">
        <v>2018</v>
      </c>
      <c r="F375" t="s">
        <v>7</v>
      </c>
      <c r="G375" t="s">
        <v>7</v>
      </c>
      <c r="H375" t="s">
        <v>73</v>
      </c>
      <c r="I375" t="s">
        <v>154</v>
      </c>
      <c r="J375" t="s">
        <v>2017</v>
      </c>
      <c r="K375" t="s">
        <v>85</v>
      </c>
      <c r="L375" t="s">
        <v>65</v>
      </c>
      <c r="M375" t="s">
        <v>36</v>
      </c>
      <c r="N375" t="s">
        <v>37</v>
      </c>
      <c r="O375" t="s">
        <v>66</v>
      </c>
      <c r="P375" t="s">
        <v>66</v>
      </c>
      <c r="Q375" t="s">
        <v>45</v>
      </c>
      <c r="R375" t="s">
        <v>2019</v>
      </c>
      <c r="S375" t="s">
        <v>32</v>
      </c>
      <c r="T375" s="2">
        <v>117.328472</v>
      </c>
      <c r="U375" s="2">
        <v>39.088758</v>
      </c>
    </row>
    <row r="376" spans="1:21">
      <c r="A376" t="s">
        <v>2020</v>
      </c>
      <c r="B376" t="s">
        <v>30</v>
      </c>
      <c r="C376" t="s">
        <v>2021</v>
      </c>
      <c r="D376" t="s">
        <v>2022</v>
      </c>
      <c r="E376" t="s">
        <v>2023</v>
      </c>
      <c r="F376" t="s">
        <v>7</v>
      </c>
      <c r="G376" t="s">
        <v>7</v>
      </c>
      <c r="H376" t="s">
        <v>73</v>
      </c>
      <c r="I376" t="s">
        <v>154</v>
      </c>
      <c r="J376" t="s">
        <v>2022</v>
      </c>
      <c r="K376" t="s">
        <v>85</v>
      </c>
      <c r="L376" t="s">
        <v>65</v>
      </c>
      <c r="M376" t="s">
        <v>36</v>
      </c>
      <c r="N376" t="s">
        <v>37</v>
      </c>
      <c r="O376" t="s">
        <v>66</v>
      </c>
      <c r="P376" t="s">
        <v>66</v>
      </c>
      <c r="Q376" t="s">
        <v>74</v>
      </c>
      <c r="R376" t="s">
        <v>2024</v>
      </c>
      <c r="S376" t="s">
        <v>32</v>
      </c>
      <c r="T376" s="2">
        <v>117.363238</v>
      </c>
      <c r="U376" s="2">
        <v>39.07367</v>
      </c>
    </row>
    <row r="377" spans="1:21">
      <c r="A377" t="s">
        <v>2025</v>
      </c>
      <c r="B377" t="s">
        <v>30</v>
      </c>
      <c r="C377" t="s">
        <v>2026</v>
      </c>
      <c r="D377" t="s">
        <v>2027</v>
      </c>
      <c r="E377" t="s">
        <v>2028</v>
      </c>
      <c r="F377" t="s">
        <v>7</v>
      </c>
      <c r="G377" t="s">
        <v>7</v>
      </c>
      <c r="H377" t="s">
        <v>63</v>
      </c>
      <c r="I377" t="s">
        <v>561</v>
      </c>
      <c r="J377" t="s">
        <v>2027</v>
      </c>
      <c r="K377" t="s">
        <v>1166</v>
      </c>
      <c r="L377" t="s">
        <v>65</v>
      </c>
      <c r="M377" t="s">
        <v>36</v>
      </c>
      <c r="N377" t="s">
        <v>37</v>
      </c>
      <c r="O377" t="s">
        <v>66</v>
      </c>
      <c r="P377" t="s">
        <v>66</v>
      </c>
      <c r="Q377" t="s">
        <v>32</v>
      </c>
      <c r="R377" t="s">
        <v>2029</v>
      </c>
      <c r="S377" t="s">
        <v>32</v>
      </c>
      <c r="T377" s="2">
        <v>117.291754</v>
      </c>
      <c r="U377" s="2">
        <v>39.0381</v>
      </c>
    </row>
    <row r="378" spans="1:21">
      <c r="A378" t="s">
        <v>2030</v>
      </c>
      <c r="B378" t="s">
        <v>30</v>
      </c>
      <c r="C378" t="s">
        <v>2031</v>
      </c>
      <c r="D378" t="s">
        <v>2032</v>
      </c>
      <c r="E378" t="s">
        <v>2033</v>
      </c>
      <c r="F378" t="s">
        <v>7</v>
      </c>
      <c r="G378" t="s">
        <v>7</v>
      </c>
      <c r="H378" t="s">
        <v>43</v>
      </c>
      <c r="I378" t="s">
        <v>154</v>
      </c>
      <c r="J378" t="s">
        <v>2032</v>
      </c>
      <c r="K378" t="s">
        <v>85</v>
      </c>
      <c r="L378" t="s">
        <v>65</v>
      </c>
      <c r="M378" t="s">
        <v>36</v>
      </c>
      <c r="N378" t="s">
        <v>37</v>
      </c>
      <c r="O378" t="s">
        <v>66</v>
      </c>
      <c r="P378" t="s">
        <v>66</v>
      </c>
      <c r="Q378" t="s">
        <v>45</v>
      </c>
      <c r="R378" t="s">
        <v>2034</v>
      </c>
      <c r="S378" t="s">
        <v>32</v>
      </c>
      <c r="T378" s="2">
        <v>117.09886</v>
      </c>
      <c r="U378" s="2">
        <v>39.112101</v>
      </c>
    </row>
    <row r="379" spans="1:21">
      <c r="A379" t="s">
        <v>2035</v>
      </c>
      <c r="B379" t="s">
        <v>30</v>
      </c>
      <c r="C379" t="s">
        <v>2036</v>
      </c>
      <c r="D379" t="s">
        <v>2037</v>
      </c>
      <c r="E379" t="s">
        <v>2038</v>
      </c>
      <c r="F379" t="s">
        <v>7</v>
      </c>
      <c r="G379" t="s">
        <v>7</v>
      </c>
      <c r="H379" t="s">
        <v>50</v>
      </c>
      <c r="I379" t="s">
        <v>154</v>
      </c>
      <c r="J379" t="s">
        <v>2037</v>
      </c>
      <c r="K379" t="s">
        <v>85</v>
      </c>
      <c r="L379" t="s">
        <v>65</v>
      </c>
      <c r="M379" t="s">
        <v>36</v>
      </c>
      <c r="N379" t="s">
        <v>37</v>
      </c>
      <c r="O379" t="s">
        <v>66</v>
      </c>
      <c r="P379" t="s">
        <v>66</v>
      </c>
      <c r="Q379" t="s">
        <v>45</v>
      </c>
      <c r="R379" t="s">
        <v>2039</v>
      </c>
      <c r="S379" t="s">
        <v>32</v>
      </c>
      <c r="T379" s="2">
        <v>117.229641</v>
      </c>
      <c r="U379" s="2">
        <v>39.060865</v>
      </c>
    </row>
    <row r="380" spans="1:21">
      <c r="A380" t="s">
        <v>2040</v>
      </c>
      <c r="B380" t="s">
        <v>30</v>
      </c>
      <c r="C380" t="s">
        <v>2041</v>
      </c>
      <c r="D380" t="s">
        <v>2042</v>
      </c>
      <c r="E380" t="s">
        <v>2043</v>
      </c>
      <c r="F380" t="s">
        <v>7</v>
      </c>
      <c r="G380" t="s">
        <v>7</v>
      </c>
      <c r="H380" t="s">
        <v>56</v>
      </c>
      <c r="I380" t="s">
        <v>51</v>
      </c>
      <c r="J380" t="s">
        <v>2042</v>
      </c>
      <c r="K380" t="s">
        <v>32</v>
      </c>
      <c r="L380" t="s">
        <v>32</v>
      </c>
      <c r="M380" t="s">
        <v>36</v>
      </c>
      <c r="N380" t="s">
        <v>37</v>
      </c>
      <c r="O380" t="s">
        <v>66</v>
      </c>
      <c r="P380" t="s">
        <v>66</v>
      </c>
      <c r="Q380" t="s">
        <v>45</v>
      </c>
      <c r="R380" t="s">
        <v>2044</v>
      </c>
      <c r="S380" t="s">
        <v>32</v>
      </c>
      <c r="T380" s="2">
        <v>117.06582</v>
      </c>
      <c r="U380" s="2">
        <v>39.196084</v>
      </c>
    </row>
    <row r="381" spans="1:21">
      <c r="A381" t="s">
        <v>2045</v>
      </c>
      <c r="B381" t="s">
        <v>30</v>
      </c>
      <c r="C381" t="s">
        <v>2046</v>
      </c>
      <c r="D381" t="s">
        <v>2047</v>
      </c>
      <c r="E381" t="s">
        <v>2048</v>
      </c>
      <c r="F381" t="s">
        <v>7</v>
      </c>
      <c r="G381" t="s">
        <v>7</v>
      </c>
      <c r="H381" t="s">
        <v>73</v>
      </c>
      <c r="I381" t="s">
        <v>154</v>
      </c>
      <c r="J381" t="s">
        <v>2047</v>
      </c>
      <c r="K381" t="s">
        <v>32</v>
      </c>
      <c r="L381" t="s">
        <v>32</v>
      </c>
      <c r="M381" t="s">
        <v>36</v>
      </c>
      <c r="N381" t="s">
        <v>37</v>
      </c>
      <c r="O381" t="s">
        <v>66</v>
      </c>
      <c r="P381" t="s">
        <v>66</v>
      </c>
      <c r="Q381" t="s">
        <v>45</v>
      </c>
      <c r="R381" t="s">
        <v>2049</v>
      </c>
      <c r="S381" t="s">
        <v>32</v>
      </c>
      <c r="T381" s="2">
        <v>117.245423</v>
      </c>
      <c r="U381" s="2">
        <v>39.183827</v>
      </c>
    </row>
    <row r="382" spans="1:21">
      <c r="A382" t="s">
        <v>2050</v>
      </c>
      <c r="B382" t="s">
        <v>30</v>
      </c>
      <c r="C382" t="s">
        <v>2051</v>
      </c>
      <c r="D382" t="s">
        <v>2052</v>
      </c>
      <c r="E382" t="s">
        <v>2053</v>
      </c>
      <c r="F382" t="s">
        <v>7</v>
      </c>
      <c r="G382" t="s">
        <v>7</v>
      </c>
      <c r="H382" t="s">
        <v>50</v>
      </c>
      <c r="I382" t="s">
        <v>154</v>
      </c>
      <c r="J382" t="s">
        <v>2052</v>
      </c>
      <c r="K382" t="s">
        <v>85</v>
      </c>
      <c r="L382" t="s">
        <v>65</v>
      </c>
      <c r="M382" t="s">
        <v>36</v>
      </c>
      <c r="N382" t="s">
        <v>37</v>
      </c>
      <c r="O382" t="s">
        <v>66</v>
      </c>
      <c r="P382" t="s">
        <v>66</v>
      </c>
      <c r="Q382" t="s">
        <v>45</v>
      </c>
      <c r="R382" t="s">
        <v>2054</v>
      </c>
      <c r="S382" t="s">
        <v>32</v>
      </c>
      <c r="T382" s="2">
        <v>117.227637</v>
      </c>
      <c r="U382" s="2">
        <v>39.059646</v>
      </c>
    </row>
    <row r="383" spans="1:21">
      <c r="A383" t="s">
        <v>2055</v>
      </c>
      <c r="B383" t="s">
        <v>2056</v>
      </c>
      <c r="C383" t="s">
        <v>2057</v>
      </c>
      <c r="D383" t="s">
        <v>2058</v>
      </c>
      <c r="E383" t="s">
        <v>2059</v>
      </c>
      <c r="F383" t="s">
        <v>7</v>
      </c>
      <c r="G383" t="s">
        <v>7</v>
      </c>
      <c r="H383" t="s">
        <v>43</v>
      </c>
      <c r="I383" t="s">
        <v>51</v>
      </c>
      <c r="J383" t="s">
        <v>2058</v>
      </c>
      <c r="K383" t="s">
        <v>32</v>
      </c>
      <c r="L383" t="s">
        <v>32</v>
      </c>
      <c r="M383" t="s">
        <v>36</v>
      </c>
      <c r="N383" t="s">
        <v>37</v>
      </c>
      <c r="O383" t="s">
        <v>66</v>
      </c>
      <c r="P383" t="s">
        <v>66</v>
      </c>
      <c r="Q383" t="s">
        <v>57</v>
      </c>
      <c r="R383" t="s">
        <v>2060</v>
      </c>
      <c r="S383" t="s">
        <v>32</v>
      </c>
      <c r="T383" s="2">
        <v>117.036263</v>
      </c>
      <c r="U383" s="2">
        <v>39.132241</v>
      </c>
    </row>
    <row r="384" spans="1:21">
      <c r="A384" t="s">
        <v>2061</v>
      </c>
      <c r="B384" t="s">
        <v>2062</v>
      </c>
      <c r="C384" t="s">
        <v>2063</v>
      </c>
      <c r="D384" t="s">
        <v>2064</v>
      </c>
      <c r="E384" t="s">
        <v>2065</v>
      </c>
      <c r="F384" t="s">
        <v>7</v>
      </c>
      <c r="G384" t="s">
        <v>7</v>
      </c>
      <c r="H384" t="s">
        <v>34</v>
      </c>
      <c r="I384" t="s">
        <v>189</v>
      </c>
      <c r="J384" t="s">
        <v>2064</v>
      </c>
      <c r="K384" t="s">
        <v>85</v>
      </c>
      <c r="L384" t="s">
        <v>1391</v>
      </c>
      <c r="M384" t="s">
        <v>36</v>
      </c>
      <c r="N384" t="s">
        <v>37</v>
      </c>
      <c r="O384" t="s">
        <v>66</v>
      </c>
      <c r="P384" t="s">
        <v>66</v>
      </c>
      <c r="Q384" t="s">
        <v>45</v>
      </c>
      <c r="R384" t="s">
        <v>2066</v>
      </c>
      <c r="S384" t="s">
        <v>32</v>
      </c>
      <c r="T384" s="2">
        <v>117.134423</v>
      </c>
      <c r="U384" s="2">
        <v>39.130384</v>
      </c>
    </row>
    <row r="385" spans="1:21">
      <c r="A385" t="s">
        <v>2067</v>
      </c>
      <c r="B385" t="s">
        <v>30</v>
      </c>
      <c r="C385" t="s">
        <v>2068</v>
      </c>
      <c r="D385" t="s">
        <v>2069</v>
      </c>
      <c r="E385" t="s">
        <v>2070</v>
      </c>
      <c r="F385" t="s">
        <v>7</v>
      </c>
      <c r="G385" t="s">
        <v>7</v>
      </c>
      <c r="H385" t="s">
        <v>34</v>
      </c>
      <c r="I385" t="s">
        <v>2071</v>
      </c>
      <c r="J385" t="s">
        <v>2069</v>
      </c>
      <c r="K385" t="s">
        <v>607</v>
      </c>
      <c r="L385" t="s">
        <v>65</v>
      </c>
      <c r="M385" t="s">
        <v>36</v>
      </c>
      <c r="N385" t="s">
        <v>37</v>
      </c>
      <c r="O385" t="s">
        <v>66</v>
      </c>
      <c r="P385" t="s">
        <v>66</v>
      </c>
      <c r="Q385" t="s">
        <v>32</v>
      </c>
      <c r="R385" t="s">
        <v>2072</v>
      </c>
      <c r="S385" t="s">
        <v>32</v>
      </c>
      <c r="T385" s="2">
        <v>117.121948</v>
      </c>
      <c r="U385" s="2">
        <v>39.131698</v>
      </c>
    </row>
    <row r="386" spans="1:21">
      <c r="A386" t="s">
        <v>2073</v>
      </c>
      <c r="B386" t="s">
        <v>30</v>
      </c>
      <c r="C386" t="s">
        <v>2074</v>
      </c>
      <c r="D386" t="s">
        <v>2075</v>
      </c>
      <c r="E386" t="s">
        <v>2076</v>
      </c>
      <c r="F386" t="s">
        <v>7</v>
      </c>
      <c r="G386" t="s">
        <v>7</v>
      </c>
      <c r="H386" t="s">
        <v>73</v>
      </c>
      <c r="I386" t="s">
        <v>140</v>
      </c>
      <c r="J386" t="s">
        <v>2075</v>
      </c>
      <c r="K386" t="s">
        <v>85</v>
      </c>
      <c r="L386" t="s">
        <v>65</v>
      </c>
      <c r="M386" t="s">
        <v>36</v>
      </c>
      <c r="N386" t="s">
        <v>37</v>
      </c>
      <c r="O386" t="s">
        <v>66</v>
      </c>
      <c r="P386" t="s">
        <v>66</v>
      </c>
      <c r="Q386" t="s">
        <v>32</v>
      </c>
      <c r="R386" t="s">
        <v>2077</v>
      </c>
      <c r="S386" t="s">
        <v>32</v>
      </c>
      <c r="T386" s="2">
        <v>117.338282</v>
      </c>
      <c r="U386" s="2">
        <v>39.063525</v>
      </c>
    </row>
    <row r="387" spans="1:21">
      <c r="A387" t="s">
        <v>2078</v>
      </c>
      <c r="B387" t="s">
        <v>2079</v>
      </c>
      <c r="C387" t="s">
        <v>2080</v>
      </c>
      <c r="D387" t="s">
        <v>2081</v>
      </c>
      <c r="E387" t="s">
        <v>2082</v>
      </c>
      <c r="F387" t="s">
        <v>7</v>
      </c>
      <c r="G387" t="s">
        <v>7</v>
      </c>
      <c r="H387" t="s">
        <v>43</v>
      </c>
      <c r="I387" t="s">
        <v>44</v>
      </c>
      <c r="J387" t="s">
        <v>2081</v>
      </c>
      <c r="K387" t="s">
        <v>32</v>
      </c>
      <c r="L387" t="s">
        <v>32</v>
      </c>
      <c r="M387" t="s">
        <v>36</v>
      </c>
      <c r="N387" t="s">
        <v>37</v>
      </c>
      <c r="O387" t="s">
        <v>66</v>
      </c>
      <c r="P387" t="s">
        <v>66</v>
      </c>
      <c r="Q387" t="s">
        <v>57</v>
      </c>
      <c r="R387" t="s">
        <v>2083</v>
      </c>
      <c r="S387" t="s">
        <v>32</v>
      </c>
      <c r="T387" s="2">
        <v>117.015259</v>
      </c>
      <c r="U387" s="2">
        <v>39.128121</v>
      </c>
    </row>
    <row r="388" spans="1:21">
      <c r="A388" t="s">
        <v>2084</v>
      </c>
      <c r="B388" t="s">
        <v>2085</v>
      </c>
      <c r="C388" t="s">
        <v>2086</v>
      </c>
      <c r="D388" t="s">
        <v>2087</v>
      </c>
      <c r="E388" t="s">
        <v>2088</v>
      </c>
      <c r="F388" t="s">
        <v>7</v>
      </c>
      <c r="G388" t="s">
        <v>7</v>
      </c>
      <c r="H388" t="s">
        <v>43</v>
      </c>
      <c r="I388" t="s">
        <v>637</v>
      </c>
      <c r="J388" t="s">
        <v>2087</v>
      </c>
      <c r="K388" t="s">
        <v>32</v>
      </c>
      <c r="L388" t="s">
        <v>32</v>
      </c>
      <c r="M388" t="s">
        <v>36</v>
      </c>
      <c r="N388" t="s">
        <v>37</v>
      </c>
      <c r="O388" t="s">
        <v>66</v>
      </c>
      <c r="P388" t="s">
        <v>66</v>
      </c>
      <c r="Q388" t="s">
        <v>57</v>
      </c>
      <c r="R388" t="s">
        <v>2089</v>
      </c>
      <c r="S388" t="s">
        <v>32</v>
      </c>
      <c r="T388" s="2">
        <v>117.004792</v>
      </c>
      <c r="U388" s="2">
        <v>39.12232</v>
      </c>
    </row>
    <row r="389" spans="1:21">
      <c r="A389" t="s">
        <v>2090</v>
      </c>
      <c r="B389" t="s">
        <v>30</v>
      </c>
      <c r="C389" t="s">
        <v>2091</v>
      </c>
      <c r="D389" t="s">
        <v>2092</v>
      </c>
      <c r="E389" t="s">
        <v>2093</v>
      </c>
      <c r="F389" t="s">
        <v>7</v>
      </c>
      <c r="G389" t="s">
        <v>7</v>
      </c>
      <c r="H389" t="s">
        <v>73</v>
      </c>
      <c r="I389" t="s">
        <v>140</v>
      </c>
      <c r="J389" t="s">
        <v>2092</v>
      </c>
      <c r="K389" t="s">
        <v>85</v>
      </c>
      <c r="L389" t="s">
        <v>65</v>
      </c>
      <c r="M389" t="s">
        <v>36</v>
      </c>
      <c r="N389" t="s">
        <v>37</v>
      </c>
      <c r="O389" t="s">
        <v>66</v>
      </c>
      <c r="P389" t="s">
        <v>66</v>
      </c>
      <c r="Q389" t="s">
        <v>32</v>
      </c>
      <c r="R389" t="s">
        <v>2094</v>
      </c>
      <c r="S389" t="s">
        <v>32</v>
      </c>
      <c r="T389" s="2">
        <v>117.347283</v>
      </c>
      <c r="U389" s="2">
        <v>39.076211</v>
      </c>
    </row>
    <row r="390" spans="1:21">
      <c r="A390" t="s">
        <v>2095</v>
      </c>
      <c r="B390" t="s">
        <v>30</v>
      </c>
      <c r="C390" t="s">
        <v>2096</v>
      </c>
      <c r="D390" t="s">
        <v>2097</v>
      </c>
      <c r="E390" t="s">
        <v>2098</v>
      </c>
      <c r="F390" t="s">
        <v>7</v>
      </c>
      <c r="G390" t="s">
        <v>7</v>
      </c>
      <c r="H390" t="s">
        <v>73</v>
      </c>
      <c r="I390" t="s">
        <v>140</v>
      </c>
      <c r="J390" t="s">
        <v>2097</v>
      </c>
      <c r="K390" t="s">
        <v>85</v>
      </c>
      <c r="L390" t="s">
        <v>65</v>
      </c>
      <c r="M390" t="s">
        <v>36</v>
      </c>
      <c r="N390" t="s">
        <v>37</v>
      </c>
      <c r="O390" t="s">
        <v>66</v>
      </c>
      <c r="P390" t="s">
        <v>66</v>
      </c>
      <c r="Q390" t="s">
        <v>32</v>
      </c>
      <c r="R390" t="s">
        <v>2099</v>
      </c>
      <c r="S390" t="s">
        <v>32</v>
      </c>
      <c r="T390" s="2">
        <v>117.345864</v>
      </c>
      <c r="U390" s="2">
        <v>39.071419</v>
      </c>
    </row>
    <row r="391" spans="1:21">
      <c r="A391" t="s">
        <v>2100</v>
      </c>
      <c r="B391" t="s">
        <v>30</v>
      </c>
      <c r="C391" t="s">
        <v>2101</v>
      </c>
      <c r="D391" t="s">
        <v>2102</v>
      </c>
      <c r="E391" t="s">
        <v>2103</v>
      </c>
      <c r="F391" t="s">
        <v>7</v>
      </c>
      <c r="G391" t="s">
        <v>7</v>
      </c>
      <c r="H391" t="s">
        <v>50</v>
      </c>
      <c r="I391" t="s">
        <v>245</v>
      </c>
      <c r="J391" t="s">
        <v>2102</v>
      </c>
      <c r="K391" t="s">
        <v>32</v>
      </c>
      <c r="L391" t="s">
        <v>32</v>
      </c>
      <c r="M391" t="s">
        <v>36</v>
      </c>
      <c r="N391" t="s">
        <v>37</v>
      </c>
      <c r="O391" t="s">
        <v>66</v>
      </c>
      <c r="P391" t="s">
        <v>66</v>
      </c>
      <c r="Q391" t="s">
        <v>32</v>
      </c>
      <c r="R391" t="s">
        <v>2104</v>
      </c>
      <c r="S391" t="s">
        <v>32</v>
      </c>
      <c r="T391" s="2">
        <v>117.220638</v>
      </c>
      <c r="U391" s="2">
        <v>39.112919</v>
      </c>
    </row>
    <row r="392" spans="1:21">
      <c r="A392" t="s">
        <v>2105</v>
      </c>
      <c r="B392" t="s">
        <v>30</v>
      </c>
      <c r="C392" t="s">
        <v>2106</v>
      </c>
      <c r="D392" t="s">
        <v>2107</v>
      </c>
      <c r="E392" t="s">
        <v>2108</v>
      </c>
      <c r="F392" t="s">
        <v>7</v>
      </c>
      <c r="G392" t="s">
        <v>7</v>
      </c>
      <c r="H392" t="s">
        <v>56</v>
      </c>
      <c r="I392" t="s">
        <v>140</v>
      </c>
      <c r="J392" t="s">
        <v>2107</v>
      </c>
      <c r="K392" t="s">
        <v>85</v>
      </c>
      <c r="L392" t="s">
        <v>65</v>
      </c>
      <c r="M392" t="s">
        <v>36</v>
      </c>
      <c r="N392" t="s">
        <v>37</v>
      </c>
      <c r="O392" t="s">
        <v>66</v>
      </c>
      <c r="P392" t="s">
        <v>66</v>
      </c>
      <c r="Q392" t="s">
        <v>32</v>
      </c>
      <c r="R392" t="s">
        <v>2109</v>
      </c>
      <c r="S392" t="s">
        <v>32</v>
      </c>
      <c r="T392" s="2">
        <v>117.26546</v>
      </c>
      <c r="U392" s="2">
        <v>39.224037</v>
      </c>
    </row>
    <row r="393" spans="1:21">
      <c r="A393" t="s">
        <v>2110</v>
      </c>
      <c r="B393" t="s">
        <v>30</v>
      </c>
      <c r="C393" t="s">
        <v>2111</v>
      </c>
      <c r="D393" t="s">
        <v>2112</v>
      </c>
      <c r="E393" t="s">
        <v>2113</v>
      </c>
      <c r="F393" t="s">
        <v>7</v>
      </c>
      <c r="G393" t="s">
        <v>7</v>
      </c>
      <c r="H393" t="s">
        <v>105</v>
      </c>
      <c r="I393" t="s">
        <v>245</v>
      </c>
      <c r="J393" t="s">
        <v>2112</v>
      </c>
      <c r="K393" t="s">
        <v>32</v>
      </c>
      <c r="L393" t="s">
        <v>32</v>
      </c>
      <c r="M393" t="s">
        <v>36</v>
      </c>
      <c r="N393" t="s">
        <v>37</v>
      </c>
      <c r="O393" t="s">
        <v>66</v>
      </c>
      <c r="P393" t="s">
        <v>66</v>
      </c>
      <c r="Q393" t="s">
        <v>32</v>
      </c>
      <c r="R393" t="s">
        <v>2114</v>
      </c>
      <c r="S393" t="s">
        <v>32</v>
      </c>
      <c r="T393" s="2">
        <v>117.243196</v>
      </c>
      <c r="U393" s="2">
        <v>39.10024</v>
      </c>
    </row>
    <row r="394" spans="1:21">
      <c r="A394" t="s">
        <v>2115</v>
      </c>
      <c r="B394" t="s">
        <v>40</v>
      </c>
      <c r="C394" t="s">
        <v>2116</v>
      </c>
      <c r="D394" t="s">
        <v>32</v>
      </c>
      <c r="E394" t="s">
        <v>2117</v>
      </c>
      <c r="F394" t="s">
        <v>7</v>
      </c>
      <c r="G394" t="s">
        <v>7</v>
      </c>
      <c r="H394" t="s">
        <v>56</v>
      </c>
      <c r="I394" t="s">
        <v>239</v>
      </c>
      <c r="J394" t="s">
        <v>32</v>
      </c>
      <c r="K394" t="s">
        <v>32</v>
      </c>
      <c r="L394" t="s">
        <v>32</v>
      </c>
      <c r="M394" t="s">
        <v>36</v>
      </c>
      <c r="N394" t="s">
        <v>37</v>
      </c>
      <c r="O394" t="s">
        <v>66</v>
      </c>
      <c r="P394" t="s">
        <v>66</v>
      </c>
      <c r="Q394" t="s">
        <v>234</v>
      </c>
      <c r="R394" t="s">
        <v>2118</v>
      </c>
      <c r="S394" t="s">
        <v>32</v>
      </c>
      <c r="T394" s="2">
        <v>117.107483</v>
      </c>
      <c r="U394" s="2">
        <v>39.269875</v>
      </c>
    </row>
    <row r="395" spans="1:21">
      <c r="A395" t="s">
        <v>2119</v>
      </c>
      <c r="B395" t="s">
        <v>2120</v>
      </c>
      <c r="C395" t="s">
        <v>2121</v>
      </c>
      <c r="D395" t="s">
        <v>2122</v>
      </c>
      <c r="E395" t="s">
        <v>2123</v>
      </c>
      <c r="F395" t="s">
        <v>7</v>
      </c>
      <c r="G395" t="s">
        <v>7</v>
      </c>
      <c r="H395" t="s">
        <v>73</v>
      </c>
      <c r="I395" t="s">
        <v>51</v>
      </c>
      <c r="J395" t="s">
        <v>2122</v>
      </c>
      <c r="K395" t="s">
        <v>32</v>
      </c>
      <c r="L395" t="s">
        <v>32</v>
      </c>
      <c r="M395" t="s">
        <v>36</v>
      </c>
      <c r="N395" t="s">
        <v>37</v>
      </c>
      <c r="O395" t="s">
        <v>66</v>
      </c>
      <c r="P395" t="s">
        <v>66</v>
      </c>
      <c r="Q395" t="s">
        <v>57</v>
      </c>
      <c r="R395" t="s">
        <v>2124</v>
      </c>
      <c r="S395" t="s">
        <v>32</v>
      </c>
      <c r="T395" s="2">
        <v>117.350984</v>
      </c>
      <c r="U395" s="2">
        <v>39.166194</v>
      </c>
    </row>
    <row r="396" spans="1:21">
      <c r="A396" t="s">
        <v>2125</v>
      </c>
      <c r="B396" t="s">
        <v>2126</v>
      </c>
      <c r="C396" t="s">
        <v>2127</v>
      </c>
      <c r="D396" t="s">
        <v>2128</v>
      </c>
      <c r="E396" t="s">
        <v>2129</v>
      </c>
      <c r="F396" t="s">
        <v>7</v>
      </c>
      <c r="G396" t="s">
        <v>7</v>
      </c>
      <c r="H396" t="s">
        <v>43</v>
      </c>
      <c r="I396" t="s">
        <v>680</v>
      </c>
      <c r="J396" t="s">
        <v>2128</v>
      </c>
      <c r="K396" t="s">
        <v>700</v>
      </c>
      <c r="L396" t="s">
        <v>1391</v>
      </c>
      <c r="M396" t="s">
        <v>36</v>
      </c>
      <c r="N396" t="s">
        <v>37</v>
      </c>
      <c r="O396" t="s">
        <v>66</v>
      </c>
      <c r="P396" t="s">
        <v>66</v>
      </c>
      <c r="Q396" t="s">
        <v>74</v>
      </c>
      <c r="R396" t="s">
        <v>2130</v>
      </c>
      <c r="S396" t="s">
        <v>32</v>
      </c>
      <c r="T396" s="2">
        <v>117.208963</v>
      </c>
      <c r="U396" s="2">
        <v>39.02481</v>
      </c>
    </row>
    <row r="397" spans="1:21">
      <c r="A397" t="s">
        <v>2131</v>
      </c>
      <c r="B397" t="s">
        <v>2132</v>
      </c>
      <c r="C397" t="s">
        <v>2133</v>
      </c>
      <c r="D397" t="s">
        <v>2134</v>
      </c>
      <c r="E397" t="s">
        <v>2135</v>
      </c>
      <c r="F397" t="s">
        <v>7</v>
      </c>
      <c r="G397" t="s">
        <v>7</v>
      </c>
      <c r="H397" t="s">
        <v>56</v>
      </c>
      <c r="I397" t="s">
        <v>637</v>
      </c>
      <c r="J397" t="s">
        <v>2134</v>
      </c>
      <c r="K397" t="s">
        <v>32</v>
      </c>
      <c r="L397" t="s">
        <v>32</v>
      </c>
      <c r="M397" t="s">
        <v>36</v>
      </c>
      <c r="N397" t="s">
        <v>37</v>
      </c>
      <c r="O397" t="s">
        <v>66</v>
      </c>
      <c r="P397" t="s">
        <v>66</v>
      </c>
      <c r="Q397" t="s">
        <v>74</v>
      </c>
      <c r="R397" t="s">
        <v>2136</v>
      </c>
      <c r="S397" t="s">
        <v>32</v>
      </c>
      <c r="T397" s="2">
        <v>117.162809</v>
      </c>
      <c r="U397" s="2">
        <v>39.31747</v>
      </c>
    </row>
    <row r="398" spans="1:21">
      <c r="A398" t="s">
        <v>2137</v>
      </c>
      <c r="B398" t="s">
        <v>2138</v>
      </c>
      <c r="C398" t="s">
        <v>2139</v>
      </c>
      <c r="D398" t="s">
        <v>2140</v>
      </c>
      <c r="E398" t="s">
        <v>2141</v>
      </c>
      <c r="F398" t="s">
        <v>7</v>
      </c>
      <c r="G398" t="s">
        <v>7</v>
      </c>
      <c r="H398" t="s">
        <v>43</v>
      </c>
      <c r="I398" t="s">
        <v>51</v>
      </c>
      <c r="J398" t="s">
        <v>2140</v>
      </c>
      <c r="K398" t="s">
        <v>32</v>
      </c>
      <c r="L398" t="s">
        <v>32</v>
      </c>
      <c r="M398" t="s">
        <v>36</v>
      </c>
      <c r="N398" t="s">
        <v>37</v>
      </c>
      <c r="O398" t="s">
        <v>66</v>
      </c>
      <c r="P398" t="s">
        <v>66</v>
      </c>
      <c r="Q398" t="s">
        <v>57</v>
      </c>
      <c r="R398" t="s">
        <v>2142</v>
      </c>
      <c r="S398" t="s">
        <v>32</v>
      </c>
      <c r="T398" s="2">
        <v>117.226082</v>
      </c>
      <c r="U398" s="2">
        <v>38.983121</v>
      </c>
    </row>
    <row r="399" spans="1:21">
      <c r="A399" t="s">
        <v>2143</v>
      </c>
      <c r="B399" t="s">
        <v>2144</v>
      </c>
      <c r="C399" t="s">
        <v>2145</v>
      </c>
      <c r="D399" t="s">
        <v>2146</v>
      </c>
      <c r="E399" t="s">
        <v>2147</v>
      </c>
      <c r="F399" t="s">
        <v>7</v>
      </c>
      <c r="G399" t="s">
        <v>7</v>
      </c>
      <c r="H399" t="s">
        <v>146</v>
      </c>
      <c r="I399" t="s">
        <v>51</v>
      </c>
      <c r="J399" t="s">
        <v>2146</v>
      </c>
      <c r="K399" t="s">
        <v>32</v>
      </c>
      <c r="L399" t="s">
        <v>32</v>
      </c>
      <c r="M399" t="s">
        <v>36</v>
      </c>
      <c r="N399" t="s">
        <v>37</v>
      </c>
      <c r="O399" t="s">
        <v>66</v>
      </c>
      <c r="P399" t="s">
        <v>66</v>
      </c>
      <c r="Q399" t="s">
        <v>57</v>
      </c>
      <c r="R399" t="s">
        <v>2148</v>
      </c>
      <c r="S399" t="s">
        <v>32</v>
      </c>
      <c r="T399" s="2">
        <v>117.091981</v>
      </c>
      <c r="U399" s="2">
        <v>39.0794</v>
      </c>
    </row>
    <row r="400" spans="1:21">
      <c r="A400" t="s">
        <v>2149</v>
      </c>
      <c r="B400" t="s">
        <v>2150</v>
      </c>
      <c r="C400" t="s">
        <v>2151</v>
      </c>
      <c r="D400" t="s">
        <v>2152</v>
      </c>
      <c r="E400" t="s">
        <v>2153</v>
      </c>
      <c r="F400" t="s">
        <v>7</v>
      </c>
      <c r="G400" t="s">
        <v>7</v>
      </c>
      <c r="H400" t="s">
        <v>73</v>
      </c>
      <c r="I400" t="s">
        <v>2154</v>
      </c>
      <c r="J400" t="s">
        <v>2152</v>
      </c>
      <c r="K400" t="s">
        <v>32</v>
      </c>
      <c r="L400" t="s">
        <v>32</v>
      </c>
      <c r="M400" t="s">
        <v>36</v>
      </c>
      <c r="N400" t="s">
        <v>37</v>
      </c>
      <c r="O400" t="s">
        <v>66</v>
      </c>
      <c r="P400" t="s">
        <v>66</v>
      </c>
      <c r="Q400" t="s">
        <v>57</v>
      </c>
      <c r="R400" t="s">
        <v>2155</v>
      </c>
      <c r="S400" t="s">
        <v>32</v>
      </c>
      <c r="T400" s="2">
        <v>117.289017</v>
      </c>
      <c r="U400" s="2">
        <v>39.087279</v>
      </c>
    </row>
    <row r="401" spans="1:21">
      <c r="A401" t="s">
        <v>2156</v>
      </c>
      <c r="B401" t="s">
        <v>2157</v>
      </c>
      <c r="C401" t="s">
        <v>2158</v>
      </c>
      <c r="D401" t="s">
        <v>2159</v>
      </c>
      <c r="E401" t="s">
        <v>2160</v>
      </c>
      <c r="F401" t="s">
        <v>7</v>
      </c>
      <c r="G401" t="s">
        <v>7</v>
      </c>
      <c r="H401" t="s">
        <v>43</v>
      </c>
      <c r="I401" t="s">
        <v>2161</v>
      </c>
      <c r="J401" t="s">
        <v>2159</v>
      </c>
      <c r="K401" t="s">
        <v>32</v>
      </c>
      <c r="L401" t="s">
        <v>32</v>
      </c>
      <c r="M401" t="s">
        <v>36</v>
      </c>
      <c r="N401" t="s">
        <v>37</v>
      </c>
      <c r="O401" t="s">
        <v>66</v>
      </c>
      <c r="P401" t="s">
        <v>66</v>
      </c>
      <c r="Q401" t="s">
        <v>57</v>
      </c>
      <c r="R401" t="s">
        <v>2162</v>
      </c>
      <c r="S401" t="s">
        <v>32</v>
      </c>
      <c r="T401" s="2">
        <v>117.028889</v>
      </c>
      <c r="U401" s="2">
        <v>39.114202</v>
      </c>
    </row>
    <row r="402" spans="1:21">
      <c r="A402" t="s">
        <v>2163</v>
      </c>
      <c r="B402" t="s">
        <v>150</v>
      </c>
      <c r="C402" t="s">
        <v>2164</v>
      </c>
      <c r="D402" t="s">
        <v>2165</v>
      </c>
      <c r="E402" t="s">
        <v>2166</v>
      </c>
      <c r="F402" t="s">
        <v>7</v>
      </c>
      <c r="G402" t="s">
        <v>7</v>
      </c>
      <c r="H402" t="s">
        <v>34</v>
      </c>
      <c r="I402" t="s">
        <v>637</v>
      </c>
      <c r="J402" t="s">
        <v>2165</v>
      </c>
      <c r="K402" t="s">
        <v>32</v>
      </c>
      <c r="L402" t="s">
        <v>32</v>
      </c>
      <c r="M402" t="s">
        <v>36</v>
      </c>
      <c r="N402" t="s">
        <v>37</v>
      </c>
      <c r="O402" t="s">
        <v>66</v>
      </c>
      <c r="P402" t="s">
        <v>66</v>
      </c>
      <c r="Q402" t="s">
        <v>74</v>
      </c>
      <c r="R402" t="s">
        <v>2167</v>
      </c>
      <c r="S402" t="s">
        <v>32</v>
      </c>
      <c r="T402" s="2">
        <v>117.117975</v>
      </c>
      <c r="U402" s="2">
        <v>39.139053</v>
      </c>
    </row>
    <row r="403" spans="1:21">
      <c r="A403" t="s">
        <v>2168</v>
      </c>
      <c r="B403" t="s">
        <v>2169</v>
      </c>
      <c r="C403" t="s">
        <v>2170</v>
      </c>
      <c r="D403" t="s">
        <v>2171</v>
      </c>
      <c r="E403" t="s">
        <v>2172</v>
      </c>
      <c r="F403" t="s">
        <v>7</v>
      </c>
      <c r="G403" t="s">
        <v>7</v>
      </c>
      <c r="H403" t="s">
        <v>50</v>
      </c>
      <c r="I403" t="s">
        <v>637</v>
      </c>
      <c r="J403" t="s">
        <v>2171</v>
      </c>
      <c r="K403" t="s">
        <v>64</v>
      </c>
      <c r="L403" t="s">
        <v>1864</v>
      </c>
      <c r="M403" t="s">
        <v>36</v>
      </c>
      <c r="N403" t="s">
        <v>37</v>
      </c>
      <c r="O403" t="s">
        <v>66</v>
      </c>
      <c r="P403" t="s">
        <v>66</v>
      </c>
      <c r="Q403" t="s">
        <v>45</v>
      </c>
      <c r="R403" t="s">
        <v>2173</v>
      </c>
      <c r="S403" t="s">
        <v>32</v>
      </c>
      <c r="T403" s="2">
        <v>117.212578</v>
      </c>
      <c r="U403" s="2">
        <v>39.107031</v>
      </c>
    </row>
    <row r="404" spans="1:21">
      <c r="A404" t="s">
        <v>2174</v>
      </c>
      <c r="B404" t="s">
        <v>2175</v>
      </c>
      <c r="C404" t="s">
        <v>2176</v>
      </c>
      <c r="D404" t="s">
        <v>2177</v>
      </c>
      <c r="E404" t="s">
        <v>2178</v>
      </c>
      <c r="F404" t="s">
        <v>7</v>
      </c>
      <c r="G404" t="s">
        <v>7</v>
      </c>
      <c r="H404" t="s">
        <v>43</v>
      </c>
      <c r="I404" t="s">
        <v>154</v>
      </c>
      <c r="J404" t="s">
        <v>2177</v>
      </c>
      <c r="K404" t="s">
        <v>32</v>
      </c>
      <c r="L404" t="s">
        <v>32</v>
      </c>
      <c r="M404" t="s">
        <v>36</v>
      </c>
      <c r="N404" t="s">
        <v>37</v>
      </c>
      <c r="O404" t="s">
        <v>66</v>
      </c>
      <c r="P404" t="s">
        <v>66</v>
      </c>
      <c r="Q404" t="s">
        <v>57</v>
      </c>
      <c r="R404" t="s">
        <v>2179</v>
      </c>
      <c r="S404" t="s">
        <v>32</v>
      </c>
      <c r="T404" s="2">
        <v>117.069287</v>
      </c>
      <c r="U404" s="2">
        <v>39.089366</v>
      </c>
    </row>
    <row r="405" spans="1:21">
      <c r="A405" t="s">
        <v>2180</v>
      </c>
      <c r="B405" t="s">
        <v>2181</v>
      </c>
      <c r="C405" t="s">
        <v>2182</v>
      </c>
      <c r="D405" t="s">
        <v>2183</v>
      </c>
      <c r="E405" t="s">
        <v>2184</v>
      </c>
      <c r="F405" t="s">
        <v>7</v>
      </c>
      <c r="G405" t="s">
        <v>7</v>
      </c>
      <c r="H405" t="s">
        <v>133</v>
      </c>
      <c r="I405" t="s">
        <v>51</v>
      </c>
      <c r="J405" t="s">
        <v>2183</v>
      </c>
      <c r="K405" t="s">
        <v>32</v>
      </c>
      <c r="L405" t="s">
        <v>32</v>
      </c>
      <c r="M405" t="s">
        <v>36</v>
      </c>
      <c r="N405" t="s">
        <v>37</v>
      </c>
      <c r="O405" t="s">
        <v>66</v>
      </c>
      <c r="P405" t="s">
        <v>66</v>
      </c>
      <c r="Q405" t="s">
        <v>74</v>
      </c>
      <c r="R405" t="s">
        <v>2185</v>
      </c>
      <c r="S405" t="s">
        <v>32</v>
      </c>
      <c r="T405" s="2">
        <v>117.147047</v>
      </c>
      <c r="U405" s="2">
        <v>39.143952</v>
      </c>
    </row>
    <row r="406" spans="1:21">
      <c r="A406" t="s">
        <v>2186</v>
      </c>
      <c r="B406" t="s">
        <v>40</v>
      </c>
      <c r="C406" t="s">
        <v>54</v>
      </c>
      <c r="D406" t="s">
        <v>32</v>
      </c>
      <c r="E406" t="s">
        <v>2187</v>
      </c>
      <c r="F406" t="s">
        <v>7</v>
      </c>
      <c r="G406" t="s">
        <v>7</v>
      </c>
      <c r="H406" t="s">
        <v>56</v>
      </c>
      <c r="I406" t="s">
        <v>44</v>
      </c>
      <c r="J406" t="s">
        <v>32</v>
      </c>
      <c r="K406" t="s">
        <v>32</v>
      </c>
      <c r="L406" t="s">
        <v>32</v>
      </c>
      <c r="M406" t="s">
        <v>36</v>
      </c>
      <c r="N406" t="s">
        <v>37</v>
      </c>
      <c r="O406" t="s">
        <v>66</v>
      </c>
      <c r="P406" t="s">
        <v>66</v>
      </c>
      <c r="Q406" t="s">
        <v>74</v>
      </c>
      <c r="R406" t="s">
        <v>2188</v>
      </c>
      <c r="S406" t="s">
        <v>32</v>
      </c>
      <c r="T406" s="2">
        <v>117.161435</v>
      </c>
      <c r="U406" s="2">
        <v>39.201505</v>
      </c>
    </row>
    <row r="407" spans="1:21">
      <c r="A407" t="s">
        <v>2189</v>
      </c>
      <c r="B407" t="s">
        <v>69</v>
      </c>
      <c r="C407" t="s">
        <v>666</v>
      </c>
      <c r="D407" t="s">
        <v>2190</v>
      </c>
      <c r="E407" t="s">
        <v>2191</v>
      </c>
      <c r="F407" t="s">
        <v>7</v>
      </c>
      <c r="G407" t="s">
        <v>7</v>
      </c>
      <c r="H407" t="s">
        <v>133</v>
      </c>
      <c r="I407" t="s">
        <v>44</v>
      </c>
      <c r="J407" t="s">
        <v>2190</v>
      </c>
      <c r="K407" t="s">
        <v>32</v>
      </c>
      <c r="L407" t="s">
        <v>32</v>
      </c>
      <c r="M407" t="s">
        <v>36</v>
      </c>
      <c r="N407" t="s">
        <v>37</v>
      </c>
      <c r="O407" t="s">
        <v>66</v>
      </c>
      <c r="P407" t="s">
        <v>66</v>
      </c>
      <c r="Q407" t="s">
        <v>45</v>
      </c>
      <c r="R407" t="s">
        <v>2192</v>
      </c>
      <c r="S407" t="s">
        <v>32</v>
      </c>
      <c r="T407" s="2">
        <v>117.13942</v>
      </c>
      <c r="U407" s="2">
        <v>39.177597</v>
      </c>
    </row>
    <row r="408" spans="1:21">
      <c r="A408" t="s">
        <v>2193</v>
      </c>
      <c r="B408" t="s">
        <v>2194</v>
      </c>
      <c r="C408" t="s">
        <v>855</v>
      </c>
      <c r="D408" t="s">
        <v>2195</v>
      </c>
      <c r="E408" t="s">
        <v>2196</v>
      </c>
      <c r="F408" t="s">
        <v>7</v>
      </c>
      <c r="G408" t="s">
        <v>7</v>
      </c>
      <c r="H408" t="s">
        <v>43</v>
      </c>
      <c r="I408" t="s">
        <v>51</v>
      </c>
      <c r="J408" t="s">
        <v>2195</v>
      </c>
      <c r="K408" t="s">
        <v>85</v>
      </c>
      <c r="L408" t="s">
        <v>65</v>
      </c>
      <c r="M408" t="s">
        <v>36</v>
      </c>
      <c r="N408" t="s">
        <v>37</v>
      </c>
      <c r="O408" t="s">
        <v>66</v>
      </c>
      <c r="P408" t="s">
        <v>66</v>
      </c>
      <c r="Q408" t="s">
        <v>45</v>
      </c>
      <c r="R408" t="s">
        <v>2197</v>
      </c>
      <c r="S408" t="s">
        <v>32</v>
      </c>
      <c r="T408" s="2">
        <v>117.266072</v>
      </c>
      <c r="U408" s="2">
        <v>39.016762</v>
      </c>
    </row>
    <row r="409" spans="1:21">
      <c r="A409" t="s">
        <v>2198</v>
      </c>
      <c r="B409" t="s">
        <v>69</v>
      </c>
      <c r="C409" t="s">
        <v>2199</v>
      </c>
      <c r="D409" t="s">
        <v>2200</v>
      </c>
      <c r="E409" t="s">
        <v>2201</v>
      </c>
      <c r="F409" t="s">
        <v>7</v>
      </c>
      <c r="G409" t="s">
        <v>7</v>
      </c>
      <c r="H409" t="s">
        <v>407</v>
      </c>
      <c r="I409" t="s">
        <v>189</v>
      </c>
      <c r="J409" t="s">
        <v>2200</v>
      </c>
      <c r="K409" t="s">
        <v>32</v>
      </c>
      <c r="L409" t="s">
        <v>32</v>
      </c>
      <c r="M409" t="s">
        <v>36</v>
      </c>
      <c r="N409" t="s">
        <v>37</v>
      </c>
      <c r="O409" t="s">
        <v>66</v>
      </c>
      <c r="P409" t="s">
        <v>66</v>
      </c>
      <c r="Q409" t="s">
        <v>74</v>
      </c>
      <c r="R409" t="s">
        <v>2202</v>
      </c>
      <c r="S409" t="s">
        <v>32</v>
      </c>
      <c r="T409" s="2">
        <v>117.210802</v>
      </c>
      <c r="U409" s="2">
        <v>39.131609</v>
      </c>
    </row>
    <row r="410" spans="1:21">
      <c r="A410" t="s">
        <v>2203</v>
      </c>
      <c r="B410" t="s">
        <v>2204</v>
      </c>
      <c r="C410" t="s">
        <v>2205</v>
      </c>
      <c r="D410" t="s">
        <v>32</v>
      </c>
      <c r="E410" t="s">
        <v>2206</v>
      </c>
      <c r="F410" t="s">
        <v>7</v>
      </c>
      <c r="G410" t="s">
        <v>7</v>
      </c>
      <c r="H410" t="s">
        <v>105</v>
      </c>
      <c r="I410" t="s">
        <v>44</v>
      </c>
      <c r="J410" t="s">
        <v>32</v>
      </c>
      <c r="K410" t="s">
        <v>32</v>
      </c>
      <c r="L410" t="s">
        <v>32</v>
      </c>
      <c r="M410" t="s">
        <v>36</v>
      </c>
      <c r="N410" t="s">
        <v>37</v>
      </c>
      <c r="O410" t="s">
        <v>66</v>
      </c>
      <c r="P410" t="s">
        <v>66</v>
      </c>
      <c r="Q410" t="s">
        <v>45</v>
      </c>
      <c r="R410" t="s">
        <v>2207</v>
      </c>
      <c r="S410" t="s">
        <v>32</v>
      </c>
      <c r="T410" s="2">
        <v>117.242632</v>
      </c>
      <c r="U410" s="2">
        <v>39.114255</v>
      </c>
    </row>
    <row r="411" spans="1:21">
      <c r="A411" t="s">
        <v>2208</v>
      </c>
      <c r="B411" t="s">
        <v>2209</v>
      </c>
      <c r="C411" t="s">
        <v>2210</v>
      </c>
      <c r="D411" t="s">
        <v>2211</v>
      </c>
      <c r="E411" t="s">
        <v>2212</v>
      </c>
      <c r="F411" t="s">
        <v>7</v>
      </c>
      <c r="G411" t="s">
        <v>7</v>
      </c>
      <c r="H411" t="s">
        <v>56</v>
      </c>
      <c r="I411" t="s">
        <v>44</v>
      </c>
      <c r="J411" t="s">
        <v>2211</v>
      </c>
      <c r="K411" t="s">
        <v>32</v>
      </c>
      <c r="L411" t="s">
        <v>32</v>
      </c>
      <c r="M411" t="s">
        <v>36</v>
      </c>
      <c r="N411" t="s">
        <v>37</v>
      </c>
      <c r="O411" t="s">
        <v>66</v>
      </c>
      <c r="P411" t="s">
        <v>66</v>
      </c>
      <c r="Q411" t="s">
        <v>74</v>
      </c>
      <c r="R411" t="s">
        <v>2213</v>
      </c>
      <c r="S411" t="s">
        <v>32</v>
      </c>
      <c r="T411" s="2">
        <v>117.234879</v>
      </c>
      <c r="U411" s="2">
        <v>39.248888</v>
      </c>
    </row>
    <row r="412" spans="1:21">
      <c r="A412" t="s">
        <v>2214</v>
      </c>
      <c r="B412" t="s">
        <v>374</v>
      </c>
      <c r="C412" t="s">
        <v>806</v>
      </c>
      <c r="D412" t="s">
        <v>2215</v>
      </c>
      <c r="E412" t="s">
        <v>2216</v>
      </c>
      <c r="F412" t="s">
        <v>7</v>
      </c>
      <c r="G412" t="s">
        <v>7</v>
      </c>
      <c r="H412" t="s">
        <v>34</v>
      </c>
      <c r="I412" t="s">
        <v>44</v>
      </c>
      <c r="J412" t="s">
        <v>2215</v>
      </c>
      <c r="K412" t="s">
        <v>32</v>
      </c>
      <c r="L412" t="s">
        <v>32</v>
      </c>
      <c r="M412" t="s">
        <v>36</v>
      </c>
      <c r="N412" t="s">
        <v>37</v>
      </c>
      <c r="O412" t="s">
        <v>66</v>
      </c>
      <c r="P412" t="s">
        <v>66</v>
      </c>
      <c r="Q412" t="s">
        <v>74</v>
      </c>
      <c r="R412" t="s">
        <v>2217</v>
      </c>
      <c r="S412" t="s">
        <v>32</v>
      </c>
      <c r="T412" s="2">
        <v>117.16542</v>
      </c>
      <c r="U412" s="2">
        <v>39.127092</v>
      </c>
    </row>
    <row r="413" spans="1:21">
      <c r="A413" t="s">
        <v>2218</v>
      </c>
      <c r="B413" t="s">
        <v>277</v>
      </c>
      <c r="C413" t="s">
        <v>2219</v>
      </c>
      <c r="D413" t="s">
        <v>2220</v>
      </c>
      <c r="E413" t="s">
        <v>2221</v>
      </c>
      <c r="F413" t="s">
        <v>7</v>
      </c>
      <c r="G413" t="s">
        <v>7</v>
      </c>
      <c r="H413" t="s">
        <v>262</v>
      </c>
      <c r="I413" t="s">
        <v>189</v>
      </c>
      <c r="J413" t="s">
        <v>2220</v>
      </c>
      <c r="K413" t="s">
        <v>32</v>
      </c>
      <c r="L413" t="s">
        <v>32</v>
      </c>
      <c r="M413" t="s">
        <v>36</v>
      </c>
      <c r="N413" t="s">
        <v>37</v>
      </c>
      <c r="O413" t="s">
        <v>66</v>
      </c>
      <c r="P413" t="s">
        <v>66</v>
      </c>
      <c r="Q413" t="s">
        <v>57</v>
      </c>
      <c r="R413" t="s">
        <v>2222</v>
      </c>
      <c r="S413" t="s">
        <v>32</v>
      </c>
      <c r="T413" s="2">
        <v>117.238177</v>
      </c>
      <c r="U413" s="2">
        <v>39.160338</v>
      </c>
    </row>
    <row r="414" spans="1:21">
      <c r="A414" t="s">
        <v>2223</v>
      </c>
      <c r="B414" t="s">
        <v>69</v>
      </c>
      <c r="C414" t="s">
        <v>2224</v>
      </c>
      <c r="D414" t="s">
        <v>2225</v>
      </c>
      <c r="E414" t="s">
        <v>2226</v>
      </c>
      <c r="F414" t="s">
        <v>7</v>
      </c>
      <c r="G414" t="s">
        <v>7</v>
      </c>
      <c r="H414" t="s">
        <v>34</v>
      </c>
      <c r="I414" t="s">
        <v>51</v>
      </c>
      <c r="J414" t="s">
        <v>2225</v>
      </c>
      <c r="K414" t="s">
        <v>32</v>
      </c>
      <c r="L414" t="s">
        <v>32</v>
      </c>
      <c r="M414" t="s">
        <v>36</v>
      </c>
      <c r="N414" t="s">
        <v>37</v>
      </c>
      <c r="O414" t="s">
        <v>66</v>
      </c>
      <c r="P414" t="s">
        <v>66</v>
      </c>
      <c r="Q414" t="s">
        <v>45</v>
      </c>
      <c r="R414" t="s">
        <v>2227</v>
      </c>
      <c r="S414" t="s">
        <v>32</v>
      </c>
      <c r="T414" s="2">
        <v>117.131597</v>
      </c>
      <c r="U414" s="2">
        <v>39.130374</v>
      </c>
    </row>
    <row r="415" spans="1:21">
      <c r="A415" t="s">
        <v>2228</v>
      </c>
      <c r="B415" t="s">
        <v>2229</v>
      </c>
      <c r="C415" t="s">
        <v>2230</v>
      </c>
      <c r="D415" t="s">
        <v>2231</v>
      </c>
      <c r="E415" t="s">
        <v>2232</v>
      </c>
      <c r="F415" t="s">
        <v>7</v>
      </c>
      <c r="G415" t="s">
        <v>7</v>
      </c>
      <c r="H415" t="s">
        <v>56</v>
      </c>
      <c r="I415" t="s">
        <v>51</v>
      </c>
      <c r="J415" t="s">
        <v>2231</v>
      </c>
      <c r="K415" t="s">
        <v>32</v>
      </c>
      <c r="L415" t="s">
        <v>32</v>
      </c>
      <c r="M415" t="s">
        <v>36</v>
      </c>
      <c r="N415" t="s">
        <v>37</v>
      </c>
      <c r="O415" t="s">
        <v>66</v>
      </c>
      <c r="P415" t="s">
        <v>66</v>
      </c>
      <c r="Q415" t="s">
        <v>74</v>
      </c>
      <c r="R415" t="s">
        <v>2233</v>
      </c>
      <c r="S415" t="s">
        <v>32</v>
      </c>
      <c r="T415" s="2">
        <v>117.248001</v>
      </c>
      <c r="U415" s="2">
        <v>39.226991</v>
      </c>
    </row>
    <row r="416" spans="1:21">
      <c r="A416" t="s">
        <v>2234</v>
      </c>
      <c r="B416" t="s">
        <v>40</v>
      </c>
      <c r="C416" t="s">
        <v>54</v>
      </c>
      <c r="D416" t="s">
        <v>32</v>
      </c>
      <c r="E416" t="s">
        <v>2235</v>
      </c>
      <c r="F416" t="s">
        <v>7</v>
      </c>
      <c r="G416" t="s">
        <v>7</v>
      </c>
      <c r="H416" t="s">
        <v>56</v>
      </c>
      <c r="I416" t="s">
        <v>44</v>
      </c>
      <c r="J416" t="s">
        <v>32</v>
      </c>
      <c r="K416" t="s">
        <v>32</v>
      </c>
      <c r="L416" t="s">
        <v>32</v>
      </c>
      <c r="M416" t="s">
        <v>36</v>
      </c>
      <c r="N416" t="s">
        <v>37</v>
      </c>
      <c r="O416" t="s">
        <v>66</v>
      </c>
      <c r="P416" t="s">
        <v>66</v>
      </c>
      <c r="Q416" t="s">
        <v>57</v>
      </c>
      <c r="R416" t="s">
        <v>2236</v>
      </c>
      <c r="S416" t="s">
        <v>32</v>
      </c>
      <c r="T416" s="2">
        <v>117.141347</v>
      </c>
      <c r="U416" s="2">
        <v>39.20211</v>
      </c>
    </row>
    <row r="417" spans="1:21">
      <c r="A417" t="s">
        <v>2237</v>
      </c>
      <c r="B417" t="s">
        <v>415</v>
      </c>
      <c r="C417" t="s">
        <v>2238</v>
      </c>
      <c r="D417" t="s">
        <v>2239</v>
      </c>
      <c r="E417" t="s">
        <v>2240</v>
      </c>
      <c r="F417" t="s">
        <v>7</v>
      </c>
      <c r="G417" t="s">
        <v>7</v>
      </c>
      <c r="H417" t="s">
        <v>73</v>
      </c>
      <c r="I417" t="s">
        <v>51</v>
      </c>
      <c r="J417" t="s">
        <v>2239</v>
      </c>
      <c r="K417" t="s">
        <v>32</v>
      </c>
      <c r="L417" t="s">
        <v>32</v>
      </c>
      <c r="M417" t="s">
        <v>36</v>
      </c>
      <c r="N417" t="s">
        <v>37</v>
      </c>
      <c r="O417" t="s">
        <v>66</v>
      </c>
      <c r="P417" t="s">
        <v>66</v>
      </c>
      <c r="Q417" t="s">
        <v>45</v>
      </c>
      <c r="R417" t="s">
        <v>2241</v>
      </c>
      <c r="S417" t="s">
        <v>32</v>
      </c>
      <c r="T417" s="2">
        <v>117.343137</v>
      </c>
      <c r="U417" s="2">
        <v>39.086537</v>
      </c>
    </row>
    <row r="418" spans="1:21">
      <c r="A418" t="s">
        <v>2242</v>
      </c>
      <c r="B418" t="s">
        <v>2243</v>
      </c>
      <c r="C418" t="s">
        <v>2244</v>
      </c>
      <c r="D418" t="s">
        <v>2245</v>
      </c>
      <c r="E418" t="s">
        <v>2246</v>
      </c>
      <c r="F418" t="s">
        <v>7</v>
      </c>
      <c r="G418" t="s">
        <v>7</v>
      </c>
      <c r="H418" t="s">
        <v>262</v>
      </c>
      <c r="I418" t="s">
        <v>44</v>
      </c>
      <c r="J418" t="s">
        <v>2245</v>
      </c>
      <c r="K418" t="s">
        <v>32</v>
      </c>
      <c r="L418" t="s">
        <v>32</v>
      </c>
      <c r="M418" t="s">
        <v>36</v>
      </c>
      <c r="N418" t="s">
        <v>37</v>
      </c>
      <c r="O418" t="s">
        <v>66</v>
      </c>
      <c r="P418" t="s">
        <v>66</v>
      </c>
      <c r="Q418" t="s">
        <v>45</v>
      </c>
      <c r="R418" t="s">
        <v>2247</v>
      </c>
      <c r="S418" t="s">
        <v>32</v>
      </c>
      <c r="T418" s="2">
        <v>117.218289</v>
      </c>
      <c r="U418" s="2">
        <v>39.163877</v>
      </c>
    </row>
    <row r="419" spans="1:21">
      <c r="A419" t="s">
        <v>2248</v>
      </c>
      <c r="B419" t="s">
        <v>2249</v>
      </c>
      <c r="C419" t="s">
        <v>2250</v>
      </c>
      <c r="D419" t="s">
        <v>32</v>
      </c>
      <c r="E419" t="s">
        <v>2251</v>
      </c>
      <c r="F419" t="s">
        <v>7</v>
      </c>
      <c r="G419" t="s">
        <v>7</v>
      </c>
      <c r="H419" t="s">
        <v>262</v>
      </c>
      <c r="I419" t="s">
        <v>44</v>
      </c>
      <c r="J419" t="s">
        <v>32</v>
      </c>
      <c r="K419" t="s">
        <v>32</v>
      </c>
      <c r="L419" t="s">
        <v>32</v>
      </c>
      <c r="M419" t="s">
        <v>36</v>
      </c>
      <c r="N419" t="s">
        <v>37</v>
      </c>
      <c r="O419" t="s">
        <v>66</v>
      </c>
      <c r="P419" t="s">
        <v>66</v>
      </c>
      <c r="Q419" t="s">
        <v>45</v>
      </c>
      <c r="R419" t="s">
        <v>2252</v>
      </c>
      <c r="S419" t="s">
        <v>32</v>
      </c>
      <c r="T419" s="2">
        <v>117.223301</v>
      </c>
      <c r="U419" s="2">
        <v>39.165295</v>
      </c>
    </row>
    <row r="420" spans="1:21">
      <c r="A420" t="s">
        <v>2253</v>
      </c>
      <c r="B420" t="s">
        <v>2254</v>
      </c>
      <c r="C420" t="s">
        <v>2255</v>
      </c>
      <c r="D420" t="s">
        <v>2256</v>
      </c>
      <c r="E420" t="s">
        <v>2257</v>
      </c>
      <c r="F420" t="s">
        <v>7</v>
      </c>
      <c r="G420" t="s">
        <v>7</v>
      </c>
      <c r="H420" t="s">
        <v>43</v>
      </c>
      <c r="I420" t="s">
        <v>637</v>
      </c>
      <c r="J420" t="s">
        <v>2256</v>
      </c>
      <c r="K420" t="s">
        <v>32</v>
      </c>
      <c r="L420" t="s">
        <v>32</v>
      </c>
      <c r="M420" t="s">
        <v>36</v>
      </c>
      <c r="N420" t="s">
        <v>37</v>
      </c>
      <c r="O420" t="s">
        <v>66</v>
      </c>
      <c r="P420" t="s">
        <v>66</v>
      </c>
      <c r="Q420" t="s">
        <v>57</v>
      </c>
      <c r="R420" t="s">
        <v>2258</v>
      </c>
      <c r="S420" t="s">
        <v>32</v>
      </c>
      <c r="T420" s="2">
        <v>117.09064</v>
      </c>
      <c r="U420" s="2">
        <v>39.16398</v>
      </c>
    </row>
    <row r="421" spans="1:21">
      <c r="A421" t="s">
        <v>2259</v>
      </c>
      <c r="B421" t="s">
        <v>40</v>
      </c>
      <c r="C421" t="s">
        <v>2260</v>
      </c>
      <c r="D421" t="s">
        <v>32</v>
      </c>
      <c r="E421" t="s">
        <v>2261</v>
      </c>
      <c r="F421" t="s">
        <v>7</v>
      </c>
      <c r="G421" t="s">
        <v>7</v>
      </c>
      <c r="H421" t="s">
        <v>43</v>
      </c>
      <c r="I421" t="s">
        <v>2262</v>
      </c>
      <c r="J421" t="s">
        <v>32</v>
      </c>
      <c r="K421" t="s">
        <v>32</v>
      </c>
      <c r="L421" t="s">
        <v>32</v>
      </c>
      <c r="M421" t="s">
        <v>36</v>
      </c>
      <c r="N421" t="s">
        <v>37</v>
      </c>
      <c r="O421" t="s">
        <v>66</v>
      </c>
      <c r="P421" t="s">
        <v>66</v>
      </c>
      <c r="Q421" t="s">
        <v>57</v>
      </c>
      <c r="R421" t="s">
        <v>2263</v>
      </c>
      <c r="S421" t="s">
        <v>32</v>
      </c>
      <c r="T421" s="2">
        <v>117.096855</v>
      </c>
      <c r="U421" s="2">
        <v>39.137501</v>
      </c>
    </row>
    <row r="422" spans="1:21">
      <c r="A422" t="s">
        <v>2264</v>
      </c>
      <c r="B422" t="s">
        <v>2265</v>
      </c>
      <c r="C422" t="s">
        <v>2266</v>
      </c>
      <c r="D422" t="s">
        <v>2267</v>
      </c>
      <c r="E422" t="s">
        <v>2268</v>
      </c>
      <c r="F422" t="s">
        <v>7</v>
      </c>
      <c r="G422" t="s">
        <v>7</v>
      </c>
      <c r="H422" t="s">
        <v>43</v>
      </c>
      <c r="I422" t="s">
        <v>51</v>
      </c>
      <c r="J422" t="s">
        <v>2267</v>
      </c>
      <c r="K422" t="s">
        <v>32</v>
      </c>
      <c r="L422" t="s">
        <v>32</v>
      </c>
      <c r="M422" t="s">
        <v>36</v>
      </c>
      <c r="N422" t="s">
        <v>37</v>
      </c>
      <c r="O422" t="s">
        <v>66</v>
      </c>
      <c r="P422" t="s">
        <v>66</v>
      </c>
      <c r="Q422" t="s">
        <v>57</v>
      </c>
      <c r="R422" t="s">
        <v>2269</v>
      </c>
      <c r="S422" t="s">
        <v>32</v>
      </c>
      <c r="T422" s="2">
        <v>117.189113</v>
      </c>
      <c r="U422" s="2">
        <v>39.012822</v>
      </c>
    </row>
    <row r="423" spans="1:21">
      <c r="A423" t="s">
        <v>2270</v>
      </c>
      <c r="B423" t="s">
        <v>40</v>
      </c>
      <c r="C423" t="s">
        <v>2271</v>
      </c>
      <c r="D423" t="s">
        <v>32</v>
      </c>
      <c r="E423" t="s">
        <v>2272</v>
      </c>
      <c r="F423" t="s">
        <v>7</v>
      </c>
      <c r="G423" t="s">
        <v>7</v>
      </c>
      <c r="H423" t="s">
        <v>34</v>
      </c>
      <c r="I423" t="s">
        <v>44</v>
      </c>
      <c r="J423" t="s">
        <v>32</v>
      </c>
      <c r="K423" t="s">
        <v>32</v>
      </c>
      <c r="L423" t="s">
        <v>32</v>
      </c>
      <c r="M423" t="s">
        <v>36</v>
      </c>
      <c r="N423" t="s">
        <v>37</v>
      </c>
      <c r="O423" t="s">
        <v>66</v>
      </c>
      <c r="P423" t="s">
        <v>66</v>
      </c>
      <c r="Q423" t="s">
        <v>45</v>
      </c>
      <c r="R423" t="s">
        <v>2273</v>
      </c>
      <c r="S423" t="s">
        <v>32</v>
      </c>
      <c r="T423" s="2">
        <v>117.170635</v>
      </c>
      <c r="U423" s="2">
        <v>39.097429</v>
      </c>
    </row>
    <row r="424" spans="1:21">
      <c r="A424" t="s">
        <v>2274</v>
      </c>
      <c r="B424" t="s">
        <v>2275</v>
      </c>
      <c r="C424" t="s">
        <v>2164</v>
      </c>
      <c r="D424" t="s">
        <v>2276</v>
      </c>
      <c r="E424" t="s">
        <v>2277</v>
      </c>
      <c r="F424" t="s">
        <v>7</v>
      </c>
      <c r="G424" t="s">
        <v>7</v>
      </c>
      <c r="H424" t="s">
        <v>262</v>
      </c>
      <c r="I424" t="s">
        <v>51</v>
      </c>
      <c r="J424" t="s">
        <v>2276</v>
      </c>
      <c r="K424" t="s">
        <v>32</v>
      </c>
      <c r="L424" t="s">
        <v>32</v>
      </c>
      <c r="M424" t="s">
        <v>36</v>
      </c>
      <c r="N424" t="s">
        <v>37</v>
      </c>
      <c r="O424" t="s">
        <v>66</v>
      </c>
      <c r="P424" t="s">
        <v>66</v>
      </c>
      <c r="Q424" t="s">
        <v>74</v>
      </c>
      <c r="R424" t="s">
        <v>2278</v>
      </c>
      <c r="S424" t="s">
        <v>32</v>
      </c>
      <c r="T424" s="2">
        <v>117.231726</v>
      </c>
      <c r="U424" s="2">
        <v>39.183939</v>
      </c>
    </row>
    <row r="425" spans="1:21">
      <c r="A425" t="s">
        <v>2279</v>
      </c>
      <c r="B425" t="s">
        <v>40</v>
      </c>
      <c r="C425" t="s">
        <v>2260</v>
      </c>
      <c r="D425" t="s">
        <v>32</v>
      </c>
      <c r="E425" t="s">
        <v>2280</v>
      </c>
      <c r="F425" t="s">
        <v>7</v>
      </c>
      <c r="G425" t="s">
        <v>7</v>
      </c>
      <c r="H425" t="s">
        <v>105</v>
      </c>
      <c r="I425" t="s">
        <v>51</v>
      </c>
      <c r="J425" t="s">
        <v>32</v>
      </c>
      <c r="K425" t="s">
        <v>32</v>
      </c>
      <c r="L425" t="s">
        <v>32</v>
      </c>
      <c r="M425" t="s">
        <v>36</v>
      </c>
      <c r="N425" t="s">
        <v>37</v>
      </c>
      <c r="O425" t="s">
        <v>66</v>
      </c>
      <c r="P425" t="s">
        <v>66</v>
      </c>
      <c r="Q425" t="s">
        <v>57</v>
      </c>
      <c r="R425" t="s">
        <v>2281</v>
      </c>
      <c r="S425" t="s">
        <v>32</v>
      </c>
      <c r="T425" s="2">
        <v>117.239516</v>
      </c>
      <c r="U425" s="2">
        <v>39.115499</v>
      </c>
    </row>
    <row r="426" spans="1:21">
      <c r="A426" t="s">
        <v>2282</v>
      </c>
      <c r="B426" t="s">
        <v>30</v>
      </c>
      <c r="C426" t="s">
        <v>2283</v>
      </c>
      <c r="D426" t="s">
        <v>2284</v>
      </c>
      <c r="E426" t="s">
        <v>2285</v>
      </c>
      <c r="F426" t="s">
        <v>7</v>
      </c>
      <c r="G426" t="s">
        <v>7</v>
      </c>
      <c r="H426" t="s">
        <v>73</v>
      </c>
      <c r="I426" t="s">
        <v>35</v>
      </c>
      <c r="J426" t="s">
        <v>2284</v>
      </c>
      <c r="K426" t="s">
        <v>32</v>
      </c>
      <c r="L426" t="s">
        <v>32</v>
      </c>
      <c r="M426" t="s">
        <v>36</v>
      </c>
      <c r="N426" t="s">
        <v>37</v>
      </c>
      <c r="O426" t="s">
        <v>66</v>
      </c>
      <c r="P426" t="s">
        <v>66</v>
      </c>
      <c r="Q426" t="s">
        <v>32</v>
      </c>
      <c r="R426" t="s">
        <v>2286</v>
      </c>
      <c r="S426" t="s">
        <v>32</v>
      </c>
      <c r="T426" s="2">
        <v>117.318835</v>
      </c>
      <c r="U426" s="2">
        <v>39.087828</v>
      </c>
    </row>
    <row r="427" spans="1:21">
      <c r="A427" t="s">
        <v>2287</v>
      </c>
      <c r="B427" t="s">
        <v>30</v>
      </c>
      <c r="C427" t="s">
        <v>2288</v>
      </c>
      <c r="D427" t="s">
        <v>2289</v>
      </c>
      <c r="E427" t="s">
        <v>2290</v>
      </c>
      <c r="F427" t="s">
        <v>7</v>
      </c>
      <c r="G427" t="s">
        <v>7</v>
      </c>
      <c r="H427" t="s">
        <v>43</v>
      </c>
      <c r="I427" t="s">
        <v>35</v>
      </c>
      <c r="J427" t="s">
        <v>2289</v>
      </c>
      <c r="K427" t="s">
        <v>32</v>
      </c>
      <c r="L427" t="s">
        <v>32</v>
      </c>
      <c r="M427" t="s">
        <v>36</v>
      </c>
      <c r="N427" t="s">
        <v>37</v>
      </c>
      <c r="O427" t="s">
        <v>66</v>
      </c>
      <c r="P427" t="s">
        <v>66</v>
      </c>
      <c r="Q427" t="s">
        <v>32</v>
      </c>
      <c r="R427" t="s">
        <v>2291</v>
      </c>
      <c r="S427" t="s">
        <v>32</v>
      </c>
      <c r="T427" s="2">
        <v>117.11777</v>
      </c>
      <c r="U427" s="2">
        <v>39.044367</v>
      </c>
    </row>
    <row r="428" spans="1:21">
      <c r="A428" t="s">
        <v>2292</v>
      </c>
      <c r="B428" t="s">
        <v>30</v>
      </c>
      <c r="C428" t="s">
        <v>2293</v>
      </c>
      <c r="D428" t="s">
        <v>2294</v>
      </c>
      <c r="E428" t="s">
        <v>2295</v>
      </c>
      <c r="F428" t="s">
        <v>7</v>
      </c>
      <c r="G428" t="s">
        <v>7</v>
      </c>
      <c r="H428" t="s">
        <v>63</v>
      </c>
      <c r="I428" t="s">
        <v>35</v>
      </c>
      <c r="J428" t="s">
        <v>2294</v>
      </c>
      <c r="K428" t="s">
        <v>32</v>
      </c>
      <c r="L428" t="s">
        <v>32</v>
      </c>
      <c r="M428" t="s">
        <v>36</v>
      </c>
      <c r="N428" t="s">
        <v>37</v>
      </c>
      <c r="O428" t="s">
        <v>66</v>
      </c>
      <c r="P428" t="s">
        <v>66</v>
      </c>
      <c r="Q428" t="s">
        <v>32</v>
      </c>
      <c r="R428" t="s">
        <v>2296</v>
      </c>
      <c r="S428" t="s">
        <v>32</v>
      </c>
      <c r="T428" s="2">
        <v>117.276601</v>
      </c>
      <c r="U428" s="2">
        <v>39.028423</v>
      </c>
    </row>
    <row r="429" spans="1:21">
      <c r="A429" t="s">
        <v>2297</v>
      </c>
      <c r="B429" t="s">
        <v>30</v>
      </c>
      <c r="C429" t="s">
        <v>2298</v>
      </c>
      <c r="D429" t="s">
        <v>2299</v>
      </c>
      <c r="E429" t="s">
        <v>2300</v>
      </c>
      <c r="F429" t="s">
        <v>7</v>
      </c>
      <c r="G429" t="s">
        <v>7</v>
      </c>
      <c r="H429" t="s">
        <v>56</v>
      </c>
      <c r="I429" t="s">
        <v>35</v>
      </c>
      <c r="J429" t="s">
        <v>2299</v>
      </c>
      <c r="K429" t="s">
        <v>32</v>
      </c>
      <c r="L429" t="s">
        <v>32</v>
      </c>
      <c r="M429" t="s">
        <v>36</v>
      </c>
      <c r="N429" t="s">
        <v>37</v>
      </c>
      <c r="O429" t="s">
        <v>66</v>
      </c>
      <c r="P429" t="s">
        <v>66</v>
      </c>
      <c r="Q429" t="s">
        <v>32</v>
      </c>
      <c r="R429" t="s">
        <v>2301</v>
      </c>
      <c r="S429" t="s">
        <v>32</v>
      </c>
      <c r="T429" s="2">
        <v>117.119942</v>
      </c>
      <c r="U429" s="2">
        <v>39.192318</v>
      </c>
    </row>
    <row r="430" spans="1:21">
      <c r="A430" t="s">
        <v>2302</v>
      </c>
      <c r="B430" t="s">
        <v>30</v>
      </c>
      <c r="C430" t="s">
        <v>2303</v>
      </c>
      <c r="D430" t="s">
        <v>2304</v>
      </c>
      <c r="E430" t="s">
        <v>2305</v>
      </c>
      <c r="F430" t="s">
        <v>7</v>
      </c>
      <c r="G430" t="s">
        <v>7</v>
      </c>
      <c r="H430" t="s">
        <v>73</v>
      </c>
      <c r="I430" t="s">
        <v>35</v>
      </c>
      <c r="J430" t="s">
        <v>2304</v>
      </c>
      <c r="K430" t="s">
        <v>32</v>
      </c>
      <c r="L430" t="s">
        <v>32</v>
      </c>
      <c r="M430" t="s">
        <v>36</v>
      </c>
      <c r="N430" t="s">
        <v>37</v>
      </c>
      <c r="O430" t="s">
        <v>66</v>
      </c>
      <c r="P430" t="s">
        <v>66</v>
      </c>
      <c r="Q430" t="s">
        <v>32</v>
      </c>
      <c r="R430" t="s">
        <v>2306</v>
      </c>
      <c r="S430" t="s">
        <v>32</v>
      </c>
      <c r="T430" s="2">
        <v>117.281501</v>
      </c>
      <c r="U430" s="2">
        <v>39.14417</v>
      </c>
    </row>
    <row r="431" spans="1:21">
      <c r="A431" t="s">
        <v>2307</v>
      </c>
      <c r="B431" t="s">
        <v>30</v>
      </c>
      <c r="C431" t="s">
        <v>2303</v>
      </c>
      <c r="D431" t="s">
        <v>2308</v>
      </c>
      <c r="E431" t="s">
        <v>2309</v>
      </c>
      <c r="F431" t="s">
        <v>7</v>
      </c>
      <c r="G431" t="s">
        <v>7</v>
      </c>
      <c r="H431" t="s">
        <v>50</v>
      </c>
      <c r="I431" t="s">
        <v>35</v>
      </c>
      <c r="J431" t="s">
        <v>2308</v>
      </c>
      <c r="K431" t="s">
        <v>32</v>
      </c>
      <c r="L431" t="s">
        <v>32</v>
      </c>
      <c r="M431" t="s">
        <v>36</v>
      </c>
      <c r="N431" t="s">
        <v>37</v>
      </c>
      <c r="O431" t="s">
        <v>66</v>
      </c>
      <c r="P431" t="s">
        <v>66</v>
      </c>
      <c r="Q431" t="s">
        <v>32</v>
      </c>
      <c r="R431" t="s">
        <v>2310</v>
      </c>
      <c r="S431" t="s">
        <v>32</v>
      </c>
      <c r="T431" s="2">
        <v>117.227211</v>
      </c>
      <c r="U431" s="2">
        <v>39.059606</v>
      </c>
    </row>
    <row r="432" spans="1:21">
      <c r="A432" t="s">
        <v>2311</v>
      </c>
      <c r="B432" t="s">
        <v>30</v>
      </c>
      <c r="C432" t="s">
        <v>2312</v>
      </c>
      <c r="D432" t="s">
        <v>2313</v>
      </c>
      <c r="E432" t="s">
        <v>2314</v>
      </c>
      <c r="F432" t="s">
        <v>7</v>
      </c>
      <c r="G432" t="s">
        <v>7</v>
      </c>
      <c r="H432" t="s">
        <v>73</v>
      </c>
      <c r="I432" t="s">
        <v>35</v>
      </c>
      <c r="J432" t="s">
        <v>2313</v>
      </c>
      <c r="K432" t="s">
        <v>32</v>
      </c>
      <c r="L432" t="s">
        <v>32</v>
      </c>
      <c r="M432" t="s">
        <v>36</v>
      </c>
      <c r="N432" t="s">
        <v>37</v>
      </c>
      <c r="O432" t="s">
        <v>66</v>
      </c>
      <c r="P432" t="s">
        <v>66</v>
      </c>
      <c r="Q432" t="s">
        <v>32</v>
      </c>
      <c r="R432" t="s">
        <v>2315</v>
      </c>
      <c r="S432" t="s">
        <v>32</v>
      </c>
      <c r="T432" s="2">
        <v>117.241336</v>
      </c>
      <c r="U432" s="2">
        <v>39.190956</v>
      </c>
    </row>
    <row r="433" spans="1:21">
      <c r="A433" t="s">
        <v>2316</v>
      </c>
      <c r="B433" t="s">
        <v>30</v>
      </c>
      <c r="C433" t="s">
        <v>2317</v>
      </c>
      <c r="D433" t="s">
        <v>2318</v>
      </c>
      <c r="E433" t="s">
        <v>2319</v>
      </c>
      <c r="F433" t="s">
        <v>7</v>
      </c>
      <c r="G433" t="s">
        <v>7</v>
      </c>
      <c r="H433" t="s">
        <v>50</v>
      </c>
      <c r="I433" t="s">
        <v>35</v>
      </c>
      <c r="J433" t="s">
        <v>2318</v>
      </c>
      <c r="K433" t="s">
        <v>32</v>
      </c>
      <c r="L433" t="s">
        <v>32</v>
      </c>
      <c r="M433" t="s">
        <v>36</v>
      </c>
      <c r="N433" t="s">
        <v>37</v>
      </c>
      <c r="O433" t="s">
        <v>66</v>
      </c>
      <c r="P433" t="s">
        <v>66</v>
      </c>
      <c r="Q433" t="s">
        <v>32</v>
      </c>
      <c r="R433" t="s">
        <v>2320</v>
      </c>
      <c r="S433" t="s">
        <v>32</v>
      </c>
      <c r="T433" s="2">
        <v>117.235583</v>
      </c>
      <c r="U433" s="2">
        <v>39.053157</v>
      </c>
    </row>
    <row r="434" spans="1:21">
      <c r="A434" t="s">
        <v>2321</v>
      </c>
      <c r="B434" t="s">
        <v>30</v>
      </c>
      <c r="C434" t="s">
        <v>2322</v>
      </c>
      <c r="D434" t="s">
        <v>2323</v>
      </c>
      <c r="E434" t="s">
        <v>2324</v>
      </c>
      <c r="F434" t="s">
        <v>7</v>
      </c>
      <c r="G434" t="s">
        <v>7</v>
      </c>
      <c r="H434" t="s">
        <v>63</v>
      </c>
      <c r="I434" t="s">
        <v>35</v>
      </c>
      <c r="J434" t="s">
        <v>2323</v>
      </c>
      <c r="K434" t="s">
        <v>32</v>
      </c>
      <c r="L434" t="s">
        <v>32</v>
      </c>
      <c r="M434" t="s">
        <v>36</v>
      </c>
      <c r="N434" t="s">
        <v>37</v>
      </c>
      <c r="O434" t="s">
        <v>66</v>
      </c>
      <c r="P434" t="s">
        <v>66</v>
      </c>
      <c r="Q434" t="s">
        <v>32</v>
      </c>
      <c r="R434" t="s">
        <v>2325</v>
      </c>
      <c r="S434" t="s">
        <v>32</v>
      </c>
      <c r="T434" s="2">
        <v>117.294285</v>
      </c>
      <c r="U434" s="2">
        <v>39.016292</v>
      </c>
    </row>
    <row r="435" spans="1:21">
      <c r="A435" t="s">
        <v>2326</v>
      </c>
      <c r="B435" t="s">
        <v>30</v>
      </c>
      <c r="C435" t="s">
        <v>2327</v>
      </c>
      <c r="D435" t="s">
        <v>2328</v>
      </c>
      <c r="E435" t="s">
        <v>2329</v>
      </c>
      <c r="F435" t="s">
        <v>7</v>
      </c>
      <c r="G435" t="s">
        <v>7</v>
      </c>
      <c r="H435" t="s">
        <v>73</v>
      </c>
      <c r="I435" t="s">
        <v>35</v>
      </c>
      <c r="J435" t="s">
        <v>2328</v>
      </c>
      <c r="K435" t="s">
        <v>32</v>
      </c>
      <c r="L435" t="s">
        <v>32</v>
      </c>
      <c r="M435" t="s">
        <v>36</v>
      </c>
      <c r="N435" t="s">
        <v>37</v>
      </c>
      <c r="O435" t="s">
        <v>66</v>
      </c>
      <c r="P435" t="s">
        <v>66</v>
      </c>
      <c r="Q435" t="s">
        <v>32</v>
      </c>
      <c r="R435" t="s">
        <v>2330</v>
      </c>
      <c r="S435" t="s">
        <v>32</v>
      </c>
      <c r="T435" s="2">
        <v>117.319953</v>
      </c>
      <c r="U435" s="2">
        <v>39.17069</v>
      </c>
    </row>
    <row r="436" spans="1:21">
      <c r="A436" t="s">
        <v>2331</v>
      </c>
      <c r="B436" t="s">
        <v>30</v>
      </c>
      <c r="C436" t="s">
        <v>2332</v>
      </c>
      <c r="D436" t="s">
        <v>2333</v>
      </c>
      <c r="E436" t="s">
        <v>2334</v>
      </c>
      <c r="F436" t="s">
        <v>7</v>
      </c>
      <c r="G436" t="s">
        <v>7</v>
      </c>
      <c r="H436" t="s">
        <v>43</v>
      </c>
      <c r="I436" t="s">
        <v>35</v>
      </c>
      <c r="J436" t="s">
        <v>2333</v>
      </c>
      <c r="K436" t="s">
        <v>32</v>
      </c>
      <c r="L436" t="s">
        <v>32</v>
      </c>
      <c r="M436" t="s">
        <v>36</v>
      </c>
      <c r="N436" t="s">
        <v>37</v>
      </c>
      <c r="O436" t="s">
        <v>66</v>
      </c>
      <c r="P436" t="s">
        <v>66</v>
      </c>
      <c r="Q436" t="s">
        <v>32</v>
      </c>
      <c r="R436" t="s">
        <v>2335</v>
      </c>
      <c r="S436" t="s">
        <v>32</v>
      </c>
      <c r="T436" s="2">
        <v>117.176569</v>
      </c>
      <c r="U436" s="2">
        <v>39.049145</v>
      </c>
    </row>
    <row r="437" spans="1:21">
      <c r="A437" t="s">
        <v>2336</v>
      </c>
      <c r="B437" t="s">
        <v>30</v>
      </c>
      <c r="C437" t="s">
        <v>2337</v>
      </c>
      <c r="D437" t="s">
        <v>2338</v>
      </c>
      <c r="E437" t="s">
        <v>2339</v>
      </c>
      <c r="F437" t="s">
        <v>7</v>
      </c>
      <c r="G437" t="s">
        <v>7</v>
      </c>
      <c r="H437" t="s">
        <v>50</v>
      </c>
      <c r="I437" t="s">
        <v>35</v>
      </c>
      <c r="J437" t="s">
        <v>2338</v>
      </c>
      <c r="K437" t="s">
        <v>32</v>
      </c>
      <c r="L437" t="s">
        <v>32</v>
      </c>
      <c r="M437" t="s">
        <v>36</v>
      </c>
      <c r="N437" t="s">
        <v>37</v>
      </c>
      <c r="O437" t="s">
        <v>66</v>
      </c>
      <c r="P437" t="s">
        <v>66</v>
      </c>
      <c r="Q437" t="s">
        <v>32</v>
      </c>
      <c r="R437" t="s">
        <v>2340</v>
      </c>
      <c r="S437" t="s">
        <v>32</v>
      </c>
      <c r="T437" s="2">
        <v>117.255851</v>
      </c>
      <c r="U437" s="2">
        <v>39.078313</v>
      </c>
    </row>
    <row r="438" spans="1:21">
      <c r="A438" t="s">
        <v>2341</v>
      </c>
      <c r="B438" t="s">
        <v>30</v>
      </c>
      <c r="C438" t="s">
        <v>2342</v>
      </c>
      <c r="D438" t="s">
        <v>2343</v>
      </c>
      <c r="E438" t="s">
        <v>2344</v>
      </c>
      <c r="F438" t="s">
        <v>7</v>
      </c>
      <c r="G438" t="s">
        <v>7</v>
      </c>
      <c r="H438" t="s">
        <v>43</v>
      </c>
      <c r="I438" t="s">
        <v>35</v>
      </c>
      <c r="J438" t="s">
        <v>2343</v>
      </c>
      <c r="K438" t="s">
        <v>32</v>
      </c>
      <c r="L438" t="s">
        <v>32</v>
      </c>
      <c r="M438" t="s">
        <v>36</v>
      </c>
      <c r="N438" t="s">
        <v>37</v>
      </c>
      <c r="O438" t="s">
        <v>66</v>
      </c>
      <c r="P438" t="s">
        <v>66</v>
      </c>
      <c r="Q438" t="s">
        <v>32</v>
      </c>
      <c r="R438" t="s">
        <v>2345</v>
      </c>
      <c r="S438" t="s">
        <v>32</v>
      </c>
      <c r="T438" s="2">
        <v>117.056866</v>
      </c>
      <c r="U438" s="2">
        <v>39.141498</v>
      </c>
    </row>
    <row r="439" spans="1:21">
      <c r="A439" t="s">
        <v>2346</v>
      </c>
      <c r="B439" t="s">
        <v>30</v>
      </c>
      <c r="C439" t="s">
        <v>2347</v>
      </c>
      <c r="D439" t="s">
        <v>2348</v>
      </c>
      <c r="E439" t="s">
        <v>2349</v>
      </c>
      <c r="F439" t="s">
        <v>7</v>
      </c>
      <c r="G439" t="s">
        <v>7</v>
      </c>
      <c r="H439" t="s">
        <v>43</v>
      </c>
      <c r="I439" t="s">
        <v>35</v>
      </c>
      <c r="J439" t="s">
        <v>2348</v>
      </c>
      <c r="K439" t="s">
        <v>32</v>
      </c>
      <c r="L439" t="s">
        <v>32</v>
      </c>
      <c r="M439" t="s">
        <v>36</v>
      </c>
      <c r="N439" t="s">
        <v>37</v>
      </c>
      <c r="O439" t="s">
        <v>66</v>
      </c>
      <c r="P439" t="s">
        <v>66</v>
      </c>
      <c r="Q439" t="s">
        <v>32</v>
      </c>
      <c r="R439" t="s">
        <v>2350</v>
      </c>
      <c r="S439" t="s">
        <v>32</v>
      </c>
      <c r="T439" s="2">
        <v>117.208513</v>
      </c>
      <c r="U439" s="2">
        <v>39.009467</v>
      </c>
    </row>
    <row r="440" spans="1:21">
      <c r="A440" t="s">
        <v>2351</v>
      </c>
      <c r="B440" t="s">
        <v>30</v>
      </c>
      <c r="C440" t="s">
        <v>2352</v>
      </c>
      <c r="D440" t="s">
        <v>2353</v>
      </c>
      <c r="E440" t="s">
        <v>2354</v>
      </c>
      <c r="F440" t="s">
        <v>7</v>
      </c>
      <c r="G440" t="s">
        <v>7</v>
      </c>
      <c r="H440" t="s">
        <v>43</v>
      </c>
      <c r="I440" t="s">
        <v>35</v>
      </c>
      <c r="J440" t="s">
        <v>2353</v>
      </c>
      <c r="K440" t="s">
        <v>32</v>
      </c>
      <c r="L440" t="s">
        <v>32</v>
      </c>
      <c r="M440" t="s">
        <v>36</v>
      </c>
      <c r="N440" t="s">
        <v>37</v>
      </c>
      <c r="O440" t="s">
        <v>66</v>
      </c>
      <c r="P440" t="s">
        <v>66</v>
      </c>
      <c r="Q440" t="s">
        <v>32</v>
      </c>
      <c r="R440" t="s">
        <v>2355</v>
      </c>
      <c r="S440" t="s">
        <v>32</v>
      </c>
      <c r="T440" s="2">
        <v>117.026271</v>
      </c>
      <c r="U440" s="2">
        <v>39.083752</v>
      </c>
    </row>
    <row r="441" spans="1:21">
      <c r="A441" t="s">
        <v>2356</v>
      </c>
      <c r="B441" t="s">
        <v>30</v>
      </c>
      <c r="C441" t="s">
        <v>2357</v>
      </c>
      <c r="D441" t="s">
        <v>2358</v>
      </c>
      <c r="E441" t="s">
        <v>2359</v>
      </c>
      <c r="F441" t="s">
        <v>7</v>
      </c>
      <c r="G441" t="s">
        <v>7</v>
      </c>
      <c r="H441" t="s">
        <v>73</v>
      </c>
      <c r="I441" t="s">
        <v>35</v>
      </c>
      <c r="J441" t="s">
        <v>2358</v>
      </c>
      <c r="K441" t="s">
        <v>32</v>
      </c>
      <c r="L441" t="s">
        <v>32</v>
      </c>
      <c r="M441" t="s">
        <v>36</v>
      </c>
      <c r="N441" t="s">
        <v>37</v>
      </c>
      <c r="O441" t="s">
        <v>66</v>
      </c>
      <c r="P441" t="s">
        <v>66</v>
      </c>
      <c r="Q441" t="s">
        <v>32</v>
      </c>
      <c r="R441" t="s">
        <v>2360</v>
      </c>
      <c r="S441" t="s">
        <v>32</v>
      </c>
      <c r="T441" s="2">
        <v>117.323301</v>
      </c>
      <c r="U441" s="2">
        <v>39.123712</v>
      </c>
    </row>
    <row r="442" spans="1:21">
      <c r="A442" t="s">
        <v>2361</v>
      </c>
      <c r="B442" t="s">
        <v>30</v>
      </c>
      <c r="C442" t="s">
        <v>2362</v>
      </c>
      <c r="D442" t="s">
        <v>2363</v>
      </c>
      <c r="E442" t="s">
        <v>2364</v>
      </c>
      <c r="F442" t="s">
        <v>7</v>
      </c>
      <c r="G442" t="s">
        <v>7</v>
      </c>
      <c r="H442" t="s">
        <v>43</v>
      </c>
      <c r="I442" t="s">
        <v>35</v>
      </c>
      <c r="J442" t="s">
        <v>2363</v>
      </c>
      <c r="K442" t="s">
        <v>32</v>
      </c>
      <c r="L442" t="s">
        <v>32</v>
      </c>
      <c r="M442" t="s">
        <v>36</v>
      </c>
      <c r="N442" t="s">
        <v>37</v>
      </c>
      <c r="O442" t="s">
        <v>66</v>
      </c>
      <c r="P442" t="s">
        <v>66</v>
      </c>
      <c r="Q442" t="s">
        <v>32</v>
      </c>
      <c r="R442" t="s">
        <v>2365</v>
      </c>
      <c r="S442" t="s">
        <v>32</v>
      </c>
      <c r="T442" s="2">
        <v>117.247645</v>
      </c>
      <c r="U442" s="2">
        <v>39.014347</v>
      </c>
    </row>
    <row r="443" spans="1:21">
      <c r="A443" t="s">
        <v>2366</v>
      </c>
      <c r="B443" t="s">
        <v>30</v>
      </c>
      <c r="C443" t="s">
        <v>2367</v>
      </c>
      <c r="D443" t="s">
        <v>2368</v>
      </c>
      <c r="E443" t="s">
        <v>2369</v>
      </c>
      <c r="F443" t="s">
        <v>7</v>
      </c>
      <c r="G443" t="s">
        <v>7</v>
      </c>
      <c r="H443" t="s">
        <v>133</v>
      </c>
      <c r="I443" t="s">
        <v>35</v>
      </c>
      <c r="J443" t="s">
        <v>2368</v>
      </c>
      <c r="K443" t="s">
        <v>32</v>
      </c>
      <c r="L443" t="s">
        <v>32</v>
      </c>
      <c r="M443" t="s">
        <v>36</v>
      </c>
      <c r="N443" t="s">
        <v>37</v>
      </c>
      <c r="O443" t="s">
        <v>66</v>
      </c>
      <c r="P443" t="s">
        <v>66</v>
      </c>
      <c r="Q443" t="s">
        <v>32</v>
      </c>
      <c r="R443" t="s">
        <v>2370</v>
      </c>
      <c r="S443" t="s">
        <v>32</v>
      </c>
      <c r="T443" s="2">
        <v>117.166082</v>
      </c>
      <c r="U443" s="2">
        <v>39.175048</v>
      </c>
    </row>
    <row r="444" spans="1:21">
      <c r="A444" t="s">
        <v>2371</v>
      </c>
      <c r="B444" t="s">
        <v>30</v>
      </c>
      <c r="C444" t="s">
        <v>2372</v>
      </c>
      <c r="D444" t="s">
        <v>2373</v>
      </c>
      <c r="E444" t="s">
        <v>2374</v>
      </c>
      <c r="F444" t="s">
        <v>7</v>
      </c>
      <c r="G444" t="s">
        <v>7</v>
      </c>
      <c r="H444" t="s">
        <v>50</v>
      </c>
      <c r="I444" t="s">
        <v>35</v>
      </c>
      <c r="J444" t="s">
        <v>2373</v>
      </c>
      <c r="K444" t="s">
        <v>32</v>
      </c>
      <c r="L444" t="s">
        <v>32</v>
      </c>
      <c r="M444" t="s">
        <v>36</v>
      </c>
      <c r="N444" t="s">
        <v>37</v>
      </c>
      <c r="O444" t="s">
        <v>66</v>
      </c>
      <c r="P444" t="s">
        <v>66</v>
      </c>
      <c r="Q444" t="s">
        <v>32</v>
      </c>
      <c r="R444" t="s">
        <v>2375</v>
      </c>
      <c r="S444" t="s">
        <v>32</v>
      </c>
      <c r="T444" s="2">
        <v>117.229681</v>
      </c>
      <c r="U444" s="2">
        <v>39.058464</v>
      </c>
    </row>
    <row r="445" spans="1:21">
      <c r="A445" t="s">
        <v>2376</v>
      </c>
      <c r="B445" t="s">
        <v>30</v>
      </c>
      <c r="C445" t="s">
        <v>2377</v>
      </c>
      <c r="D445" t="s">
        <v>2378</v>
      </c>
      <c r="E445" t="s">
        <v>2379</v>
      </c>
      <c r="F445" t="s">
        <v>7</v>
      </c>
      <c r="G445" t="s">
        <v>7</v>
      </c>
      <c r="H445" t="s">
        <v>34</v>
      </c>
      <c r="I445" t="s">
        <v>35</v>
      </c>
      <c r="J445" t="s">
        <v>2378</v>
      </c>
      <c r="K445" t="s">
        <v>32</v>
      </c>
      <c r="L445" t="s">
        <v>32</v>
      </c>
      <c r="M445" t="s">
        <v>36</v>
      </c>
      <c r="N445" t="s">
        <v>37</v>
      </c>
      <c r="O445" t="s">
        <v>66</v>
      </c>
      <c r="P445" t="s">
        <v>66</v>
      </c>
      <c r="Q445" t="s">
        <v>32</v>
      </c>
      <c r="R445" t="s">
        <v>2380</v>
      </c>
      <c r="S445" t="s">
        <v>32</v>
      </c>
      <c r="T445" s="2">
        <v>117.138961</v>
      </c>
      <c r="U445" s="2">
        <v>39.123944</v>
      </c>
    </row>
    <row r="446" spans="1:21">
      <c r="A446" t="s">
        <v>2381</v>
      </c>
      <c r="B446" t="s">
        <v>30</v>
      </c>
      <c r="C446" t="s">
        <v>2382</v>
      </c>
      <c r="D446" t="s">
        <v>2383</v>
      </c>
      <c r="E446" t="s">
        <v>2384</v>
      </c>
      <c r="F446" t="s">
        <v>7</v>
      </c>
      <c r="G446" t="s">
        <v>7</v>
      </c>
      <c r="H446" t="s">
        <v>73</v>
      </c>
      <c r="I446" t="s">
        <v>35</v>
      </c>
      <c r="J446" t="s">
        <v>2383</v>
      </c>
      <c r="K446" t="s">
        <v>32</v>
      </c>
      <c r="L446" t="s">
        <v>32</v>
      </c>
      <c r="M446" t="s">
        <v>36</v>
      </c>
      <c r="N446" t="s">
        <v>37</v>
      </c>
      <c r="O446" t="s">
        <v>66</v>
      </c>
      <c r="P446" t="s">
        <v>66</v>
      </c>
      <c r="Q446" t="s">
        <v>32</v>
      </c>
      <c r="R446" t="s">
        <v>2385</v>
      </c>
      <c r="S446" t="s">
        <v>32</v>
      </c>
      <c r="T446" s="2">
        <v>117.28849</v>
      </c>
      <c r="U446" s="2">
        <v>39.127048</v>
      </c>
    </row>
    <row r="447" spans="1:21">
      <c r="A447" t="s">
        <v>2386</v>
      </c>
      <c r="B447" t="s">
        <v>30</v>
      </c>
      <c r="C447" t="s">
        <v>2387</v>
      </c>
      <c r="D447" t="s">
        <v>2388</v>
      </c>
      <c r="E447" t="s">
        <v>2389</v>
      </c>
      <c r="F447" t="s">
        <v>7</v>
      </c>
      <c r="G447" t="s">
        <v>7</v>
      </c>
      <c r="H447" t="s">
        <v>50</v>
      </c>
      <c r="I447" t="s">
        <v>35</v>
      </c>
      <c r="J447" t="s">
        <v>2388</v>
      </c>
      <c r="K447" t="s">
        <v>32</v>
      </c>
      <c r="L447" t="s">
        <v>32</v>
      </c>
      <c r="M447" t="s">
        <v>36</v>
      </c>
      <c r="N447" t="s">
        <v>37</v>
      </c>
      <c r="O447" t="s">
        <v>66</v>
      </c>
      <c r="P447" t="s">
        <v>66</v>
      </c>
      <c r="Q447" t="s">
        <v>32</v>
      </c>
      <c r="R447" t="s">
        <v>2390</v>
      </c>
      <c r="S447" t="s">
        <v>32</v>
      </c>
      <c r="T447" s="2">
        <v>117.190571</v>
      </c>
      <c r="U447" s="2">
        <v>39.077752</v>
      </c>
    </row>
    <row r="448" spans="1:21">
      <c r="A448" t="s">
        <v>2391</v>
      </c>
      <c r="B448" t="s">
        <v>30</v>
      </c>
      <c r="C448" t="s">
        <v>2392</v>
      </c>
      <c r="D448" t="s">
        <v>2393</v>
      </c>
      <c r="E448" t="s">
        <v>2394</v>
      </c>
      <c r="F448" t="s">
        <v>7</v>
      </c>
      <c r="G448" t="s">
        <v>7</v>
      </c>
      <c r="H448" t="s">
        <v>43</v>
      </c>
      <c r="I448" t="s">
        <v>35</v>
      </c>
      <c r="J448" t="s">
        <v>2393</v>
      </c>
      <c r="K448" t="s">
        <v>32</v>
      </c>
      <c r="L448" t="s">
        <v>32</v>
      </c>
      <c r="M448" t="s">
        <v>36</v>
      </c>
      <c r="N448" t="s">
        <v>37</v>
      </c>
      <c r="O448" t="s">
        <v>66</v>
      </c>
      <c r="P448" t="s">
        <v>66</v>
      </c>
      <c r="Q448" t="s">
        <v>32</v>
      </c>
      <c r="R448" t="s">
        <v>2395</v>
      </c>
      <c r="S448" t="s">
        <v>32</v>
      </c>
      <c r="T448" s="2">
        <v>117.069153</v>
      </c>
      <c r="U448" s="2">
        <v>39.119539</v>
      </c>
    </row>
    <row r="449" spans="1:21">
      <c r="A449" t="s">
        <v>2396</v>
      </c>
      <c r="B449" t="s">
        <v>30</v>
      </c>
      <c r="C449" t="s">
        <v>2397</v>
      </c>
      <c r="D449" t="s">
        <v>2398</v>
      </c>
      <c r="E449" t="s">
        <v>2399</v>
      </c>
      <c r="F449" t="s">
        <v>7</v>
      </c>
      <c r="G449" t="s">
        <v>7</v>
      </c>
      <c r="H449" t="s">
        <v>43</v>
      </c>
      <c r="I449" t="s">
        <v>35</v>
      </c>
      <c r="J449" t="s">
        <v>2398</v>
      </c>
      <c r="K449" t="s">
        <v>32</v>
      </c>
      <c r="L449" t="s">
        <v>32</v>
      </c>
      <c r="M449" t="s">
        <v>36</v>
      </c>
      <c r="N449" t="s">
        <v>37</v>
      </c>
      <c r="O449" t="s">
        <v>66</v>
      </c>
      <c r="P449" t="s">
        <v>66</v>
      </c>
      <c r="Q449" t="s">
        <v>32</v>
      </c>
      <c r="R449" t="s">
        <v>2400</v>
      </c>
      <c r="S449" t="s">
        <v>32</v>
      </c>
      <c r="T449" s="2">
        <v>117.041654</v>
      </c>
      <c r="U449" s="2">
        <v>39.118827</v>
      </c>
    </row>
    <row r="450" spans="1:21">
      <c r="A450" t="s">
        <v>2401</v>
      </c>
      <c r="B450" t="s">
        <v>30</v>
      </c>
      <c r="C450" t="s">
        <v>2402</v>
      </c>
      <c r="D450" t="s">
        <v>2403</v>
      </c>
      <c r="E450" t="s">
        <v>2404</v>
      </c>
      <c r="F450" t="s">
        <v>7</v>
      </c>
      <c r="G450" t="s">
        <v>7</v>
      </c>
      <c r="H450" t="s">
        <v>73</v>
      </c>
      <c r="I450" t="s">
        <v>35</v>
      </c>
      <c r="J450" t="s">
        <v>2403</v>
      </c>
      <c r="K450" t="s">
        <v>32</v>
      </c>
      <c r="L450" t="s">
        <v>32</v>
      </c>
      <c r="M450" t="s">
        <v>36</v>
      </c>
      <c r="N450" t="s">
        <v>37</v>
      </c>
      <c r="O450" t="s">
        <v>66</v>
      </c>
      <c r="P450" t="s">
        <v>66</v>
      </c>
      <c r="Q450" t="s">
        <v>32</v>
      </c>
      <c r="R450" t="s">
        <v>2405</v>
      </c>
      <c r="S450" t="s">
        <v>32</v>
      </c>
      <c r="T450" s="2">
        <v>117.306129</v>
      </c>
      <c r="U450" s="2">
        <v>39.138559</v>
      </c>
    </row>
    <row r="451" spans="1:21">
      <c r="A451" t="s">
        <v>2406</v>
      </c>
      <c r="B451" t="s">
        <v>30</v>
      </c>
      <c r="C451" t="s">
        <v>2407</v>
      </c>
      <c r="D451" t="s">
        <v>2408</v>
      </c>
      <c r="E451" t="s">
        <v>2409</v>
      </c>
      <c r="F451" t="s">
        <v>7</v>
      </c>
      <c r="G451" t="s">
        <v>7</v>
      </c>
      <c r="H451" t="s">
        <v>43</v>
      </c>
      <c r="I451" t="s">
        <v>35</v>
      </c>
      <c r="J451" t="s">
        <v>2408</v>
      </c>
      <c r="K451" t="s">
        <v>32</v>
      </c>
      <c r="L451" t="s">
        <v>32</v>
      </c>
      <c r="M451" t="s">
        <v>36</v>
      </c>
      <c r="N451" t="s">
        <v>37</v>
      </c>
      <c r="O451" t="s">
        <v>66</v>
      </c>
      <c r="P451" t="s">
        <v>66</v>
      </c>
      <c r="Q451" t="s">
        <v>32</v>
      </c>
      <c r="R451" t="s">
        <v>2410</v>
      </c>
      <c r="S451" t="s">
        <v>32</v>
      </c>
      <c r="T451" s="2">
        <v>117.111243</v>
      </c>
      <c r="U451" s="2">
        <v>39.128242</v>
      </c>
    </row>
    <row r="452" spans="1:21">
      <c r="A452" t="s">
        <v>2411</v>
      </c>
      <c r="B452" t="s">
        <v>30</v>
      </c>
      <c r="C452" t="s">
        <v>2412</v>
      </c>
      <c r="D452" t="s">
        <v>2413</v>
      </c>
      <c r="E452" t="s">
        <v>2414</v>
      </c>
      <c r="F452" t="s">
        <v>7</v>
      </c>
      <c r="G452" t="s">
        <v>7</v>
      </c>
      <c r="H452" t="s">
        <v>43</v>
      </c>
      <c r="I452" t="s">
        <v>35</v>
      </c>
      <c r="J452" t="s">
        <v>2413</v>
      </c>
      <c r="K452" t="s">
        <v>32</v>
      </c>
      <c r="L452" t="s">
        <v>32</v>
      </c>
      <c r="M452" t="s">
        <v>36</v>
      </c>
      <c r="N452" t="s">
        <v>37</v>
      </c>
      <c r="O452" t="s">
        <v>66</v>
      </c>
      <c r="P452" t="s">
        <v>66</v>
      </c>
      <c r="Q452" t="s">
        <v>32</v>
      </c>
      <c r="R452" t="s">
        <v>2415</v>
      </c>
      <c r="S452" t="s">
        <v>32</v>
      </c>
      <c r="T452" s="2">
        <v>117.207886</v>
      </c>
      <c r="U452" s="2">
        <v>39.033652</v>
      </c>
    </row>
    <row r="453" spans="1:21">
      <c r="A453" t="s">
        <v>2416</v>
      </c>
      <c r="B453" t="s">
        <v>30</v>
      </c>
      <c r="C453" t="s">
        <v>2417</v>
      </c>
      <c r="D453" t="s">
        <v>2418</v>
      </c>
      <c r="E453" t="s">
        <v>2419</v>
      </c>
      <c r="F453" t="s">
        <v>7</v>
      </c>
      <c r="G453" t="s">
        <v>7</v>
      </c>
      <c r="H453" t="s">
        <v>133</v>
      </c>
      <c r="I453" t="s">
        <v>35</v>
      </c>
      <c r="J453" t="s">
        <v>2418</v>
      </c>
      <c r="K453" t="s">
        <v>32</v>
      </c>
      <c r="L453" t="s">
        <v>32</v>
      </c>
      <c r="M453" t="s">
        <v>36</v>
      </c>
      <c r="N453" t="s">
        <v>37</v>
      </c>
      <c r="O453" t="s">
        <v>66</v>
      </c>
      <c r="P453" t="s">
        <v>66</v>
      </c>
      <c r="Q453" t="s">
        <v>32</v>
      </c>
      <c r="R453" t="s">
        <v>2325</v>
      </c>
      <c r="S453" t="s">
        <v>32</v>
      </c>
      <c r="T453" s="2">
        <v>117.160058</v>
      </c>
      <c r="U453" s="2">
        <v>39.169532</v>
      </c>
    </row>
    <row r="454" spans="1:21">
      <c r="A454" t="s">
        <v>2420</v>
      </c>
      <c r="B454" t="s">
        <v>30</v>
      </c>
      <c r="C454" t="s">
        <v>2421</v>
      </c>
      <c r="D454" t="s">
        <v>2422</v>
      </c>
      <c r="E454" t="s">
        <v>2423</v>
      </c>
      <c r="F454" t="s">
        <v>7</v>
      </c>
      <c r="G454" t="s">
        <v>7</v>
      </c>
      <c r="H454" t="s">
        <v>73</v>
      </c>
      <c r="I454" t="s">
        <v>35</v>
      </c>
      <c r="J454" t="s">
        <v>2422</v>
      </c>
      <c r="K454" t="s">
        <v>32</v>
      </c>
      <c r="L454" t="s">
        <v>32</v>
      </c>
      <c r="M454" t="s">
        <v>36</v>
      </c>
      <c r="N454" t="s">
        <v>37</v>
      </c>
      <c r="O454" t="s">
        <v>66</v>
      </c>
      <c r="P454" t="s">
        <v>66</v>
      </c>
      <c r="Q454" t="s">
        <v>32</v>
      </c>
      <c r="R454" t="s">
        <v>2424</v>
      </c>
      <c r="S454" t="s">
        <v>32</v>
      </c>
      <c r="T454" s="2">
        <v>117.29406</v>
      </c>
      <c r="U454" s="2">
        <v>39.114517</v>
      </c>
    </row>
    <row r="455" spans="1:21">
      <c r="A455" t="s">
        <v>2425</v>
      </c>
      <c r="B455" t="s">
        <v>30</v>
      </c>
      <c r="C455" t="s">
        <v>2426</v>
      </c>
      <c r="D455" t="s">
        <v>2427</v>
      </c>
      <c r="E455" t="s">
        <v>2428</v>
      </c>
      <c r="F455" t="s">
        <v>7</v>
      </c>
      <c r="G455" t="s">
        <v>7</v>
      </c>
      <c r="H455" t="s">
        <v>50</v>
      </c>
      <c r="I455" t="s">
        <v>35</v>
      </c>
      <c r="J455" t="s">
        <v>2427</v>
      </c>
      <c r="K455" t="s">
        <v>32</v>
      </c>
      <c r="L455" t="s">
        <v>32</v>
      </c>
      <c r="M455" t="s">
        <v>36</v>
      </c>
      <c r="N455" t="s">
        <v>37</v>
      </c>
      <c r="O455" t="s">
        <v>66</v>
      </c>
      <c r="P455" t="s">
        <v>66</v>
      </c>
      <c r="Q455" t="s">
        <v>32</v>
      </c>
      <c r="R455" t="s">
        <v>2429</v>
      </c>
      <c r="S455" t="s">
        <v>32</v>
      </c>
      <c r="T455" s="2">
        <v>117.226366</v>
      </c>
      <c r="U455" s="2">
        <v>39.060495</v>
      </c>
    </row>
    <row r="456" spans="1:21">
      <c r="A456" t="s">
        <v>2430</v>
      </c>
      <c r="B456" t="s">
        <v>30</v>
      </c>
      <c r="C456" t="s">
        <v>2431</v>
      </c>
      <c r="D456" t="s">
        <v>2432</v>
      </c>
      <c r="E456" t="s">
        <v>2433</v>
      </c>
      <c r="F456" t="s">
        <v>7</v>
      </c>
      <c r="G456" t="s">
        <v>7</v>
      </c>
      <c r="H456" t="s">
        <v>43</v>
      </c>
      <c r="I456" t="s">
        <v>35</v>
      </c>
      <c r="J456" t="s">
        <v>2432</v>
      </c>
      <c r="K456" t="s">
        <v>32</v>
      </c>
      <c r="L456" t="s">
        <v>32</v>
      </c>
      <c r="M456" t="s">
        <v>36</v>
      </c>
      <c r="N456" t="s">
        <v>37</v>
      </c>
      <c r="O456" t="s">
        <v>66</v>
      </c>
      <c r="P456" t="s">
        <v>66</v>
      </c>
      <c r="Q456" t="s">
        <v>32</v>
      </c>
      <c r="R456" t="s">
        <v>2434</v>
      </c>
      <c r="S456" t="s">
        <v>32</v>
      </c>
      <c r="T456" s="2">
        <v>116.972406</v>
      </c>
      <c r="U456" s="2">
        <v>39.083552</v>
      </c>
    </row>
    <row r="457" spans="1:21">
      <c r="A457" t="s">
        <v>2435</v>
      </c>
      <c r="B457" t="s">
        <v>30</v>
      </c>
      <c r="C457" t="s">
        <v>2436</v>
      </c>
      <c r="D457" t="s">
        <v>2437</v>
      </c>
      <c r="E457" t="s">
        <v>2438</v>
      </c>
      <c r="F457" t="s">
        <v>7</v>
      </c>
      <c r="G457" t="s">
        <v>7</v>
      </c>
      <c r="H457" t="s">
        <v>63</v>
      </c>
      <c r="I457" t="s">
        <v>35</v>
      </c>
      <c r="J457" t="s">
        <v>2437</v>
      </c>
      <c r="K457" t="s">
        <v>32</v>
      </c>
      <c r="L457" t="s">
        <v>32</v>
      </c>
      <c r="M457" t="s">
        <v>36</v>
      </c>
      <c r="N457" t="s">
        <v>37</v>
      </c>
      <c r="O457" t="s">
        <v>66</v>
      </c>
      <c r="P457" t="s">
        <v>66</v>
      </c>
      <c r="Q457" t="s">
        <v>32</v>
      </c>
      <c r="R457" t="s">
        <v>2439</v>
      </c>
      <c r="S457" t="s">
        <v>32</v>
      </c>
      <c r="T457" s="2">
        <v>117.274131</v>
      </c>
      <c r="U457" s="2">
        <v>39.033845</v>
      </c>
    </row>
    <row r="458" spans="1:21">
      <c r="A458" t="s">
        <v>2440</v>
      </c>
      <c r="B458" t="s">
        <v>30</v>
      </c>
      <c r="C458" t="s">
        <v>2441</v>
      </c>
      <c r="D458" t="s">
        <v>2442</v>
      </c>
      <c r="E458" t="s">
        <v>2443</v>
      </c>
      <c r="F458" t="s">
        <v>7</v>
      </c>
      <c r="G458" t="s">
        <v>7</v>
      </c>
      <c r="H458" t="s">
        <v>34</v>
      </c>
      <c r="I458" t="s">
        <v>35</v>
      </c>
      <c r="J458" t="s">
        <v>2442</v>
      </c>
      <c r="K458" t="s">
        <v>32</v>
      </c>
      <c r="L458" t="s">
        <v>32</v>
      </c>
      <c r="M458" t="s">
        <v>36</v>
      </c>
      <c r="N458" t="s">
        <v>37</v>
      </c>
      <c r="O458" t="s">
        <v>66</v>
      </c>
      <c r="P458" t="s">
        <v>66</v>
      </c>
      <c r="Q458" t="s">
        <v>32</v>
      </c>
      <c r="R458" t="s">
        <v>2444</v>
      </c>
      <c r="S458" t="s">
        <v>32</v>
      </c>
      <c r="T458" s="2">
        <v>117.143029</v>
      </c>
      <c r="U458" s="2">
        <v>39.130832</v>
      </c>
    </row>
    <row r="459" spans="1:21">
      <c r="A459" t="s">
        <v>2445</v>
      </c>
      <c r="B459" t="s">
        <v>30</v>
      </c>
      <c r="C459" t="s">
        <v>2446</v>
      </c>
      <c r="D459" t="s">
        <v>2447</v>
      </c>
      <c r="E459" t="s">
        <v>2448</v>
      </c>
      <c r="F459" t="s">
        <v>7</v>
      </c>
      <c r="G459" t="s">
        <v>7</v>
      </c>
      <c r="H459" t="s">
        <v>105</v>
      </c>
      <c r="I459" t="s">
        <v>35</v>
      </c>
      <c r="J459" t="s">
        <v>2447</v>
      </c>
      <c r="K459" t="s">
        <v>32</v>
      </c>
      <c r="L459" t="s">
        <v>32</v>
      </c>
      <c r="M459" t="s">
        <v>86</v>
      </c>
      <c r="N459" t="s">
        <v>2449</v>
      </c>
      <c r="O459" t="s">
        <v>2450</v>
      </c>
      <c r="P459" t="s">
        <v>2451</v>
      </c>
      <c r="Q459" t="s">
        <v>32</v>
      </c>
      <c r="R459" t="s">
        <v>2452</v>
      </c>
      <c r="S459" t="s">
        <v>32</v>
      </c>
      <c r="T459" s="2">
        <v>117.259376</v>
      </c>
      <c r="U459" s="2">
        <v>39.142338</v>
      </c>
    </row>
    <row r="460" spans="1:21">
      <c r="A460" t="s">
        <v>2453</v>
      </c>
      <c r="B460" t="s">
        <v>30</v>
      </c>
      <c r="C460" t="s">
        <v>2454</v>
      </c>
      <c r="D460" t="s">
        <v>2455</v>
      </c>
      <c r="E460" t="s">
        <v>2456</v>
      </c>
      <c r="F460" t="s">
        <v>7</v>
      </c>
      <c r="G460" t="s">
        <v>7</v>
      </c>
      <c r="H460" t="s">
        <v>50</v>
      </c>
      <c r="I460" t="s">
        <v>35</v>
      </c>
      <c r="J460" t="s">
        <v>2455</v>
      </c>
      <c r="K460" t="s">
        <v>32</v>
      </c>
      <c r="L460" t="s">
        <v>32</v>
      </c>
      <c r="M460" t="s">
        <v>36</v>
      </c>
      <c r="N460" t="s">
        <v>37</v>
      </c>
      <c r="O460" t="s">
        <v>66</v>
      </c>
      <c r="P460" t="s">
        <v>66</v>
      </c>
      <c r="Q460" t="s">
        <v>32</v>
      </c>
      <c r="R460" t="s">
        <v>2457</v>
      </c>
      <c r="S460" t="s">
        <v>32</v>
      </c>
      <c r="T460" s="2">
        <v>117.2288</v>
      </c>
      <c r="U460" s="2">
        <v>39.059662</v>
      </c>
    </row>
    <row r="461" spans="1:21">
      <c r="A461" t="s">
        <v>2458</v>
      </c>
      <c r="B461" t="s">
        <v>30</v>
      </c>
      <c r="C461" t="s">
        <v>2459</v>
      </c>
      <c r="D461" t="s">
        <v>2460</v>
      </c>
      <c r="E461" t="s">
        <v>2461</v>
      </c>
      <c r="F461" t="s">
        <v>7</v>
      </c>
      <c r="G461" t="s">
        <v>7</v>
      </c>
      <c r="H461" t="s">
        <v>73</v>
      </c>
      <c r="I461" t="s">
        <v>35</v>
      </c>
      <c r="J461" t="s">
        <v>2460</v>
      </c>
      <c r="K461" t="s">
        <v>32</v>
      </c>
      <c r="L461" t="s">
        <v>32</v>
      </c>
      <c r="M461" t="s">
        <v>36</v>
      </c>
      <c r="N461" t="s">
        <v>37</v>
      </c>
      <c r="O461" t="s">
        <v>66</v>
      </c>
      <c r="P461" t="s">
        <v>66</v>
      </c>
      <c r="Q461" t="s">
        <v>32</v>
      </c>
      <c r="R461" t="s">
        <v>2462</v>
      </c>
      <c r="S461" t="s">
        <v>32</v>
      </c>
      <c r="T461" s="2">
        <v>117.273395</v>
      </c>
      <c r="U461" s="2">
        <v>39.124848</v>
      </c>
    </row>
    <row r="462" spans="1:21">
      <c r="A462" t="s">
        <v>2463</v>
      </c>
      <c r="B462" t="s">
        <v>30</v>
      </c>
      <c r="C462" t="s">
        <v>2464</v>
      </c>
      <c r="D462" t="s">
        <v>2465</v>
      </c>
      <c r="E462" t="s">
        <v>2466</v>
      </c>
      <c r="F462" t="s">
        <v>7</v>
      </c>
      <c r="G462" t="s">
        <v>7</v>
      </c>
      <c r="H462" t="s">
        <v>50</v>
      </c>
      <c r="I462" t="s">
        <v>35</v>
      </c>
      <c r="J462" t="s">
        <v>2465</v>
      </c>
      <c r="K462" t="s">
        <v>32</v>
      </c>
      <c r="L462" t="s">
        <v>32</v>
      </c>
      <c r="M462" t="s">
        <v>86</v>
      </c>
      <c r="N462" t="s">
        <v>2449</v>
      </c>
      <c r="O462" t="s">
        <v>2450</v>
      </c>
      <c r="P462" t="s">
        <v>2451</v>
      </c>
      <c r="Q462" t="s">
        <v>32</v>
      </c>
      <c r="R462" t="s">
        <v>2467</v>
      </c>
      <c r="S462" t="s">
        <v>32</v>
      </c>
      <c r="T462" s="2">
        <v>117.245012</v>
      </c>
      <c r="U462" s="2">
        <v>39.07411</v>
      </c>
    </row>
    <row r="463" spans="1:21">
      <c r="A463" t="s">
        <v>2468</v>
      </c>
      <c r="B463" t="s">
        <v>30</v>
      </c>
      <c r="C463" t="s">
        <v>2469</v>
      </c>
      <c r="D463" t="s">
        <v>2470</v>
      </c>
      <c r="E463" t="s">
        <v>2471</v>
      </c>
      <c r="F463" t="s">
        <v>7</v>
      </c>
      <c r="G463" t="s">
        <v>7</v>
      </c>
      <c r="H463" t="s">
        <v>56</v>
      </c>
      <c r="I463" t="s">
        <v>35</v>
      </c>
      <c r="J463" t="s">
        <v>2470</v>
      </c>
      <c r="K463" t="s">
        <v>32</v>
      </c>
      <c r="L463" t="s">
        <v>32</v>
      </c>
      <c r="M463" t="s">
        <v>36</v>
      </c>
      <c r="N463" t="s">
        <v>37</v>
      </c>
      <c r="O463" t="s">
        <v>66</v>
      </c>
      <c r="P463" t="s">
        <v>66</v>
      </c>
      <c r="Q463" t="s">
        <v>32</v>
      </c>
      <c r="R463" t="s">
        <v>2472</v>
      </c>
      <c r="S463" t="s">
        <v>32</v>
      </c>
      <c r="T463" s="2">
        <v>117.176374</v>
      </c>
      <c r="U463" s="2">
        <v>39.194597</v>
      </c>
    </row>
    <row r="464" spans="1:21">
      <c r="A464" t="s">
        <v>2473</v>
      </c>
      <c r="B464" t="s">
        <v>30</v>
      </c>
      <c r="C464" t="s">
        <v>2474</v>
      </c>
      <c r="D464" t="s">
        <v>2475</v>
      </c>
      <c r="E464" t="s">
        <v>2476</v>
      </c>
      <c r="F464" t="s">
        <v>7</v>
      </c>
      <c r="G464" t="s">
        <v>7</v>
      </c>
      <c r="H464" t="s">
        <v>56</v>
      </c>
      <c r="I464" t="s">
        <v>35</v>
      </c>
      <c r="J464" t="s">
        <v>2475</v>
      </c>
      <c r="K464" t="s">
        <v>32</v>
      </c>
      <c r="L464" t="s">
        <v>32</v>
      </c>
      <c r="M464" t="s">
        <v>36</v>
      </c>
      <c r="N464" t="s">
        <v>37</v>
      </c>
      <c r="O464" t="s">
        <v>66</v>
      </c>
      <c r="P464" t="s">
        <v>66</v>
      </c>
      <c r="Q464" t="s">
        <v>32</v>
      </c>
      <c r="R464" t="s">
        <v>2477</v>
      </c>
      <c r="S464" t="s">
        <v>32</v>
      </c>
      <c r="T464" s="2">
        <v>117.189826</v>
      </c>
      <c r="U464" s="2">
        <v>39.201476</v>
      </c>
    </row>
    <row r="465" spans="1:21">
      <c r="A465" t="s">
        <v>2478</v>
      </c>
      <c r="B465" t="s">
        <v>30</v>
      </c>
      <c r="C465" t="s">
        <v>2479</v>
      </c>
      <c r="D465" t="s">
        <v>2480</v>
      </c>
      <c r="E465" t="s">
        <v>2481</v>
      </c>
      <c r="F465" t="s">
        <v>7</v>
      </c>
      <c r="G465" t="s">
        <v>7</v>
      </c>
      <c r="H465" t="s">
        <v>73</v>
      </c>
      <c r="I465" t="s">
        <v>35</v>
      </c>
      <c r="J465" t="s">
        <v>2480</v>
      </c>
      <c r="K465" t="s">
        <v>32</v>
      </c>
      <c r="L465" t="s">
        <v>32</v>
      </c>
      <c r="M465" t="s">
        <v>36</v>
      </c>
      <c r="N465" t="s">
        <v>37</v>
      </c>
      <c r="O465" t="s">
        <v>66</v>
      </c>
      <c r="P465" t="s">
        <v>66</v>
      </c>
      <c r="Q465" t="s">
        <v>32</v>
      </c>
      <c r="R465" t="s">
        <v>2482</v>
      </c>
      <c r="S465" t="s">
        <v>32</v>
      </c>
      <c r="T465" s="2">
        <v>117.263241</v>
      </c>
      <c r="U465" s="2">
        <v>39.207058</v>
      </c>
    </row>
    <row r="466" spans="1:21">
      <c r="A466" t="s">
        <v>2483</v>
      </c>
      <c r="B466" t="s">
        <v>30</v>
      </c>
      <c r="C466" t="s">
        <v>2484</v>
      </c>
      <c r="D466" t="s">
        <v>2485</v>
      </c>
      <c r="E466" t="s">
        <v>2486</v>
      </c>
      <c r="F466" t="s">
        <v>7</v>
      </c>
      <c r="G466" t="s">
        <v>7</v>
      </c>
      <c r="H466" t="s">
        <v>56</v>
      </c>
      <c r="I466" t="s">
        <v>35</v>
      </c>
      <c r="J466" t="s">
        <v>2485</v>
      </c>
      <c r="K466" t="s">
        <v>32</v>
      </c>
      <c r="L466" t="s">
        <v>32</v>
      </c>
      <c r="M466" t="s">
        <v>36</v>
      </c>
      <c r="N466" t="s">
        <v>37</v>
      </c>
      <c r="O466" t="s">
        <v>66</v>
      </c>
      <c r="P466" t="s">
        <v>66</v>
      </c>
      <c r="Q466" t="s">
        <v>32</v>
      </c>
      <c r="R466" t="s">
        <v>2487</v>
      </c>
      <c r="S466" t="s">
        <v>32</v>
      </c>
      <c r="T466" s="2">
        <v>117.187657</v>
      </c>
      <c r="U466" s="2">
        <v>39.202945</v>
      </c>
    </row>
    <row r="467" spans="1:21">
      <c r="A467" t="s">
        <v>2488</v>
      </c>
      <c r="B467" t="s">
        <v>30</v>
      </c>
      <c r="C467" t="s">
        <v>2489</v>
      </c>
      <c r="D467" t="s">
        <v>2490</v>
      </c>
      <c r="E467" t="s">
        <v>2491</v>
      </c>
      <c r="F467" t="s">
        <v>7</v>
      </c>
      <c r="G467" t="s">
        <v>7</v>
      </c>
      <c r="H467" t="s">
        <v>50</v>
      </c>
      <c r="I467" t="s">
        <v>35</v>
      </c>
      <c r="J467" t="s">
        <v>2490</v>
      </c>
      <c r="K467" t="s">
        <v>32</v>
      </c>
      <c r="L467" t="s">
        <v>32</v>
      </c>
      <c r="M467" t="s">
        <v>36</v>
      </c>
      <c r="N467" t="s">
        <v>37</v>
      </c>
      <c r="O467" t="s">
        <v>66</v>
      </c>
      <c r="P467" t="s">
        <v>66</v>
      </c>
      <c r="Q467" t="s">
        <v>32</v>
      </c>
      <c r="R467" t="s">
        <v>2492</v>
      </c>
      <c r="S467" t="s">
        <v>32</v>
      </c>
      <c r="T467" s="2">
        <v>117.218033</v>
      </c>
      <c r="U467" s="2">
        <v>39.078759</v>
      </c>
    </row>
    <row r="468" spans="1:21">
      <c r="A468" t="s">
        <v>2493</v>
      </c>
      <c r="B468" t="s">
        <v>40</v>
      </c>
      <c r="C468" t="s">
        <v>2494</v>
      </c>
      <c r="D468" t="s">
        <v>2495</v>
      </c>
      <c r="E468" t="s">
        <v>2496</v>
      </c>
      <c r="F468" t="s">
        <v>7</v>
      </c>
      <c r="G468" t="s">
        <v>7</v>
      </c>
      <c r="H468" t="s">
        <v>43</v>
      </c>
      <c r="I468" t="s">
        <v>44</v>
      </c>
      <c r="J468" t="s">
        <v>2495</v>
      </c>
      <c r="K468" t="s">
        <v>32</v>
      </c>
      <c r="L468" t="s">
        <v>32</v>
      </c>
      <c r="M468" t="s">
        <v>36</v>
      </c>
      <c r="N468" t="s">
        <v>37</v>
      </c>
      <c r="O468" t="s">
        <v>66</v>
      </c>
      <c r="P468" t="s">
        <v>66</v>
      </c>
      <c r="Q468" t="s">
        <v>57</v>
      </c>
      <c r="R468" t="s">
        <v>2497</v>
      </c>
      <c r="S468" t="s">
        <v>32</v>
      </c>
      <c r="T468" s="2">
        <v>117.02293</v>
      </c>
      <c r="U468" s="2">
        <v>39.141748</v>
      </c>
    </row>
    <row r="469" spans="1:21">
      <c r="A469" t="s">
        <v>2498</v>
      </c>
      <c r="B469" t="s">
        <v>30</v>
      </c>
      <c r="C469" t="s">
        <v>2499</v>
      </c>
      <c r="D469" t="s">
        <v>2500</v>
      </c>
      <c r="E469" t="s">
        <v>2501</v>
      </c>
      <c r="F469" t="s">
        <v>7</v>
      </c>
      <c r="G469" t="s">
        <v>7</v>
      </c>
      <c r="H469" t="s">
        <v>73</v>
      </c>
      <c r="I469" t="s">
        <v>35</v>
      </c>
      <c r="J469" t="s">
        <v>2500</v>
      </c>
      <c r="K469" t="s">
        <v>32</v>
      </c>
      <c r="L469" t="s">
        <v>32</v>
      </c>
      <c r="M469" t="s">
        <v>36</v>
      </c>
      <c r="N469" t="s">
        <v>37</v>
      </c>
      <c r="O469" t="s">
        <v>66</v>
      </c>
      <c r="P469" t="s">
        <v>66</v>
      </c>
      <c r="Q469" t="s">
        <v>32</v>
      </c>
      <c r="R469" t="s">
        <v>2502</v>
      </c>
      <c r="S469" t="s">
        <v>32</v>
      </c>
      <c r="T469" s="2">
        <v>117.301779</v>
      </c>
      <c r="U469" s="2">
        <v>39.138575</v>
      </c>
    </row>
    <row r="470" spans="1:21">
      <c r="A470" t="s">
        <v>2503</v>
      </c>
      <c r="B470" t="s">
        <v>30</v>
      </c>
      <c r="C470" t="s">
        <v>2504</v>
      </c>
      <c r="D470" t="s">
        <v>2505</v>
      </c>
      <c r="E470" t="s">
        <v>2506</v>
      </c>
      <c r="F470" t="s">
        <v>7</v>
      </c>
      <c r="G470" t="s">
        <v>7</v>
      </c>
      <c r="H470" t="s">
        <v>56</v>
      </c>
      <c r="I470" t="s">
        <v>35</v>
      </c>
      <c r="J470" t="s">
        <v>2505</v>
      </c>
      <c r="K470" t="s">
        <v>32</v>
      </c>
      <c r="L470" t="s">
        <v>32</v>
      </c>
      <c r="M470" t="s">
        <v>36</v>
      </c>
      <c r="N470" t="s">
        <v>37</v>
      </c>
      <c r="O470" t="s">
        <v>66</v>
      </c>
      <c r="P470" t="s">
        <v>66</v>
      </c>
      <c r="Q470" t="s">
        <v>32</v>
      </c>
      <c r="R470" t="s">
        <v>2507</v>
      </c>
      <c r="S470" t="s">
        <v>32</v>
      </c>
      <c r="T470" s="2">
        <v>117.174808</v>
      </c>
      <c r="U470" s="2">
        <v>39.247357</v>
      </c>
    </row>
    <row r="471" spans="1:21">
      <c r="A471" t="s">
        <v>2508</v>
      </c>
      <c r="B471" t="s">
        <v>30</v>
      </c>
      <c r="C471" t="s">
        <v>2509</v>
      </c>
      <c r="D471" t="s">
        <v>2510</v>
      </c>
      <c r="E471" t="s">
        <v>2511</v>
      </c>
      <c r="F471" t="s">
        <v>7</v>
      </c>
      <c r="G471" t="s">
        <v>7</v>
      </c>
      <c r="H471" t="s">
        <v>43</v>
      </c>
      <c r="I471" t="s">
        <v>35</v>
      </c>
      <c r="J471" t="s">
        <v>2510</v>
      </c>
      <c r="K471" t="s">
        <v>32</v>
      </c>
      <c r="L471" t="s">
        <v>32</v>
      </c>
      <c r="M471" t="s">
        <v>36</v>
      </c>
      <c r="N471" t="s">
        <v>37</v>
      </c>
      <c r="O471" t="s">
        <v>66</v>
      </c>
      <c r="P471" t="s">
        <v>66</v>
      </c>
      <c r="Q471" t="s">
        <v>32</v>
      </c>
      <c r="R471" t="s">
        <v>2512</v>
      </c>
      <c r="S471" t="s">
        <v>32</v>
      </c>
      <c r="T471" s="2">
        <v>117.227238</v>
      </c>
      <c r="U471" s="2">
        <v>39.020344</v>
      </c>
    </row>
    <row r="472" spans="1:21">
      <c r="A472" t="s">
        <v>2513</v>
      </c>
      <c r="B472" t="s">
        <v>30</v>
      </c>
      <c r="C472" t="s">
        <v>2514</v>
      </c>
      <c r="D472" t="s">
        <v>2515</v>
      </c>
      <c r="E472" t="s">
        <v>2516</v>
      </c>
      <c r="F472" t="s">
        <v>7</v>
      </c>
      <c r="G472" t="s">
        <v>7</v>
      </c>
      <c r="H472" t="s">
        <v>50</v>
      </c>
      <c r="I472" t="s">
        <v>35</v>
      </c>
      <c r="J472" t="s">
        <v>2515</v>
      </c>
      <c r="K472" t="s">
        <v>32</v>
      </c>
      <c r="L472" t="s">
        <v>32</v>
      </c>
      <c r="M472" t="s">
        <v>36</v>
      </c>
      <c r="N472" t="s">
        <v>37</v>
      </c>
      <c r="O472" t="s">
        <v>66</v>
      </c>
      <c r="P472" t="s">
        <v>66</v>
      </c>
      <c r="Q472" t="s">
        <v>32</v>
      </c>
      <c r="R472" t="s">
        <v>2517</v>
      </c>
      <c r="S472" t="s">
        <v>32</v>
      </c>
      <c r="T472" s="2">
        <v>117.189739</v>
      </c>
      <c r="U472" s="2">
        <v>39.079106</v>
      </c>
    </row>
    <row r="473" spans="1:21">
      <c r="A473" t="s">
        <v>2518</v>
      </c>
      <c r="B473" t="s">
        <v>30</v>
      </c>
      <c r="C473" t="s">
        <v>2417</v>
      </c>
      <c r="D473" t="s">
        <v>2519</v>
      </c>
      <c r="E473" t="s">
        <v>2520</v>
      </c>
      <c r="F473" t="s">
        <v>7</v>
      </c>
      <c r="G473" t="s">
        <v>7</v>
      </c>
      <c r="H473" t="s">
        <v>73</v>
      </c>
      <c r="I473" t="s">
        <v>35</v>
      </c>
      <c r="J473" t="s">
        <v>2519</v>
      </c>
      <c r="K473" t="s">
        <v>32</v>
      </c>
      <c r="L473" t="s">
        <v>32</v>
      </c>
      <c r="M473" t="s">
        <v>36</v>
      </c>
      <c r="N473" t="s">
        <v>37</v>
      </c>
      <c r="O473" t="s">
        <v>66</v>
      </c>
      <c r="P473" t="s">
        <v>66</v>
      </c>
      <c r="Q473" t="s">
        <v>32</v>
      </c>
      <c r="R473" t="s">
        <v>2521</v>
      </c>
      <c r="S473" t="s">
        <v>32</v>
      </c>
      <c r="T473" s="2">
        <v>117.241406</v>
      </c>
      <c r="U473" s="2">
        <v>39.189787</v>
      </c>
    </row>
    <row r="474" spans="1:21">
      <c r="A474" t="s">
        <v>2522</v>
      </c>
      <c r="B474" t="s">
        <v>30</v>
      </c>
      <c r="C474" t="s">
        <v>2523</v>
      </c>
      <c r="D474" t="s">
        <v>2524</v>
      </c>
      <c r="E474" t="s">
        <v>2525</v>
      </c>
      <c r="F474" t="s">
        <v>7</v>
      </c>
      <c r="G474" t="s">
        <v>7</v>
      </c>
      <c r="H474" t="s">
        <v>133</v>
      </c>
      <c r="I474" t="s">
        <v>35</v>
      </c>
      <c r="J474" t="s">
        <v>2524</v>
      </c>
      <c r="K474" t="s">
        <v>32</v>
      </c>
      <c r="L474" t="s">
        <v>32</v>
      </c>
      <c r="M474" t="s">
        <v>36</v>
      </c>
      <c r="N474" t="s">
        <v>37</v>
      </c>
      <c r="O474" t="s">
        <v>66</v>
      </c>
      <c r="P474" t="s">
        <v>66</v>
      </c>
      <c r="Q474" t="s">
        <v>32</v>
      </c>
      <c r="R474" t="s">
        <v>2526</v>
      </c>
      <c r="S474" t="s">
        <v>32</v>
      </c>
      <c r="T474" s="2">
        <v>117.146237</v>
      </c>
      <c r="U474" s="2">
        <v>39.156142</v>
      </c>
    </row>
    <row r="475" spans="1:21">
      <c r="A475" t="s">
        <v>2527</v>
      </c>
      <c r="B475" t="s">
        <v>30</v>
      </c>
      <c r="C475" t="s">
        <v>2528</v>
      </c>
      <c r="D475" t="s">
        <v>2529</v>
      </c>
      <c r="E475" t="s">
        <v>2530</v>
      </c>
      <c r="F475" t="s">
        <v>7</v>
      </c>
      <c r="G475" t="s">
        <v>7</v>
      </c>
      <c r="H475" t="s">
        <v>43</v>
      </c>
      <c r="I475" t="s">
        <v>35</v>
      </c>
      <c r="J475" t="s">
        <v>2529</v>
      </c>
      <c r="K475" t="s">
        <v>32</v>
      </c>
      <c r="L475" t="s">
        <v>32</v>
      </c>
      <c r="M475" t="s">
        <v>36</v>
      </c>
      <c r="N475" t="s">
        <v>37</v>
      </c>
      <c r="O475" t="s">
        <v>161</v>
      </c>
      <c r="P475" t="s">
        <v>161</v>
      </c>
      <c r="Q475" t="s">
        <v>32</v>
      </c>
      <c r="R475" t="s">
        <v>2531</v>
      </c>
      <c r="S475" t="s">
        <v>32</v>
      </c>
      <c r="T475" s="2">
        <v>117.251283</v>
      </c>
      <c r="U475" s="2">
        <v>39.026492</v>
      </c>
    </row>
    <row r="476" spans="1:21">
      <c r="A476" t="s">
        <v>2532</v>
      </c>
      <c r="B476" t="s">
        <v>30</v>
      </c>
      <c r="C476" t="s">
        <v>2533</v>
      </c>
      <c r="D476" t="s">
        <v>2534</v>
      </c>
      <c r="E476" t="s">
        <v>2535</v>
      </c>
      <c r="F476" t="s">
        <v>7</v>
      </c>
      <c r="G476" t="s">
        <v>7</v>
      </c>
      <c r="H476" t="s">
        <v>73</v>
      </c>
      <c r="I476" t="s">
        <v>35</v>
      </c>
      <c r="J476" t="s">
        <v>2534</v>
      </c>
      <c r="K476" t="s">
        <v>32</v>
      </c>
      <c r="L476" t="s">
        <v>32</v>
      </c>
      <c r="M476" t="s">
        <v>36</v>
      </c>
      <c r="N476" t="s">
        <v>37</v>
      </c>
      <c r="O476" t="s">
        <v>66</v>
      </c>
      <c r="P476" t="s">
        <v>66</v>
      </c>
      <c r="Q476" t="s">
        <v>32</v>
      </c>
      <c r="R476" t="s">
        <v>2536</v>
      </c>
      <c r="S476" t="s">
        <v>32</v>
      </c>
      <c r="T476" s="2">
        <v>117.283508</v>
      </c>
      <c r="U476" s="2">
        <v>39.119435</v>
      </c>
    </row>
    <row r="477" spans="1:21">
      <c r="A477" t="s">
        <v>2537</v>
      </c>
      <c r="B477" t="s">
        <v>30</v>
      </c>
      <c r="C477" t="s">
        <v>2538</v>
      </c>
      <c r="D477" t="s">
        <v>2539</v>
      </c>
      <c r="E477" t="s">
        <v>2540</v>
      </c>
      <c r="F477" t="s">
        <v>7</v>
      </c>
      <c r="G477" t="s">
        <v>7</v>
      </c>
      <c r="H477" t="s">
        <v>56</v>
      </c>
      <c r="I477" t="s">
        <v>35</v>
      </c>
      <c r="J477" t="s">
        <v>2539</v>
      </c>
      <c r="K477" t="s">
        <v>32</v>
      </c>
      <c r="L477" t="s">
        <v>32</v>
      </c>
      <c r="M477" t="s">
        <v>36</v>
      </c>
      <c r="N477" t="s">
        <v>37</v>
      </c>
      <c r="O477" t="s">
        <v>66</v>
      </c>
      <c r="P477" t="s">
        <v>66</v>
      </c>
      <c r="Q477" t="s">
        <v>32</v>
      </c>
      <c r="R477" t="s">
        <v>2541</v>
      </c>
      <c r="S477" t="s">
        <v>32</v>
      </c>
      <c r="T477" s="2">
        <v>117.128324</v>
      </c>
      <c r="U477" s="2">
        <v>39.228936</v>
      </c>
    </row>
    <row r="478" spans="1:21">
      <c r="A478" t="s">
        <v>2542</v>
      </c>
      <c r="B478" t="s">
        <v>30</v>
      </c>
      <c r="C478" t="s">
        <v>2543</v>
      </c>
      <c r="D478" t="s">
        <v>2544</v>
      </c>
      <c r="E478" t="s">
        <v>2545</v>
      </c>
      <c r="F478" t="s">
        <v>7</v>
      </c>
      <c r="G478" t="s">
        <v>7</v>
      </c>
      <c r="H478" t="s">
        <v>105</v>
      </c>
      <c r="I478" t="s">
        <v>35</v>
      </c>
      <c r="J478" t="s">
        <v>2544</v>
      </c>
      <c r="K478" t="s">
        <v>32</v>
      </c>
      <c r="L478" t="s">
        <v>32</v>
      </c>
      <c r="M478" t="s">
        <v>36</v>
      </c>
      <c r="N478" t="s">
        <v>37</v>
      </c>
      <c r="O478" t="s">
        <v>66</v>
      </c>
      <c r="P478" t="s">
        <v>66</v>
      </c>
      <c r="Q478" t="s">
        <v>32</v>
      </c>
      <c r="R478" t="s">
        <v>2546</v>
      </c>
      <c r="S478" t="s">
        <v>32</v>
      </c>
      <c r="T478" s="2">
        <v>117.241497</v>
      </c>
      <c r="U478" s="2">
        <v>39.128665</v>
      </c>
    </row>
    <row r="479" spans="1:21">
      <c r="A479" t="s">
        <v>2547</v>
      </c>
      <c r="B479" t="s">
        <v>30</v>
      </c>
      <c r="C479" t="s">
        <v>2548</v>
      </c>
      <c r="D479" t="s">
        <v>2549</v>
      </c>
      <c r="E479" t="s">
        <v>2550</v>
      </c>
      <c r="F479" t="s">
        <v>7</v>
      </c>
      <c r="G479" t="s">
        <v>7</v>
      </c>
      <c r="H479" t="s">
        <v>56</v>
      </c>
      <c r="I479" t="s">
        <v>35</v>
      </c>
      <c r="J479" t="s">
        <v>2549</v>
      </c>
      <c r="K479" t="s">
        <v>32</v>
      </c>
      <c r="L479" t="s">
        <v>32</v>
      </c>
      <c r="M479" t="s">
        <v>36</v>
      </c>
      <c r="N479" t="s">
        <v>37</v>
      </c>
      <c r="O479" t="s">
        <v>66</v>
      </c>
      <c r="P479" t="s">
        <v>66</v>
      </c>
      <c r="Q479" t="s">
        <v>32</v>
      </c>
      <c r="R479" t="s">
        <v>2551</v>
      </c>
      <c r="S479" t="s">
        <v>32</v>
      </c>
      <c r="T479" s="2">
        <v>117.191006</v>
      </c>
      <c r="U479" s="2">
        <v>39.20142</v>
      </c>
    </row>
    <row r="480" spans="1:21">
      <c r="A480" t="s">
        <v>2552</v>
      </c>
      <c r="B480" t="s">
        <v>2553</v>
      </c>
      <c r="C480" t="s">
        <v>2554</v>
      </c>
      <c r="D480" t="s">
        <v>2555</v>
      </c>
      <c r="E480" t="s">
        <v>2556</v>
      </c>
      <c r="F480" t="s">
        <v>7</v>
      </c>
      <c r="G480" t="s">
        <v>7</v>
      </c>
      <c r="H480" t="s">
        <v>56</v>
      </c>
      <c r="I480" t="s">
        <v>44</v>
      </c>
      <c r="J480" t="s">
        <v>2555</v>
      </c>
      <c r="K480" t="s">
        <v>32</v>
      </c>
      <c r="L480" t="s">
        <v>32</v>
      </c>
      <c r="M480" t="s">
        <v>36</v>
      </c>
      <c r="N480" t="s">
        <v>37</v>
      </c>
      <c r="O480" t="s">
        <v>66</v>
      </c>
      <c r="P480" t="s">
        <v>66</v>
      </c>
      <c r="Q480" t="s">
        <v>45</v>
      </c>
      <c r="R480" t="s">
        <v>2557</v>
      </c>
      <c r="S480" t="s">
        <v>32</v>
      </c>
      <c r="T480" s="2">
        <v>117.145215</v>
      </c>
      <c r="U480" s="2">
        <v>39.219739</v>
      </c>
    </row>
    <row r="481" spans="1:21">
      <c r="A481" t="s">
        <v>2558</v>
      </c>
      <c r="B481" t="s">
        <v>2559</v>
      </c>
      <c r="C481" t="s">
        <v>54</v>
      </c>
      <c r="D481" t="s">
        <v>2560</v>
      </c>
      <c r="E481" t="s">
        <v>2561</v>
      </c>
      <c r="F481" t="s">
        <v>7</v>
      </c>
      <c r="G481" t="s">
        <v>7</v>
      </c>
      <c r="H481" t="s">
        <v>56</v>
      </c>
      <c r="I481" t="s">
        <v>51</v>
      </c>
      <c r="J481" t="s">
        <v>2560</v>
      </c>
      <c r="K481" t="s">
        <v>32</v>
      </c>
      <c r="L481" t="s">
        <v>32</v>
      </c>
      <c r="M481" t="s">
        <v>36</v>
      </c>
      <c r="N481" t="s">
        <v>37</v>
      </c>
      <c r="O481" t="s">
        <v>66</v>
      </c>
      <c r="P481" t="s">
        <v>66</v>
      </c>
      <c r="Q481" t="s">
        <v>74</v>
      </c>
      <c r="R481" t="s">
        <v>2562</v>
      </c>
      <c r="S481" t="s">
        <v>32</v>
      </c>
      <c r="T481" s="2">
        <v>117.144076</v>
      </c>
      <c r="U481" s="2">
        <v>39.218711</v>
      </c>
    </row>
    <row r="482" spans="1:21">
      <c r="A482" t="s">
        <v>2563</v>
      </c>
      <c r="B482" t="s">
        <v>30</v>
      </c>
      <c r="C482" t="s">
        <v>2564</v>
      </c>
      <c r="D482" t="s">
        <v>2565</v>
      </c>
      <c r="E482" t="s">
        <v>2566</v>
      </c>
      <c r="F482" t="s">
        <v>7</v>
      </c>
      <c r="G482" t="s">
        <v>7</v>
      </c>
      <c r="H482" t="s">
        <v>43</v>
      </c>
      <c r="I482" t="s">
        <v>35</v>
      </c>
      <c r="J482" t="s">
        <v>2565</v>
      </c>
      <c r="K482" t="s">
        <v>32</v>
      </c>
      <c r="L482" t="s">
        <v>32</v>
      </c>
      <c r="M482" t="s">
        <v>36</v>
      </c>
      <c r="N482" t="s">
        <v>37</v>
      </c>
      <c r="O482" t="s">
        <v>66</v>
      </c>
      <c r="P482" t="s">
        <v>66</v>
      </c>
      <c r="Q482" t="s">
        <v>32</v>
      </c>
      <c r="R482" t="s">
        <v>2567</v>
      </c>
      <c r="S482" t="s">
        <v>32</v>
      </c>
      <c r="T482" s="2">
        <v>117.085418</v>
      </c>
      <c r="U482" s="2">
        <v>39.117071</v>
      </c>
    </row>
    <row r="483" spans="1:21">
      <c r="A483" t="s">
        <v>2568</v>
      </c>
      <c r="B483" t="s">
        <v>2569</v>
      </c>
      <c r="C483" t="s">
        <v>2570</v>
      </c>
      <c r="D483" t="s">
        <v>2571</v>
      </c>
      <c r="E483" t="s">
        <v>2572</v>
      </c>
      <c r="F483" t="s">
        <v>7</v>
      </c>
      <c r="G483" t="s">
        <v>7</v>
      </c>
      <c r="H483" t="s">
        <v>56</v>
      </c>
      <c r="I483" t="s">
        <v>51</v>
      </c>
      <c r="J483" t="s">
        <v>2571</v>
      </c>
      <c r="K483" t="s">
        <v>32</v>
      </c>
      <c r="L483" t="s">
        <v>32</v>
      </c>
      <c r="M483" t="s">
        <v>36</v>
      </c>
      <c r="N483" t="s">
        <v>37</v>
      </c>
      <c r="O483" t="s">
        <v>66</v>
      </c>
      <c r="P483" t="s">
        <v>66</v>
      </c>
      <c r="Q483" t="s">
        <v>57</v>
      </c>
      <c r="R483" t="s">
        <v>2573</v>
      </c>
      <c r="S483" t="s">
        <v>32</v>
      </c>
      <c r="T483" s="2">
        <v>117.043434</v>
      </c>
      <c r="U483" s="2">
        <v>39.19078</v>
      </c>
    </row>
    <row r="484" spans="1:21">
      <c r="A484" t="s">
        <v>2574</v>
      </c>
      <c r="B484" t="s">
        <v>40</v>
      </c>
      <c r="C484" t="s">
        <v>2575</v>
      </c>
      <c r="D484" t="s">
        <v>32</v>
      </c>
      <c r="E484" t="s">
        <v>2576</v>
      </c>
      <c r="F484" t="s">
        <v>7</v>
      </c>
      <c r="G484" t="s">
        <v>7</v>
      </c>
      <c r="H484" t="s">
        <v>133</v>
      </c>
      <c r="I484" t="s">
        <v>51</v>
      </c>
      <c r="J484" t="s">
        <v>32</v>
      </c>
      <c r="K484" t="s">
        <v>32</v>
      </c>
      <c r="L484" t="s">
        <v>32</v>
      </c>
      <c r="M484" t="s">
        <v>36</v>
      </c>
      <c r="N484" t="s">
        <v>37</v>
      </c>
      <c r="O484" t="s">
        <v>66</v>
      </c>
      <c r="P484" t="s">
        <v>66</v>
      </c>
      <c r="Q484" t="s">
        <v>57</v>
      </c>
      <c r="R484" t="s">
        <v>2577</v>
      </c>
      <c r="S484" t="s">
        <v>32</v>
      </c>
      <c r="T484" s="2">
        <v>117.178482</v>
      </c>
      <c r="U484" s="2">
        <v>39.153257</v>
      </c>
    </row>
    <row r="485" spans="1:21">
      <c r="A485" t="s">
        <v>2578</v>
      </c>
      <c r="B485" t="s">
        <v>2579</v>
      </c>
      <c r="C485" t="s">
        <v>2580</v>
      </c>
      <c r="D485" t="s">
        <v>2581</v>
      </c>
      <c r="E485" t="s">
        <v>2582</v>
      </c>
      <c r="F485" t="s">
        <v>7</v>
      </c>
      <c r="G485" t="s">
        <v>7</v>
      </c>
      <c r="H485" t="s">
        <v>43</v>
      </c>
      <c r="I485" t="s">
        <v>51</v>
      </c>
      <c r="J485" t="s">
        <v>2581</v>
      </c>
      <c r="K485" t="s">
        <v>32</v>
      </c>
      <c r="L485" t="s">
        <v>32</v>
      </c>
      <c r="M485" t="s">
        <v>36</v>
      </c>
      <c r="N485" t="s">
        <v>37</v>
      </c>
      <c r="O485" t="s">
        <v>66</v>
      </c>
      <c r="P485" t="s">
        <v>66</v>
      </c>
      <c r="Q485" t="s">
        <v>57</v>
      </c>
      <c r="R485" t="s">
        <v>2583</v>
      </c>
      <c r="S485" t="s">
        <v>32</v>
      </c>
      <c r="T485" s="2">
        <v>117.037724</v>
      </c>
      <c r="U485" s="2">
        <v>39.078858</v>
      </c>
    </row>
    <row r="486" spans="1:21">
      <c r="A486" t="s">
        <v>2584</v>
      </c>
      <c r="B486" t="s">
        <v>2585</v>
      </c>
      <c r="C486" t="s">
        <v>1795</v>
      </c>
      <c r="D486" t="s">
        <v>2586</v>
      </c>
      <c r="E486" t="s">
        <v>2587</v>
      </c>
      <c r="F486" t="s">
        <v>7</v>
      </c>
      <c r="G486" t="s">
        <v>7</v>
      </c>
      <c r="H486" t="s">
        <v>34</v>
      </c>
      <c r="I486" t="s">
        <v>637</v>
      </c>
      <c r="J486" t="s">
        <v>2586</v>
      </c>
      <c r="K486" t="s">
        <v>32</v>
      </c>
      <c r="L486" t="s">
        <v>32</v>
      </c>
      <c r="M486" t="s">
        <v>36</v>
      </c>
      <c r="N486" t="s">
        <v>37</v>
      </c>
      <c r="O486" t="s">
        <v>66</v>
      </c>
      <c r="P486" t="s">
        <v>66</v>
      </c>
      <c r="Q486" t="s">
        <v>57</v>
      </c>
      <c r="R486" t="s">
        <v>2588</v>
      </c>
      <c r="S486" t="s">
        <v>32</v>
      </c>
      <c r="T486" s="2">
        <v>117.153123</v>
      </c>
      <c r="U486" s="2">
        <v>39.106374</v>
      </c>
    </row>
    <row r="487" spans="1:21">
      <c r="A487" t="s">
        <v>2589</v>
      </c>
      <c r="B487" t="s">
        <v>2144</v>
      </c>
      <c r="C487" t="s">
        <v>2590</v>
      </c>
      <c r="D487" t="s">
        <v>2591</v>
      </c>
      <c r="E487" t="s">
        <v>2592</v>
      </c>
      <c r="F487" t="s">
        <v>7</v>
      </c>
      <c r="G487" t="s">
        <v>7</v>
      </c>
      <c r="H487" t="s">
        <v>146</v>
      </c>
      <c r="I487" t="s">
        <v>51</v>
      </c>
      <c r="J487" t="s">
        <v>2591</v>
      </c>
      <c r="K487" t="s">
        <v>32</v>
      </c>
      <c r="L487" t="s">
        <v>32</v>
      </c>
      <c r="M487" t="s">
        <v>36</v>
      </c>
      <c r="N487" t="s">
        <v>37</v>
      </c>
      <c r="O487" t="s">
        <v>66</v>
      </c>
      <c r="P487" t="s">
        <v>66</v>
      </c>
      <c r="Q487" t="s">
        <v>74</v>
      </c>
      <c r="R487" t="s">
        <v>2593</v>
      </c>
      <c r="S487" t="s">
        <v>32</v>
      </c>
      <c r="T487" s="2">
        <v>117.124271</v>
      </c>
      <c r="U487" s="2">
        <v>39.085534</v>
      </c>
    </row>
    <row r="488" spans="1:21">
      <c r="A488" t="s">
        <v>2594</v>
      </c>
      <c r="B488" t="s">
        <v>2595</v>
      </c>
      <c r="C488" t="s">
        <v>2596</v>
      </c>
      <c r="D488" t="s">
        <v>2597</v>
      </c>
      <c r="E488" t="s">
        <v>2598</v>
      </c>
      <c r="F488" t="s">
        <v>7</v>
      </c>
      <c r="G488" t="s">
        <v>7</v>
      </c>
      <c r="H488" t="s">
        <v>43</v>
      </c>
      <c r="I488" t="s">
        <v>637</v>
      </c>
      <c r="J488" t="s">
        <v>2597</v>
      </c>
      <c r="K488" t="s">
        <v>32</v>
      </c>
      <c r="L488" t="s">
        <v>32</v>
      </c>
      <c r="M488" t="s">
        <v>36</v>
      </c>
      <c r="N488" t="s">
        <v>37</v>
      </c>
      <c r="O488" t="s">
        <v>66</v>
      </c>
      <c r="P488" t="s">
        <v>66</v>
      </c>
      <c r="Q488" t="s">
        <v>57</v>
      </c>
      <c r="R488" t="s">
        <v>2599</v>
      </c>
      <c r="S488" t="s">
        <v>32</v>
      </c>
      <c r="T488" s="2">
        <v>117.050643</v>
      </c>
      <c r="U488" s="2">
        <v>39.060844</v>
      </c>
    </row>
    <row r="489" spans="1:21">
      <c r="A489" t="s">
        <v>2600</v>
      </c>
      <c r="B489" t="s">
        <v>40</v>
      </c>
      <c r="C489" t="s">
        <v>2601</v>
      </c>
      <c r="D489" t="s">
        <v>32</v>
      </c>
      <c r="E489" t="s">
        <v>2602</v>
      </c>
      <c r="F489" t="s">
        <v>7</v>
      </c>
      <c r="G489" t="s">
        <v>7</v>
      </c>
      <c r="H489" t="s">
        <v>105</v>
      </c>
      <c r="I489" t="s">
        <v>44</v>
      </c>
      <c r="J489" t="s">
        <v>32</v>
      </c>
      <c r="K489" t="s">
        <v>32</v>
      </c>
      <c r="L489" t="s">
        <v>32</v>
      </c>
      <c r="M489" t="s">
        <v>36</v>
      </c>
      <c r="N489" t="s">
        <v>37</v>
      </c>
      <c r="O489" t="s">
        <v>66</v>
      </c>
      <c r="P489" t="s">
        <v>66</v>
      </c>
      <c r="Q489" t="s">
        <v>57</v>
      </c>
      <c r="R489" t="s">
        <v>2603</v>
      </c>
      <c r="S489" t="s">
        <v>32</v>
      </c>
      <c r="T489" s="2">
        <v>117.226092</v>
      </c>
      <c r="U489" s="2">
        <v>39.133947</v>
      </c>
    </row>
    <row r="490" spans="1:21">
      <c r="A490" t="s">
        <v>2604</v>
      </c>
      <c r="B490" t="s">
        <v>2605</v>
      </c>
      <c r="C490" t="s">
        <v>2606</v>
      </c>
      <c r="D490" t="s">
        <v>32</v>
      </c>
      <c r="E490" t="s">
        <v>2607</v>
      </c>
      <c r="F490" t="s">
        <v>7</v>
      </c>
      <c r="G490" t="s">
        <v>7</v>
      </c>
      <c r="H490" t="s">
        <v>56</v>
      </c>
      <c r="I490" t="s">
        <v>51</v>
      </c>
      <c r="J490" t="s">
        <v>2608</v>
      </c>
      <c r="K490" t="s">
        <v>32</v>
      </c>
      <c r="L490" t="s">
        <v>32</v>
      </c>
      <c r="M490" t="s">
        <v>36</v>
      </c>
      <c r="N490" t="s">
        <v>37</v>
      </c>
      <c r="O490" t="s">
        <v>66</v>
      </c>
      <c r="P490" t="s">
        <v>66</v>
      </c>
      <c r="Q490" t="s">
        <v>57</v>
      </c>
      <c r="R490" t="s">
        <v>2609</v>
      </c>
      <c r="S490" t="s">
        <v>32</v>
      </c>
      <c r="T490" s="2">
        <v>117.185394</v>
      </c>
      <c r="U490" s="2">
        <v>39.208121</v>
      </c>
    </row>
    <row r="491" spans="1:21">
      <c r="A491" t="s">
        <v>2610</v>
      </c>
      <c r="B491" t="s">
        <v>2611</v>
      </c>
      <c r="C491" t="s">
        <v>2612</v>
      </c>
      <c r="D491" t="s">
        <v>2613</v>
      </c>
      <c r="E491" t="s">
        <v>2614</v>
      </c>
      <c r="F491" t="s">
        <v>7</v>
      </c>
      <c r="G491" t="s">
        <v>7</v>
      </c>
      <c r="H491" t="s">
        <v>56</v>
      </c>
      <c r="I491" t="s">
        <v>51</v>
      </c>
      <c r="J491" t="s">
        <v>2613</v>
      </c>
      <c r="K491" t="s">
        <v>32</v>
      </c>
      <c r="L491" t="s">
        <v>32</v>
      </c>
      <c r="M491" t="s">
        <v>36</v>
      </c>
      <c r="N491" t="s">
        <v>37</v>
      </c>
      <c r="O491" t="s">
        <v>66</v>
      </c>
      <c r="P491" t="s">
        <v>66</v>
      </c>
      <c r="Q491" t="s">
        <v>57</v>
      </c>
      <c r="R491" t="s">
        <v>2615</v>
      </c>
      <c r="S491" t="s">
        <v>32</v>
      </c>
      <c r="T491" s="2">
        <v>117.264805</v>
      </c>
      <c r="U491" s="2">
        <v>39.236877</v>
      </c>
    </row>
    <row r="492" spans="1:21">
      <c r="A492" t="s">
        <v>2616</v>
      </c>
      <c r="B492" t="s">
        <v>2617</v>
      </c>
      <c r="C492" t="s">
        <v>2618</v>
      </c>
      <c r="D492" t="s">
        <v>2619</v>
      </c>
      <c r="E492" t="s">
        <v>2620</v>
      </c>
      <c r="F492" t="s">
        <v>7</v>
      </c>
      <c r="G492" t="s">
        <v>7</v>
      </c>
      <c r="H492" t="s">
        <v>43</v>
      </c>
      <c r="I492" t="s">
        <v>51</v>
      </c>
      <c r="J492" t="s">
        <v>2619</v>
      </c>
      <c r="K492" t="s">
        <v>32</v>
      </c>
      <c r="L492" t="s">
        <v>32</v>
      </c>
      <c r="M492" t="s">
        <v>36</v>
      </c>
      <c r="N492" t="s">
        <v>37</v>
      </c>
      <c r="O492" t="s">
        <v>66</v>
      </c>
      <c r="P492" t="s">
        <v>66</v>
      </c>
      <c r="Q492" t="s">
        <v>57</v>
      </c>
      <c r="R492" t="s">
        <v>2621</v>
      </c>
      <c r="S492" t="s">
        <v>32</v>
      </c>
      <c r="T492" s="2">
        <v>117.107341</v>
      </c>
      <c r="U492" s="2">
        <v>39.047829</v>
      </c>
    </row>
    <row r="493" spans="1:21">
      <c r="A493" t="s">
        <v>2622</v>
      </c>
      <c r="B493" t="s">
        <v>2623</v>
      </c>
      <c r="C493" t="s">
        <v>2624</v>
      </c>
      <c r="D493" t="s">
        <v>2625</v>
      </c>
      <c r="E493" t="s">
        <v>2626</v>
      </c>
      <c r="F493" t="s">
        <v>7</v>
      </c>
      <c r="G493" t="s">
        <v>7</v>
      </c>
      <c r="H493" t="s">
        <v>43</v>
      </c>
      <c r="I493" t="s">
        <v>637</v>
      </c>
      <c r="J493" t="s">
        <v>2625</v>
      </c>
      <c r="K493" t="s">
        <v>32</v>
      </c>
      <c r="L493" t="s">
        <v>32</v>
      </c>
      <c r="M493" t="s">
        <v>36</v>
      </c>
      <c r="N493" t="s">
        <v>37</v>
      </c>
      <c r="O493" t="s">
        <v>66</v>
      </c>
      <c r="P493" t="s">
        <v>66</v>
      </c>
      <c r="Q493" t="s">
        <v>57</v>
      </c>
      <c r="R493" t="s">
        <v>2627</v>
      </c>
      <c r="S493" t="s">
        <v>32</v>
      </c>
      <c r="T493" s="2">
        <v>117.066059</v>
      </c>
      <c r="U493" s="2">
        <v>39.111938</v>
      </c>
    </row>
    <row r="494" spans="1:21">
      <c r="A494" t="s">
        <v>2628</v>
      </c>
      <c r="B494" t="s">
        <v>2629</v>
      </c>
      <c r="C494" t="s">
        <v>2630</v>
      </c>
      <c r="D494" t="s">
        <v>2631</v>
      </c>
      <c r="E494" t="s">
        <v>2632</v>
      </c>
      <c r="F494" t="s">
        <v>7</v>
      </c>
      <c r="G494" t="s">
        <v>7</v>
      </c>
      <c r="H494" t="s">
        <v>63</v>
      </c>
      <c r="I494" t="s">
        <v>44</v>
      </c>
      <c r="J494" t="s">
        <v>2631</v>
      </c>
      <c r="K494" t="s">
        <v>32</v>
      </c>
      <c r="L494" t="s">
        <v>32</v>
      </c>
      <c r="M494" t="s">
        <v>36</v>
      </c>
      <c r="N494" t="s">
        <v>37</v>
      </c>
      <c r="O494" t="s">
        <v>66</v>
      </c>
      <c r="P494" t="s">
        <v>66</v>
      </c>
      <c r="Q494" t="s">
        <v>74</v>
      </c>
      <c r="R494" t="s">
        <v>2633</v>
      </c>
      <c r="S494" t="s">
        <v>32</v>
      </c>
      <c r="T494" s="2">
        <v>117.305433</v>
      </c>
      <c r="U494" s="2">
        <v>39.031252</v>
      </c>
    </row>
    <row r="495" spans="1:21">
      <c r="A495" t="s">
        <v>2634</v>
      </c>
      <c r="B495" t="s">
        <v>277</v>
      </c>
      <c r="C495" t="s">
        <v>2635</v>
      </c>
      <c r="D495" t="s">
        <v>2636</v>
      </c>
      <c r="E495" t="s">
        <v>2637</v>
      </c>
      <c r="F495" t="s">
        <v>7</v>
      </c>
      <c r="G495" t="s">
        <v>7</v>
      </c>
      <c r="H495" t="s">
        <v>43</v>
      </c>
      <c r="I495" t="s">
        <v>1214</v>
      </c>
      <c r="J495" t="s">
        <v>2636</v>
      </c>
      <c r="K495" t="s">
        <v>32</v>
      </c>
      <c r="L495" t="s">
        <v>32</v>
      </c>
      <c r="M495" t="s">
        <v>36</v>
      </c>
      <c r="N495" t="s">
        <v>37</v>
      </c>
      <c r="O495" t="s">
        <v>66</v>
      </c>
      <c r="P495" t="s">
        <v>66</v>
      </c>
      <c r="Q495" t="s">
        <v>74</v>
      </c>
      <c r="R495" t="s">
        <v>2638</v>
      </c>
      <c r="S495" t="s">
        <v>32</v>
      </c>
      <c r="T495" s="2">
        <v>117.173915</v>
      </c>
      <c r="U495" s="2">
        <v>39.052847</v>
      </c>
    </row>
    <row r="496" spans="1:21">
      <c r="A496" t="s">
        <v>2639</v>
      </c>
      <c r="B496" t="s">
        <v>2640</v>
      </c>
      <c r="C496" t="s">
        <v>2641</v>
      </c>
      <c r="D496" t="s">
        <v>2642</v>
      </c>
      <c r="E496" t="s">
        <v>2643</v>
      </c>
      <c r="F496" t="s">
        <v>7</v>
      </c>
      <c r="G496" t="s">
        <v>7</v>
      </c>
      <c r="H496" t="s">
        <v>43</v>
      </c>
      <c r="I496" t="s">
        <v>637</v>
      </c>
      <c r="J496" t="s">
        <v>2642</v>
      </c>
      <c r="K496" t="s">
        <v>64</v>
      </c>
      <c r="L496" t="s">
        <v>1864</v>
      </c>
      <c r="M496" t="s">
        <v>36</v>
      </c>
      <c r="N496" t="s">
        <v>37</v>
      </c>
      <c r="O496" t="s">
        <v>66</v>
      </c>
      <c r="P496" t="s">
        <v>66</v>
      </c>
      <c r="Q496" t="s">
        <v>45</v>
      </c>
      <c r="R496" t="s">
        <v>2644</v>
      </c>
      <c r="S496" t="s">
        <v>32</v>
      </c>
      <c r="T496" s="2">
        <v>117.041759</v>
      </c>
      <c r="U496" s="2">
        <v>39.118724</v>
      </c>
    </row>
    <row r="497" spans="1:21">
      <c r="A497" t="s">
        <v>2645</v>
      </c>
      <c r="B497" t="s">
        <v>130</v>
      </c>
      <c r="C497" t="s">
        <v>2646</v>
      </c>
      <c r="D497" t="s">
        <v>32</v>
      </c>
      <c r="E497" t="s">
        <v>2647</v>
      </c>
      <c r="F497" t="s">
        <v>7</v>
      </c>
      <c r="G497" t="s">
        <v>7</v>
      </c>
      <c r="H497" t="s">
        <v>105</v>
      </c>
      <c r="I497" t="s">
        <v>100</v>
      </c>
      <c r="J497" t="s">
        <v>32</v>
      </c>
      <c r="K497" t="s">
        <v>32</v>
      </c>
      <c r="L497" t="s">
        <v>32</v>
      </c>
      <c r="M497" t="s">
        <v>36</v>
      </c>
      <c r="N497" t="s">
        <v>37</v>
      </c>
      <c r="O497" t="s">
        <v>66</v>
      </c>
      <c r="P497" t="s">
        <v>66</v>
      </c>
      <c r="Q497" t="s">
        <v>45</v>
      </c>
      <c r="R497" t="s">
        <v>2648</v>
      </c>
      <c r="S497" t="s">
        <v>32</v>
      </c>
      <c r="T497" s="2">
        <v>117.231406</v>
      </c>
      <c r="U497" s="2">
        <v>39.129206</v>
      </c>
    </row>
    <row r="498" spans="1:21">
      <c r="A498" t="s">
        <v>2649</v>
      </c>
      <c r="B498" t="s">
        <v>2650</v>
      </c>
      <c r="C498" t="s">
        <v>2651</v>
      </c>
      <c r="D498" t="s">
        <v>2652</v>
      </c>
      <c r="E498" t="s">
        <v>2653</v>
      </c>
      <c r="F498" t="s">
        <v>7</v>
      </c>
      <c r="G498" t="s">
        <v>7</v>
      </c>
      <c r="H498" t="s">
        <v>56</v>
      </c>
      <c r="I498" t="s">
        <v>51</v>
      </c>
      <c r="J498" t="s">
        <v>2652</v>
      </c>
      <c r="K498" t="s">
        <v>32</v>
      </c>
      <c r="L498" t="s">
        <v>32</v>
      </c>
      <c r="M498" t="s">
        <v>36</v>
      </c>
      <c r="N498" t="s">
        <v>37</v>
      </c>
      <c r="O498" t="s">
        <v>66</v>
      </c>
      <c r="P498" t="s">
        <v>66</v>
      </c>
      <c r="Q498" t="s">
        <v>45</v>
      </c>
      <c r="R498" t="s">
        <v>2654</v>
      </c>
      <c r="S498" t="s">
        <v>32</v>
      </c>
      <c r="T498" s="2">
        <v>117.040307</v>
      </c>
      <c r="U498" s="2">
        <v>39.199716</v>
      </c>
    </row>
    <row r="499" spans="1:21">
      <c r="A499" t="s">
        <v>2655</v>
      </c>
      <c r="B499" t="s">
        <v>2656</v>
      </c>
      <c r="C499" t="s">
        <v>2657</v>
      </c>
      <c r="D499" t="s">
        <v>2658</v>
      </c>
      <c r="E499" t="s">
        <v>2659</v>
      </c>
      <c r="F499" t="s">
        <v>7</v>
      </c>
      <c r="G499" t="s">
        <v>7</v>
      </c>
      <c r="H499" t="s">
        <v>43</v>
      </c>
      <c r="I499" t="s">
        <v>239</v>
      </c>
      <c r="J499" t="s">
        <v>2658</v>
      </c>
      <c r="K499" t="s">
        <v>32</v>
      </c>
      <c r="L499" t="s">
        <v>32</v>
      </c>
      <c r="M499" t="s">
        <v>36</v>
      </c>
      <c r="N499" t="s">
        <v>37</v>
      </c>
      <c r="O499" t="s">
        <v>66</v>
      </c>
      <c r="P499" t="s">
        <v>66</v>
      </c>
      <c r="Q499" t="s">
        <v>57</v>
      </c>
      <c r="R499" t="s">
        <v>2660</v>
      </c>
      <c r="S499" t="s">
        <v>32</v>
      </c>
      <c r="T499" s="2">
        <v>117.033792</v>
      </c>
      <c r="U499" s="2">
        <v>39.081188</v>
      </c>
    </row>
    <row r="500" spans="1:21">
      <c r="A500" t="s">
        <v>2661</v>
      </c>
      <c r="B500" t="s">
        <v>40</v>
      </c>
      <c r="C500" t="s">
        <v>806</v>
      </c>
      <c r="D500" t="s">
        <v>32</v>
      </c>
      <c r="E500" t="s">
        <v>2662</v>
      </c>
      <c r="F500" t="s">
        <v>7</v>
      </c>
      <c r="G500" t="s">
        <v>7</v>
      </c>
      <c r="H500" t="s">
        <v>262</v>
      </c>
      <c r="I500" t="s">
        <v>44</v>
      </c>
      <c r="J500" t="s">
        <v>32</v>
      </c>
      <c r="K500" t="s">
        <v>32</v>
      </c>
      <c r="L500" t="s">
        <v>32</v>
      </c>
      <c r="M500" t="s">
        <v>36</v>
      </c>
      <c r="N500" t="s">
        <v>37</v>
      </c>
      <c r="O500" t="s">
        <v>66</v>
      </c>
      <c r="P500" t="s">
        <v>66</v>
      </c>
      <c r="Q500" t="s">
        <v>74</v>
      </c>
      <c r="R500" t="s">
        <v>2663</v>
      </c>
      <c r="S500" t="s">
        <v>32</v>
      </c>
      <c r="T500" s="2">
        <v>117.193167</v>
      </c>
      <c r="U500" s="2">
        <v>39.155271</v>
      </c>
    </row>
    <row r="501" spans="1:21">
      <c r="A501" t="s">
        <v>2664</v>
      </c>
      <c r="B501" t="s">
        <v>40</v>
      </c>
      <c r="C501" t="s">
        <v>2665</v>
      </c>
      <c r="D501" t="s">
        <v>32</v>
      </c>
      <c r="E501" t="s">
        <v>2666</v>
      </c>
      <c r="F501" t="s">
        <v>7</v>
      </c>
      <c r="G501" t="s">
        <v>7</v>
      </c>
      <c r="H501" t="s">
        <v>56</v>
      </c>
      <c r="I501" t="s">
        <v>94</v>
      </c>
      <c r="J501" t="s">
        <v>32</v>
      </c>
      <c r="K501" t="s">
        <v>32</v>
      </c>
      <c r="L501" t="s">
        <v>32</v>
      </c>
      <c r="M501" t="s">
        <v>36</v>
      </c>
      <c r="N501" t="s">
        <v>37</v>
      </c>
      <c r="O501" t="s">
        <v>66</v>
      </c>
      <c r="P501" t="s">
        <v>66</v>
      </c>
      <c r="Q501" t="s">
        <v>45</v>
      </c>
      <c r="R501" t="s">
        <v>2667</v>
      </c>
      <c r="S501" t="s">
        <v>32</v>
      </c>
      <c r="T501" s="2">
        <v>117.132268</v>
      </c>
      <c r="U501" s="2">
        <v>39.230804</v>
      </c>
    </row>
    <row r="502" spans="1:21">
      <c r="A502" t="s">
        <v>2668</v>
      </c>
      <c r="B502" t="s">
        <v>2669</v>
      </c>
      <c r="C502" t="s">
        <v>2670</v>
      </c>
      <c r="D502" t="s">
        <v>2671</v>
      </c>
      <c r="E502" t="s">
        <v>2672</v>
      </c>
      <c r="F502" t="s">
        <v>7</v>
      </c>
      <c r="G502" t="s">
        <v>7</v>
      </c>
      <c r="H502" t="s">
        <v>50</v>
      </c>
      <c r="I502" t="s">
        <v>94</v>
      </c>
      <c r="J502" t="s">
        <v>2671</v>
      </c>
      <c r="K502" t="s">
        <v>32</v>
      </c>
      <c r="L502" t="s">
        <v>32</v>
      </c>
      <c r="M502" t="s">
        <v>36</v>
      </c>
      <c r="N502" t="s">
        <v>37</v>
      </c>
      <c r="O502" t="s">
        <v>66</v>
      </c>
      <c r="P502" t="s">
        <v>66</v>
      </c>
      <c r="Q502" t="s">
        <v>57</v>
      </c>
      <c r="R502" t="s">
        <v>2673</v>
      </c>
      <c r="S502" t="s">
        <v>32</v>
      </c>
      <c r="T502" s="2">
        <v>117.26856</v>
      </c>
      <c r="U502" s="2">
        <v>39.073608</v>
      </c>
    </row>
    <row r="503" spans="1:21">
      <c r="A503" t="s">
        <v>2674</v>
      </c>
      <c r="B503" t="s">
        <v>374</v>
      </c>
      <c r="C503" t="s">
        <v>2675</v>
      </c>
      <c r="D503" t="s">
        <v>32</v>
      </c>
      <c r="E503" t="s">
        <v>2676</v>
      </c>
      <c r="F503" t="s">
        <v>7</v>
      </c>
      <c r="G503" t="s">
        <v>7</v>
      </c>
      <c r="H503" t="s">
        <v>105</v>
      </c>
      <c r="I503" t="s">
        <v>44</v>
      </c>
      <c r="J503" t="s">
        <v>32</v>
      </c>
      <c r="K503" t="s">
        <v>32</v>
      </c>
      <c r="L503" t="s">
        <v>32</v>
      </c>
      <c r="M503" t="s">
        <v>36</v>
      </c>
      <c r="N503" t="s">
        <v>37</v>
      </c>
      <c r="O503" t="s">
        <v>66</v>
      </c>
      <c r="P503" t="s">
        <v>66</v>
      </c>
      <c r="Q503" t="s">
        <v>45</v>
      </c>
      <c r="R503" t="s">
        <v>2677</v>
      </c>
      <c r="S503" t="s">
        <v>32</v>
      </c>
      <c r="T503" s="2">
        <v>117.237827</v>
      </c>
      <c r="U503" s="2">
        <v>39.140459</v>
      </c>
    </row>
    <row r="504" spans="1:21">
      <c r="A504" t="s">
        <v>2678</v>
      </c>
      <c r="B504" t="s">
        <v>40</v>
      </c>
      <c r="C504" t="s">
        <v>2679</v>
      </c>
      <c r="D504" t="s">
        <v>32</v>
      </c>
      <c r="E504" t="s">
        <v>2680</v>
      </c>
      <c r="F504" t="s">
        <v>7</v>
      </c>
      <c r="G504" t="s">
        <v>7</v>
      </c>
      <c r="H504" t="s">
        <v>133</v>
      </c>
      <c r="I504" t="s">
        <v>44</v>
      </c>
      <c r="J504" t="s">
        <v>32</v>
      </c>
      <c r="K504" t="s">
        <v>32</v>
      </c>
      <c r="L504" t="s">
        <v>32</v>
      </c>
      <c r="M504" t="s">
        <v>36</v>
      </c>
      <c r="N504" t="s">
        <v>37</v>
      </c>
      <c r="O504" t="s">
        <v>66</v>
      </c>
      <c r="P504" t="s">
        <v>66</v>
      </c>
      <c r="Q504" t="s">
        <v>45</v>
      </c>
      <c r="R504" t="s">
        <v>2681</v>
      </c>
      <c r="S504" t="s">
        <v>32</v>
      </c>
      <c r="T504" s="2">
        <v>117.155375</v>
      </c>
      <c r="U504" s="2">
        <v>39.163269</v>
      </c>
    </row>
    <row r="505" spans="1:21">
      <c r="A505" t="s">
        <v>2682</v>
      </c>
      <c r="B505" t="s">
        <v>2683</v>
      </c>
      <c r="C505" t="s">
        <v>2684</v>
      </c>
      <c r="D505" t="s">
        <v>32</v>
      </c>
      <c r="E505" t="s">
        <v>2685</v>
      </c>
      <c r="F505" t="s">
        <v>7</v>
      </c>
      <c r="G505" t="s">
        <v>7</v>
      </c>
      <c r="H505" t="s">
        <v>56</v>
      </c>
      <c r="I505" t="s">
        <v>44</v>
      </c>
      <c r="J505" t="s">
        <v>32</v>
      </c>
      <c r="K505" t="s">
        <v>32</v>
      </c>
      <c r="L505" t="s">
        <v>32</v>
      </c>
      <c r="M505" t="s">
        <v>36</v>
      </c>
      <c r="N505" t="s">
        <v>37</v>
      </c>
      <c r="O505" t="s">
        <v>66</v>
      </c>
      <c r="P505" t="s">
        <v>66</v>
      </c>
      <c r="Q505" t="s">
        <v>57</v>
      </c>
      <c r="R505" t="s">
        <v>2686</v>
      </c>
      <c r="S505" t="s">
        <v>32</v>
      </c>
      <c r="T505" s="2">
        <v>117.207238</v>
      </c>
      <c r="U505" s="2">
        <v>39.231233</v>
      </c>
    </row>
    <row r="506" spans="1:21">
      <c r="A506" t="s">
        <v>2687</v>
      </c>
      <c r="B506" t="s">
        <v>40</v>
      </c>
      <c r="C506" t="s">
        <v>2688</v>
      </c>
      <c r="D506" t="s">
        <v>32</v>
      </c>
      <c r="E506" t="s">
        <v>2689</v>
      </c>
      <c r="F506" t="s">
        <v>7</v>
      </c>
      <c r="G506" t="s">
        <v>7</v>
      </c>
      <c r="H506" t="s">
        <v>34</v>
      </c>
      <c r="I506" t="s">
        <v>94</v>
      </c>
      <c r="J506" t="s">
        <v>32</v>
      </c>
      <c r="K506" t="s">
        <v>32</v>
      </c>
      <c r="L506" t="s">
        <v>32</v>
      </c>
      <c r="M506" t="s">
        <v>36</v>
      </c>
      <c r="N506" t="s">
        <v>37</v>
      </c>
      <c r="O506" t="s">
        <v>66</v>
      </c>
      <c r="P506" t="s">
        <v>66</v>
      </c>
      <c r="Q506" t="s">
        <v>45</v>
      </c>
      <c r="R506" t="s">
        <v>2690</v>
      </c>
      <c r="S506" t="s">
        <v>32</v>
      </c>
      <c r="T506" s="2">
        <v>117.143162</v>
      </c>
      <c r="U506" s="2">
        <v>39.092697</v>
      </c>
    </row>
    <row r="507" spans="1:21">
      <c r="A507" t="s">
        <v>2691</v>
      </c>
      <c r="B507" t="s">
        <v>2692</v>
      </c>
      <c r="C507" t="s">
        <v>2693</v>
      </c>
      <c r="D507" t="s">
        <v>2694</v>
      </c>
      <c r="E507" t="s">
        <v>2695</v>
      </c>
      <c r="F507" t="s">
        <v>7</v>
      </c>
      <c r="G507" t="s">
        <v>7</v>
      </c>
      <c r="H507" t="s">
        <v>56</v>
      </c>
      <c r="I507" t="s">
        <v>44</v>
      </c>
      <c r="J507" t="s">
        <v>2694</v>
      </c>
      <c r="K507" t="s">
        <v>32</v>
      </c>
      <c r="L507" t="s">
        <v>32</v>
      </c>
      <c r="M507" t="s">
        <v>36</v>
      </c>
      <c r="N507" t="s">
        <v>37</v>
      </c>
      <c r="O507" t="s">
        <v>66</v>
      </c>
      <c r="P507" t="s">
        <v>66</v>
      </c>
      <c r="Q507" t="s">
        <v>45</v>
      </c>
      <c r="R507" t="s">
        <v>2696</v>
      </c>
      <c r="S507" t="s">
        <v>32</v>
      </c>
      <c r="T507" s="2">
        <v>117.148622</v>
      </c>
      <c r="U507" s="2">
        <v>39.204838</v>
      </c>
    </row>
    <row r="508" spans="1:21">
      <c r="A508" t="s">
        <v>2697</v>
      </c>
      <c r="B508" t="s">
        <v>40</v>
      </c>
      <c r="C508" t="s">
        <v>546</v>
      </c>
      <c r="D508" t="s">
        <v>2698</v>
      </c>
      <c r="E508" t="s">
        <v>2699</v>
      </c>
      <c r="F508" t="s">
        <v>7</v>
      </c>
      <c r="G508" t="s">
        <v>7</v>
      </c>
      <c r="H508" t="s">
        <v>43</v>
      </c>
      <c r="I508" t="s">
        <v>94</v>
      </c>
      <c r="J508" t="s">
        <v>2698</v>
      </c>
      <c r="K508" t="s">
        <v>32</v>
      </c>
      <c r="L508" t="s">
        <v>32</v>
      </c>
      <c r="M508" t="s">
        <v>36</v>
      </c>
      <c r="N508" t="s">
        <v>37</v>
      </c>
      <c r="O508" t="s">
        <v>66</v>
      </c>
      <c r="P508" t="s">
        <v>66</v>
      </c>
      <c r="Q508" t="s">
        <v>45</v>
      </c>
      <c r="R508" t="s">
        <v>2700</v>
      </c>
      <c r="S508" t="s">
        <v>32</v>
      </c>
      <c r="T508" s="2">
        <v>117.021153</v>
      </c>
      <c r="U508" s="2">
        <v>39.094786</v>
      </c>
    </row>
    <row r="509" spans="1:21">
      <c r="A509" t="s">
        <v>2701</v>
      </c>
      <c r="B509" t="s">
        <v>2702</v>
      </c>
      <c r="C509" t="s">
        <v>2703</v>
      </c>
      <c r="D509" t="s">
        <v>2704</v>
      </c>
      <c r="E509" t="s">
        <v>2705</v>
      </c>
      <c r="F509" t="s">
        <v>7</v>
      </c>
      <c r="G509" t="s">
        <v>7</v>
      </c>
      <c r="H509" t="s">
        <v>50</v>
      </c>
      <c r="I509" t="s">
        <v>44</v>
      </c>
      <c r="J509" t="s">
        <v>2704</v>
      </c>
      <c r="K509" t="s">
        <v>32</v>
      </c>
      <c r="L509" t="s">
        <v>32</v>
      </c>
      <c r="M509" t="s">
        <v>36</v>
      </c>
      <c r="N509" t="s">
        <v>37</v>
      </c>
      <c r="O509" t="s">
        <v>66</v>
      </c>
      <c r="P509" t="s">
        <v>66</v>
      </c>
      <c r="Q509" t="s">
        <v>45</v>
      </c>
      <c r="R509" t="s">
        <v>2706</v>
      </c>
      <c r="S509" t="s">
        <v>32</v>
      </c>
      <c r="T509" s="2">
        <v>117.256191</v>
      </c>
      <c r="U509" s="2">
        <v>39.057155</v>
      </c>
    </row>
    <row r="510" spans="1:21">
      <c r="A510" t="s">
        <v>2707</v>
      </c>
      <c r="B510" t="s">
        <v>2708</v>
      </c>
      <c r="C510" t="s">
        <v>2709</v>
      </c>
      <c r="D510" t="s">
        <v>2710</v>
      </c>
      <c r="E510" t="s">
        <v>2711</v>
      </c>
      <c r="F510" t="s">
        <v>7</v>
      </c>
      <c r="G510" t="s">
        <v>7</v>
      </c>
      <c r="H510" t="s">
        <v>56</v>
      </c>
      <c r="I510" t="s">
        <v>239</v>
      </c>
      <c r="J510" t="s">
        <v>2710</v>
      </c>
      <c r="K510" t="s">
        <v>32</v>
      </c>
      <c r="L510" t="s">
        <v>32</v>
      </c>
      <c r="M510" t="s">
        <v>36</v>
      </c>
      <c r="N510" t="s">
        <v>37</v>
      </c>
      <c r="O510" t="s">
        <v>66</v>
      </c>
      <c r="P510" t="s">
        <v>66</v>
      </c>
      <c r="Q510" t="s">
        <v>74</v>
      </c>
      <c r="R510" t="s">
        <v>2712</v>
      </c>
      <c r="S510" t="s">
        <v>32</v>
      </c>
      <c r="T510" s="2">
        <v>117.131905</v>
      </c>
      <c r="U510" s="2">
        <v>39.261793</v>
      </c>
    </row>
    <row r="511" spans="1:21">
      <c r="A511" t="s">
        <v>2713</v>
      </c>
      <c r="B511" t="s">
        <v>2714</v>
      </c>
      <c r="C511" t="s">
        <v>2715</v>
      </c>
      <c r="D511" t="s">
        <v>32</v>
      </c>
      <c r="E511" t="s">
        <v>2716</v>
      </c>
      <c r="F511" t="s">
        <v>7</v>
      </c>
      <c r="G511" t="s">
        <v>7</v>
      </c>
      <c r="H511" t="s">
        <v>262</v>
      </c>
      <c r="I511" t="s">
        <v>51</v>
      </c>
      <c r="J511" t="s">
        <v>32</v>
      </c>
      <c r="K511" t="s">
        <v>32</v>
      </c>
      <c r="L511" t="s">
        <v>32</v>
      </c>
      <c r="M511" t="s">
        <v>36</v>
      </c>
      <c r="N511" t="s">
        <v>37</v>
      </c>
      <c r="O511" t="s">
        <v>66</v>
      </c>
      <c r="P511" t="s">
        <v>66</v>
      </c>
      <c r="Q511" t="s">
        <v>45</v>
      </c>
      <c r="R511" t="s">
        <v>2717</v>
      </c>
      <c r="S511" t="s">
        <v>32</v>
      </c>
      <c r="T511" s="2">
        <v>117.243559</v>
      </c>
      <c r="U511" s="2">
        <v>39.160045</v>
      </c>
    </row>
    <row r="512" spans="1:21">
      <c r="A512" t="s">
        <v>2718</v>
      </c>
      <c r="B512" t="s">
        <v>2719</v>
      </c>
      <c r="C512" t="s">
        <v>2720</v>
      </c>
      <c r="D512" t="s">
        <v>2721</v>
      </c>
      <c r="E512" t="s">
        <v>2722</v>
      </c>
      <c r="F512" t="s">
        <v>7</v>
      </c>
      <c r="G512" t="s">
        <v>7</v>
      </c>
      <c r="H512" t="s">
        <v>34</v>
      </c>
      <c r="I512" t="s">
        <v>350</v>
      </c>
      <c r="J512" t="s">
        <v>2721</v>
      </c>
      <c r="K512" t="s">
        <v>32</v>
      </c>
      <c r="L512" t="s">
        <v>32</v>
      </c>
      <c r="M512" t="s">
        <v>36</v>
      </c>
      <c r="N512" t="s">
        <v>37</v>
      </c>
      <c r="O512" t="s">
        <v>66</v>
      </c>
      <c r="P512" t="s">
        <v>66</v>
      </c>
      <c r="Q512" t="s">
        <v>45</v>
      </c>
      <c r="R512" t="s">
        <v>2723</v>
      </c>
      <c r="S512" t="s">
        <v>32</v>
      </c>
      <c r="T512" s="2">
        <v>117.1485</v>
      </c>
      <c r="U512" s="2">
        <v>39.116142</v>
      </c>
    </row>
    <row r="513" spans="1:21">
      <c r="A513" t="s">
        <v>2724</v>
      </c>
      <c r="B513" t="s">
        <v>2725</v>
      </c>
      <c r="C513" t="s">
        <v>237</v>
      </c>
      <c r="D513" t="s">
        <v>2726</v>
      </c>
      <c r="E513" t="s">
        <v>2727</v>
      </c>
      <c r="F513" t="s">
        <v>7</v>
      </c>
      <c r="G513" t="s">
        <v>7</v>
      </c>
      <c r="H513" t="s">
        <v>73</v>
      </c>
      <c r="I513" t="s">
        <v>593</v>
      </c>
      <c r="J513" t="s">
        <v>2726</v>
      </c>
      <c r="K513" t="s">
        <v>32</v>
      </c>
      <c r="L513" t="s">
        <v>32</v>
      </c>
      <c r="M513" t="s">
        <v>36</v>
      </c>
      <c r="N513" t="s">
        <v>37</v>
      </c>
      <c r="O513" t="s">
        <v>66</v>
      </c>
      <c r="P513" t="s">
        <v>66</v>
      </c>
      <c r="Q513" t="s">
        <v>57</v>
      </c>
      <c r="R513" t="s">
        <v>2728</v>
      </c>
      <c r="S513" t="s">
        <v>32</v>
      </c>
      <c r="T513" s="2">
        <v>117.300125</v>
      </c>
      <c r="U513" s="2">
        <v>39.145717</v>
      </c>
    </row>
    <row r="514" spans="1:21">
      <c r="A514" t="s">
        <v>2729</v>
      </c>
      <c r="B514" t="s">
        <v>2730</v>
      </c>
      <c r="C514" t="s">
        <v>2731</v>
      </c>
      <c r="D514" t="s">
        <v>2732</v>
      </c>
      <c r="E514" t="s">
        <v>2733</v>
      </c>
      <c r="F514" t="s">
        <v>7</v>
      </c>
      <c r="G514" t="s">
        <v>7</v>
      </c>
      <c r="H514" t="s">
        <v>50</v>
      </c>
      <c r="I514" t="s">
        <v>51</v>
      </c>
      <c r="J514" t="s">
        <v>2732</v>
      </c>
      <c r="K514" t="s">
        <v>32</v>
      </c>
      <c r="L514" t="s">
        <v>32</v>
      </c>
      <c r="M514" t="s">
        <v>36</v>
      </c>
      <c r="N514" t="s">
        <v>37</v>
      </c>
      <c r="O514" t="s">
        <v>66</v>
      </c>
      <c r="P514" t="s">
        <v>66</v>
      </c>
      <c r="Q514" t="s">
        <v>45</v>
      </c>
      <c r="R514" t="s">
        <v>2734</v>
      </c>
      <c r="S514" t="s">
        <v>32</v>
      </c>
      <c r="T514" s="2">
        <v>117.244848</v>
      </c>
      <c r="U514" s="2">
        <v>39.085633</v>
      </c>
    </row>
    <row r="515" spans="1:21">
      <c r="A515" t="s">
        <v>2735</v>
      </c>
      <c r="B515" t="s">
        <v>2736</v>
      </c>
      <c r="C515" t="s">
        <v>2737</v>
      </c>
      <c r="D515" t="s">
        <v>2738</v>
      </c>
      <c r="E515" t="s">
        <v>2739</v>
      </c>
      <c r="F515" t="s">
        <v>7</v>
      </c>
      <c r="G515" t="s">
        <v>7</v>
      </c>
      <c r="H515" t="s">
        <v>50</v>
      </c>
      <c r="I515" t="s">
        <v>51</v>
      </c>
      <c r="J515" t="s">
        <v>2738</v>
      </c>
      <c r="K515" t="s">
        <v>32</v>
      </c>
      <c r="L515" t="s">
        <v>32</v>
      </c>
      <c r="M515" t="s">
        <v>36</v>
      </c>
      <c r="N515" t="s">
        <v>37</v>
      </c>
      <c r="O515" t="s">
        <v>66</v>
      </c>
      <c r="P515" t="s">
        <v>66</v>
      </c>
      <c r="Q515" t="s">
        <v>45</v>
      </c>
      <c r="R515" t="s">
        <v>2740</v>
      </c>
      <c r="S515" t="s">
        <v>32</v>
      </c>
      <c r="T515" s="2">
        <v>117.248083</v>
      </c>
      <c r="U515" s="2">
        <v>39.063704</v>
      </c>
    </row>
    <row r="516" spans="1:21">
      <c r="A516" t="s">
        <v>2741</v>
      </c>
      <c r="B516" t="s">
        <v>374</v>
      </c>
      <c r="C516" t="s">
        <v>2742</v>
      </c>
      <c r="D516" t="s">
        <v>32</v>
      </c>
      <c r="E516" t="s">
        <v>2743</v>
      </c>
      <c r="F516" t="s">
        <v>7</v>
      </c>
      <c r="G516" t="s">
        <v>7</v>
      </c>
      <c r="H516" t="s">
        <v>56</v>
      </c>
      <c r="I516" t="s">
        <v>44</v>
      </c>
      <c r="J516" t="s">
        <v>32</v>
      </c>
      <c r="K516" t="s">
        <v>32</v>
      </c>
      <c r="L516" t="s">
        <v>32</v>
      </c>
      <c r="M516" t="s">
        <v>36</v>
      </c>
      <c r="N516" t="s">
        <v>37</v>
      </c>
      <c r="O516" t="s">
        <v>66</v>
      </c>
      <c r="P516" t="s">
        <v>66</v>
      </c>
      <c r="Q516" t="s">
        <v>45</v>
      </c>
      <c r="R516" t="s">
        <v>2744</v>
      </c>
      <c r="S516" t="s">
        <v>32</v>
      </c>
      <c r="T516" s="2">
        <v>117.122154</v>
      </c>
      <c r="U516" s="2">
        <v>39.213478</v>
      </c>
    </row>
    <row r="517" spans="1:21">
      <c r="A517" t="s">
        <v>2745</v>
      </c>
      <c r="B517" t="s">
        <v>2692</v>
      </c>
      <c r="C517" t="s">
        <v>2746</v>
      </c>
      <c r="D517" t="s">
        <v>2747</v>
      </c>
      <c r="E517" t="s">
        <v>2748</v>
      </c>
      <c r="F517" t="s">
        <v>7</v>
      </c>
      <c r="G517" t="s">
        <v>7</v>
      </c>
      <c r="H517" t="s">
        <v>56</v>
      </c>
      <c r="I517" t="s">
        <v>51</v>
      </c>
      <c r="J517" t="s">
        <v>2747</v>
      </c>
      <c r="K517" t="s">
        <v>32</v>
      </c>
      <c r="L517" t="s">
        <v>32</v>
      </c>
      <c r="M517" t="s">
        <v>36</v>
      </c>
      <c r="N517" t="s">
        <v>37</v>
      </c>
      <c r="O517" t="s">
        <v>66</v>
      </c>
      <c r="P517" t="s">
        <v>66</v>
      </c>
      <c r="Q517" t="s">
        <v>45</v>
      </c>
      <c r="R517" t="s">
        <v>2749</v>
      </c>
      <c r="S517" t="s">
        <v>32</v>
      </c>
      <c r="T517" s="2">
        <v>117.204792</v>
      </c>
      <c r="U517" s="2">
        <v>39.180561</v>
      </c>
    </row>
    <row r="518" spans="1:21">
      <c r="A518" t="s">
        <v>2750</v>
      </c>
      <c r="B518" t="s">
        <v>2751</v>
      </c>
      <c r="C518" t="s">
        <v>2752</v>
      </c>
      <c r="D518" t="s">
        <v>2753</v>
      </c>
      <c r="E518" t="s">
        <v>2754</v>
      </c>
      <c r="F518" t="s">
        <v>7</v>
      </c>
      <c r="G518" t="s">
        <v>7</v>
      </c>
      <c r="H518" t="s">
        <v>50</v>
      </c>
      <c r="I518" t="s">
        <v>51</v>
      </c>
      <c r="J518" t="s">
        <v>2753</v>
      </c>
      <c r="K518" t="s">
        <v>32</v>
      </c>
      <c r="L518" t="s">
        <v>32</v>
      </c>
      <c r="M518" t="s">
        <v>36</v>
      </c>
      <c r="N518" t="s">
        <v>37</v>
      </c>
      <c r="O518" t="s">
        <v>66</v>
      </c>
      <c r="P518" t="s">
        <v>66</v>
      </c>
      <c r="Q518" t="s">
        <v>45</v>
      </c>
      <c r="R518" t="s">
        <v>2755</v>
      </c>
      <c r="S518" t="s">
        <v>32</v>
      </c>
      <c r="T518" s="2">
        <v>117.199568</v>
      </c>
      <c r="U518" s="2">
        <v>39.095801</v>
      </c>
    </row>
    <row r="519" spans="1:21">
      <c r="A519" t="s">
        <v>2756</v>
      </c>
      <c r="B519" t="s">
        <v>97</v>
      </c>
      <c r="C519" t="s">
        <v>2757</v>
      </c>
      <c r="D519" t="s">
        <v>2758</v>
      </c>
      <c r="E519" t="s">
        <v>2759</v>
      </c>
      <c r="F519" t="s">
        <v>7</v>
      </c>
      <c r="G519" t="s">
        <v>7</v>
      </c>
      <c r="H519" t="s">
        <v>56</v>
      </c>
      <c r="I519" t="s">
        <v>350</v>
      </c>
      <c r="J519" t="s">
        <v>2758</v>
      </c>
      <c r="K519" t="s">
        <v>32</v>
      </c>
      <c r="L519" t="s">
        <v>32</v>
      </c>
      <c r="M519" t="s">
        <v>36</v>
      </c>
      <c r="N519" t="s">
        <v>37</v>
      </c>
      <c r="O519" t="s">
        <v>66</v>
      </c>
      <c r="P519" t="s">
        <v>66</v>
      </c>
      <c r="Q519" t="s">
        <v>45</v>
      </c>
      <c r="R519" t="s">
        <v>2760</v>
      </c>
      <c r="S519" t="s">
        <v>32</v>
      </c>
      <c r="T519" s="2">
        <v>117.128707</v>
      </c>
      <c r="U519" s="2">
        <v>39.179268</v>
      </c>
    </row>
    <row r="520" spans="1:21">
      <c r="A520" t="s">
        <v>2761</v>
      </c>
      <c r="B520" t="s">
        <v>2762</v>
      </c>
      <c r="C520" t="s">
        <v>2763</v>
      </c>
      <c r="D520" t="s">
        <v>2764</v>
      </c>
      <c r="E520" t="s">
        <v>2765</v>
      </c>
      <c r="F520" t="s">
        <v>7</v>
      </c>
      <c r="G520" t="s">
        <v>7</v>
      </c>
      <c r="H520" t="s">
        <v>133</v>
      </c>
      <c r="I520" t="s">
        <v>154</v>
      </c>
      <c r="J520" t="s">
        <v>2764</v>
      </c>
      <c r="K520" t="s">
        <v>32</v>
      </c>
      <c r="L520" t="s">
        <v>32</v>
      </c>
      <c r="M520" t="s">
        <v>36</v>
      </c>
      <c r="N520" t="s">
        <v>37</v>
      </c>
      <c r="O520" t="s">
        <v>66</v>
      </c>
      <c r="P520" t="s">
        <v>66</v>
      </c>
      <c r="Q520" t="s">
        <v>45</v>
      </c>
      <c r="R520" t="s">
        <v>2766</v>
      </c>
      <c r="S520" t="s">
        <v>32</v>
      </c>
      <c r="T520" s="2">
        <v>117.161483</v>
      </c>
      <c r="U520" s="2">
        <v>39.161081</v>
      </c>
    </row>
    <row r="521" spans="1:21">
      <c r="A521" t="s">
        <v>2767</v>
      </c>
      <c r="B521" t="s">
        <v>2768</v>
      </c>
      <c r="C521" t="s">
        <v>2769</v>
      </c>
      <c r="D521" t="s">
        <v>2770</v>
      </c>
      <c r="E521" t="s">
        <v>2771</v>
      </c>
      <c r="F521" t="s">
        <v>7</v>
      </c>
      <c r="G521" t="s">
        <v>7</v>
      </c>
      <c r="H521" t="s">
        <v>73</v>
      </c>
      <c r="I521" t="s">
        <v>51</v>
      </c>
      <c r="J521" t="s">
        <v>2770</v>
      </c>
      <c r="K521" t="s">
        <v>32</v>
      </c>
      <c r="L521" t="s">
        <v>32</v>
      </c>
      <c r="M521" t="s">
        <v>36</v>
      </c>
      <c r="N521" t="s">
        <v>37</v>
      </c>
      <c r="O521" t="s">
        <v>66</v>
      </c>
      <c r="P521" t="s">
        <v>66</v>
      </c>
      <c r="Q521" t="s">
        <v>74</v>
      </c>
      <c r="R521" t="s">
        <v>2772</v>
      </c>
      <c r="S521" t="s">
        <v>32</v>
      </c>
      <c r="T521" s="2">
        <v>117.34933</v>
      </c>
      <c r="U521" s="2">
        <v>39.167911</v>
      </c>
    </row>
    <row r="522" spans="1:21">
      <c r="A522" t="s">
        <v>2773</v>
      </c>
      <c r="B522" t="s">
        <v>2774</v>
      </c>
      <c r="C522" t="s">
        <v>2775</v>
      </c>
      <c r="D522" t="s">
        <v>2776</v>
      </c>
      <c r="E522" t="s">
        <v>2777</v>
      </c>
      <c r="F522" t="s">
        <v>7</v>
      </c>
      <c r="G522" t="s">
        <v>7</v>
      </c>
      <c r="H522" t="s">
        <v>43</v>
      </c>
      <c r="I522" t="s">
        <v>154</v>
      </c>
      <c r="J522" t="s">
        <v>2776</v>
      </c>
      <c r="K522" t="s">
        <v>32</v>
      </c>
      <c r="L522" t="s">
        <v>32</v>
      </c>
      <c r="M522" t="s">
        <v>36</v>
      </c>
      <c r="N522" t="s">
        <v>37</v>
      </c>
      <c r="O522" t="s">
        <v>66</v>
      </c>
      <c r="P522" t="s">
        <v>66</v>
      </c>
      <c r="Q522" t="s">
        <v>74</v>
      </c>
      <c r="R522" t="s">
        <v>2778</v>
      </c>
      <c r="S522" t="s">
        <v>32</v>
      </c>
      <c r="T522" s="2">
        <v>117.244993</v>
      </c>
      <c r="U522" s="2">
        <v>39.014904</v>
      </c>
    </row>
    <row r="523" spans="1:21">
      <c r="A523" t="s">
        <v>2779</v>
      </c>
      <c r="B523" t="s">
        <v>2780</v>
      </c>
      <c r="C523" t="s">
        <v>2781</v>
      </c>
      <c r="D523" t="s">
        <v>2782</v>
      </c>
      <c r="E523" t="s">
        <v>2783</v>
      </c>
      <c r="F523" t="s">
        <v>7</v>
      </c>
      <c r="G523" t="s">
        <v>7</v>
      </c>
      <c r="H523" t="s">
        <v>56</v>
      </c>
      <c r="I523" t="s">
        <v>51</v>
      </c>
      <c r="J523" t="s">
        <v>2782</v>
      </c>
      <c r="K523" t="s">
        <v>85</v>
      </c>
      <c r="L523" t="s">
        <v>595</v>
      </c>
      <c r="M523" t="s">
        <v>36</v>
      </c>
      <c r="N523" t="s">
        <v>37</v>
      </c>
      <c r="O523" t="s">
        <v>66</v>
      </c>
      <c r="P523" t="s">
        <v>66</v>
      </c>
      <c r="Q523" t="s">
        <v>74</v>
      </c>
      <c r="R523" t="s">
        <v>2784</v>
      </c>
      <c r="S523" t="s">
        <v>32</v>
      </c>
      <c r="T523" s="2">
        <v>117.10007</v>
      </c>
      <c r="U523" s="2">
        <v>39.22533</v>
      </c>
    </row>
    <row r="524" spans="1:21">
      <c r="A524" t="s">
        <v>2785</v>
      </c>
      <c r="B524" t="s">
        <v>2786</v>
      </c>
      <c r="C524" t="s">
        <v>2787</v>
      </c>
      <c r="D524" t="s">
        <v>2788</v>
      </c>
      <c r="E524" t="s">
        <v>2789</v>
      </c>
      <c r="F524" t="s">
        <v>7</v>
      </c>
      <c r="G524" t="s">
        <v>7</v>
      </c>
      <c r="H524" t="s">
        <v>43</v>
      </c>
      <c r="I524" t="s">
        <v>51</v>
      </c>
      <c r="J524" t="s">
        <v>2788</v>
      </c>
      <c r="K524" t="s">
        <v>32</v>
      </c>
      <c r="L524" t="s">
        <v>32</v>
      </c>
      <c r="M524" t="s">
        <v>36</v>
      </c>
      <c r="N524" t="s">
        <v>37</v>
      </c>
      <c r="O524" t="s">
        <v>66</v>
      </c>
      <c r="P524" t="s">
        <v>66</v>
      </c>
      <c r="Q524" t="s">
        <v>74</v>
      </c>
      <c r="R524" t="s">
        <v>2790</v>
      </c>
      <c r="S524" t="s">
        <v>32</v>
      </c>
      <c r="T524" s="2">
        <v>117.011017</v>
      </c>
      <c r="U524" s="2">
        <v>39.110246</v>
      </c>
    </row>
    <row r="525" spans="1:21">
      <c r="A525" t="s">
        <v>2791</v>
      </c>
      <c r="B525" t="s">
        <v>2792</v>
      </c>
      <c r="C525" t="s">
        <v>2793</v>
      </c>
      <c r="D525" t="s">
        <v>2794</v>
      </c>
      <c r="E525" t="s">
        <v>2795</v>
      </c>
      <c r="F525" t="s">
        <v>7</v>
      </c>
      <c r="G525" t="s">
        <v>7</v>
      </c>
      <c r="H525" t="s">
        <v>34</v>
      </c>
      <c r="I525" t="s">
        <v>350</v>
      </c>
      <c r="J525" t="s">
        <v>2794</v>
      </c>
      <c r="K525" t="s">
        <v>32</v>
      </c>
      <c r="L525" t="s">
        <v>32</v>
      </c>
      <c r="M525" t="s">
        <v>36</v>
      </c>
      <c r="N525" t="s">
        <v>37</v>
      </c>
      <c r="O525" t="s">
        <v>66</v>
      </c>
      <c r="P525" t="s">
        <v>66</v>
      </c>
      <c r="Q525" t="s">
        <v>57</v>
      </c>
      <c r="R525" t="s">
        <v>2796</v>
      </c>
      <c r="S525" t="s">
        <v>32</v>
      </c>
      <c r="T525" s="2">
        <v>117.115052</v>
      </c>
      <c r="U525" s="2">
        <v>39.133974</v>
      </c>
    </row>
    <row r="526" spans="1:21">
      <c r="A526" t="s">
        <v>2797</v>
      </c>
      <c r="B526" t="s">
        <v>40</v>
      </c>
      <c r="C526" t="s">
        <v>2798</v>
      </c>
      <c r="D526" t="s">
        <v>32</v>
      </c>
      <c r="E526" t="s">
        <v>2799</v>
      </c>
      <c r="F526" t="s">
        <v>7</v>
      </c>
      <c r="G526" t="s">
        <v>7</v>
      </c>
      <c r="H526" t="s">
        <v>56</v>
      </c>
      <c r="I526" t="s">
        <v>336</v>
      </c>
      <c r="J526" t="s">
        <v>32</v>
      </c>
      <c r="K526" t="s">
        <v>32</v>
      </c>
      <c r="L526" t="s">
        <v>32</v>
      </c>
      <c r="M526" t="s">
        <v>36</v>
      </c>
      <c r="N526" t="s">
        <v>37</v>
      </c>
      <c r="O526" t="s">
        <v>66</v>
      </c>
      <c r="P526" t="s">
        <v>66</v>
      </c>
      <c r="Q526" t="s">
        <v>74</v>
      </c>
      <c r="R526" t="s">
        <v>2800</v>
      </c>
      <c r="S526" t="s">
        <v>32</v>
      </c>
      <c r="T526" s="2">
        <v>117.222398</v>
      </c>
      <c r="U526" s="2">
        <v>39.23429</v>
      </c>
    </row>
    <row r="527" spans="1:21">
      <c r="A527" t="s">
        <v>2801</v>
      </c>
      <c r="B527" t="s">
        <v>2802</v>
      </c>
      <c r="C527" t="s">
        <v>2803</v>
      </c>
      <c r="D527" t="s">
        <v>2804</v>
      </c>
      <c r="E527" t="s">
        <v>2805</v>
      </c>
      <c r="F527" t="s">
        <v>7</v>
      </c>
      <c r="G527" t="s">
        <v>7</v>
      </c>
      <c r="H527" t="s">
        <v>50</v>
      </c>
      <c r="I527" t="s">
        <v>2161</v>
      </c>
      <c r="J527" t="s">
        <v>2804</v>
      </c>
      <c r="K527" t="s">
        <v>32</v>
      </c>
      <c r="L527" t="s">
        <v>32</v>
      </c>
      <c r="M527" t="s">
        <v>36</v>
      </c>
      <c r="N527" t="s">
        <v>37</v>
      </c>
      <c r="O527" t="s">
        <v>66</v>
      </c>
      <c r="P527" t="s">
        <v>66</v>
      </c>
      <c r="Q527" t="s">
        <v>74</v>
      </c>
      <c r="R527" t="s">
        <v>2806</v>
      </c>
      <c r="S527" t="s">
        <v>32</v>
      </c>
      <c r="T527" s="2">
        <v>117.204274</v>
      </c>
      <c r="U527" s="2">
        <v>39.103682</v>
      </c>
    </row>
    <row r="528" spans="1:21">
      <c r="A528" t="s">
        <v>2807</v>
      </c>
      <c r="B528" t="s">
        <v>40</v>
      </c>
      <c r="C528" t="s">
        <v>2808</v>
      </c>
      <c r="D528" t="s">
        <v>2809</v>
      </c>
      <c r="E528" t="s">
        <v>2810</v>
      </c>
      <c r="F528" t="s">
        <v>7</v>
      </c>
      <c r="G528" t="s">
        <v>7</v>
      </c>
      <c r="H528" t="s">
        <v>407</v>
      </c>
      <c r="I528" t="s">
        <v>189</v>
      </c>
      <c r="J528" t="s">
        <v>2809</v>
      </c>
      <c r="K528" t="s">
        <v>32</v>
      </c>
      <c r="L528" t="s">
        <v>32</v>
      </c>
      <c r="M528" t="s">
        <v>36</v>
      </c>
      <c r="N528" t="s">
        <v>37</v>
      </c>
      <c r="O528" t="s">
        <v>66</v>
      </c>
      <c r="P528" t="s">
        <v>66</v>
      </c>
      <c r="Q528" t="s">
        <v>74</v>
      </c>
      <c r="R528" t="s">
        <v>2811</v>
      </c>
      <c r="S528" t="s">
        <v>32</v>
      </c>
      <c r="T528" s="2">
        <v>117.194653</v>
      </c>
      <c r="U528" s="2">
        <v>39.113634</v>
      </c>
    </row>
    <row r="529" spans="1:21">
      <c r="A529" t="s">
        <v>2812</v>
      </c>
      <c r="B529" t="s">
        <v>2813</v>
      </c>
      <c r="C529" t="s">
        <v>2814</v>
      </c>
      <c r="D529" t="s">
        <v>2815</v>
      </c>
      <c r="E529" t="s">
        <v>2816</v>
      </c>
      <c r="F529" t="s">
        <v>7</v>
      </c>
      <c r="G529" t="s">
        <v>7</v>
      </c>
      <c r="H529" t="s">
        <v>43</v>
      </c>
      <c r="I529" t="s">
        <v>154</v>
      </c>
      <c r="J529" t="s">
        <v>2815</v>
      </c>
      <c r="K529" t="s">
        <v>32</v>
      </c>
      <c r="L529" t="s">
        <v>32</v>
      </c>
      <c r="M529" t="s">
        <v>36</v>
      </c>
      <c r="N529" t="s">
        <v>37</v>
      </c>
      <c r="O529" t="s">
        <v>66</v>
      </c>
      <c r="P529" t="s">
        <v>66</v>
      </c>
      <c r="Q529" t="s">
        <v>74</v>
      </c>
      <c r="R529" t="s">
        <v>2817</v>
      </c>
      <c r="S529" t="s">
        <v>32</v>
      </c>
      <c r="T529" s="2">
        <v>117.070666</v>
      </c>
      <c r="U529" s="2">
        <v>39.143673</v>
      </c>
    </row>
    <row r="530" spans="1:21">
      <c r="A530" t="s">
        <v>2818</v>
      </c>
      <c r="B530" t="s">
        <v>410</v>
      </c>
      <c r="C530" t="s">
        <v>2819</v>
      </c>
      <c r="D530" t="s">
        <v>32</v>
      </c>
      <c r="E530" t="s">
        <v>2820</v>
      </c>
      <c r="F530" t="s">
        <v>7</v>
      </c>
      <c r="G530" t="s">
        <v>7</v>
      </c>
      <c r="H530" t="s">
        <v>56</v>
      </c>
      <c r="I530" t="s">
        <v>189</v>
      </c>
      <c r="J530" t="s">
        <v>32</v>
      </c>
      <c r="K530" t="s">
        <v>32</v>
      </c>
      <c r="L530" t="s">
        <v>32</v>
      </c>
      <c r="M530" t="s">
        <v>36</v>
      </c>
      <c r="N530" t="s">
        <v>37</v>
      </c>
      <c r="O530" t="s">
        <v>66</v>
      </c>
      <c r="P530" t="s">
        <v>66</v>
      </c>
      <c r="Q530" t="s">
        <v>57</v>
      </c>
      <c r="R530" t="s">
        <v>2821</v>
      </c>
      <c r="S530" t="s">
        <v>32</v>
      </c>
      <c r="T530" s="2">
        <v>117.119398</v>
      </c>
      <c r="U530" s="2">
        <v>39.245288</v>
      </c>
    </row>
    <row r="531" spans="1:21">
      <c r="A531" t="s">
        <v>2822</v>
      </c>
      <c r="B531" t="s">
        <v>40</v>
      </c>
      <c r="C531" t="s">
        <v>54</v>
      </c>
      <c r="D531" t="s">
        <v>32</v>
      </c>
      <c r="E531" t="s">
        <v>2823</v>
      </c>
      <c r="F531" t="s">
        <v>7</v>
      </c>
      <c r="G531" t="s">
        <v>7</v>
      </c>
      <c r="H531" t="s">
        <v>56</v>
      </c>
      <c r="I531" t="s">
        <v>44</v>
      </c>
      <c r="J531" t="s">
        <v>32</v>
      </c>
      <c r="K531" t="s">
        <v>32</v>
      </c>
      <c r="L531" t="s">
        <v>32</v>
      </c>
      <c r="M531" t="s">
        <v>36</v>
      </c>
      <c r="N531" t="s">
        <v>37</v>
      </c>
      <c r="O531" t="s">
        <v>66</v>
      </c>
      <c r="P531" t="s">
        <v>66</v>
      </c>
      <c r="Q531" t="s">
        <v>57</v>
      </c>
      <c r="R531" t="s">
        <v>2824</v>
      </c>
      <c r="S531" t="s">
        <v>32</v>
      </c>
      <c r="T531" s="2">
        <v>117.126497</v>
      </c>
      <c r="U531" s="2">
        <v>39.236233</v>
      </c>
    </row>
    <row r="532" spans="1:21">
      <c r="A532" t="s">
        <v>2825</v>
      </c>
      <c r="B532" t="s">
        <v>374</v>
      </c>
      <c r="C532" t="s">
        <v>390</v>
      </c>
      <c r="D532" t="s">
        <v>32</v>
      </c>
      <c r="E532" t="s">
        <v>2826</v>
      </c>
      <c r="F532" t="s">
        <v>7</v>
      </c>
      <c r="G532" t="s">
        <v>7</v>
      </c>
      <c r="H532" t="s">
        <v>56</v>
      </c>
      <c r="I532" t="s">
        <v>44</v>
      </c>
      <c r="J532" t="s">
        <v>32</v>
      </c>
      <c r="K532" t="s">
        <v>32</v>
      </c>
      <c r="L532" t="s">
        <v>32</v>
      </c>
      <c r="M532" t="s">
        <v>36</v>
      </c>
      <c r="N532" t="s">
        <v>37</v>
      </c>
      <c r="O532" t="s">
        <v>66</v>
      </c>
      <c r="P532" t="s">
        <v>66</v>
      </c>
      <c r="Q532" t="s">
        <v>45</v>
      </c>
      <c r="R532" t="s">
        <v>2827</v>
      </c>
      <c r="S532" t="s">
        <v>32</v>
      </c>
      <c r="T532" s="2">
        <v>117.228126</v>
      </c>
      <c r="U532" s="2">
        <v>39.230079</v>
      </c>
    </row>
    <row r="533" spans="1:21">
      <c r="A533" t="s">
        <v>2828</v>
      </c>
      <c r="B533" t="s">
        <v>2829</v>
      </c>
      <c r="C533" t="s">
        <v>2830</v>
      </c>
      <c r="D533" t="s">
        <v>2831</v>
      </c>
      <c r="E533" t="s">
        <v>2832</v>
      </c>
      <c r="F533" t="s">
        <v>7</v>
      </c>
      <c r="G533" t="s">
        <v>7</v>
      </c>
      <c r="H533" t="s">
        <v>34</v>
      </c>
      <c r="I533" t="s">
        <v>274</v>
      </c>
      <c r="J533" t="s">
        <v>2831</v>
      </c>
      <c r="K533" t="s">
        <v>32</v>
      </c>
      <c r="L533" t="s">
        <v>32</v>
      </c>
      <c r="M533" t="s">
        <v>36</v>
      </c>
      <c r="N533" t="s">
        <v>37</v>
      </c>
      <c r="O533" t="s">
        <v>66</v>
      </c>
      <c r="P533" t="s">
        <v>66</v>
      </c>
      <c r="Q533" t="s">
        <v>74</v>
      </c>
      <c r="R533" t="s">
        <v>2833</v>
      </c>
      <c r="S533" t="s">
        <v>32</v>
      </c>
      <c r="T533" s="2">
        <v>117.121738</v>
      </c>
      <c r="U533" s="2">
        <v>39.140607</v>
      </c>
    </row>
    <row r="534" spans="1:21">
      <c r="A534" t="s">
        <v>2834</v>
      </c>
      <c r="B534" t="s">
        <v>40</v>
      </c>
      <c r="C534" t="s">
        <v>2835</v>
      </c>
      <c r="D534" t="s">
        <v>32</v>
      </c>
      <c r="E534" t="s">
        <v>2836</v>
      </c>
      <c r="F534" t="s">
        <v>7</v>
      </c>
      <c r="G534" t="s">
        <v>7</v>
      </c>
      <c r="H534" t="s">
        <v>262</v>
      </c>
      <c r="I534" t="s">
        <v>94</v>
      </c>
      <c r="J534" t="s">
        <v>32</v>
      </c>
      <c r="K534" t="s">
        <v>32</v>
      </c>
      <c r="L534" t="s">
        <v>32</v>
      </c>
      <c r="M534" t="s">
        <v>36</v>
      </c>
      <c r="N534" t="s">
        <v>37</v>
      </c>
      <c r="O534" t="s">
        <v>66</v>
      </c>
      <c r="P534" t="s">
        <v>66</v>
      </c>
      <c r="Q534" t="s">
        <v>74</v>
      </c>
      <c r="R534" t="s">
        <v>2837</v>
      </c>
      <c r="S534" t="s">
        <v>32</v>
      </c>
      <c r="T534" s="2">
        <v>117.202712</v>
      </c>
      <c r="U534" s="2">
        <v>39.161562</v>
      </c>
    </row>
    <row r="535" spans="1:21">
      <c r="A535" t="s">
        <v>2838</v>
      </c>
      <c r="B535" t="s">
        <v>40</v>
      </c>
      <c r="C535" t="s">
        <v>2839</v>
      </c>
      <c r="D535" t="s">
        <v>32</v>
      </c>
      <c r="E535" t="s">
        <v>2840</v>
      </c>
      <c r="F535" t="s">
        <v>7</v>
      </c>
      <c r="G535" t="s">
        <v>7</v>
      </c>
      <c r="H535" t="s">
        <v>262</v>
      </c>
      <c r="I535" t="s">
        <v>44</v>
      </c>
      <c r="J535" t="s">
        <v>32</v>
      </c>
      <c r="K535" t="s">
        <v>32</v>
      </c>
      <c r="L535" t="s">
        <v>32</v>
      </c>
      <c r="M535" t="s">
        <v>36</v>
      </c>
      <c r="N535" t="s">
        <v>37</v>
      </c>
      <c r="O535" t="s">
        <v>66</v>
      </c>
      <c r="P535" t="s">
        <v>66</v>
      </c>
      <c r="Q535" t="s">
        <v>45</v>
      </c>
      <c r="R535" t="s">
        <v>2841</v>
      </c>
      <c r="S535" t="s">
        <v>32</v>
      </c>
      <c r="T535" s="2">
        <v>117.213812</v>
      </c>
      <c r="U535" s="2">
        <v>39.162307</v>
      </c>
    </row>
    <row r="536" spans="1:21">
      <c r="A536" t="s">
        <v>2842</v>
      </c>
      <c r="B536" t="s">
        <v>40</v>
      </c>
      <c r="C536" t="s">
        <v>2843</v>
      </c>
      <c r="D536" t="s">
        <v>32</v>
      </c>
      <c r="E536" t="s">
        <v>2844</v>
      </c>
      <c r="F536" t="s">
        <v>7</v>
      </c>
      <c r="G536" t="s">
        <v>7</v>
      </c>
      <c r="H536" t="s">
        <v>43</v>
      </c>
      <c r="I536" t="s">
        <v>44</v>
      </c>
      <c r="J536" t="s">
        <v>32</v>
      </c>
      <c r="K536" t="s">
        <v>32</v>
      </c>
      <c r="L536" t="s">
        <v>32</v>
      </c>
      <c r="M536" t="s">
        <v>36</v>
      </c>
      <c r="N536" t="s">
        <v>37</v>
      </c>
      <c r="O536" t="s">
        <v>66</v>
      </c>
      <c r="P536" t="s">
        <v>66</v>
      </c>
      <c r="Q536" t="s">
        <v>45</v>
      </c>
      <c r="R536" t="s">
        <v>32</v>
      </c>
      <c r="S536" t="s">
        <v>32</v>
      </c>
      <c r="T536" s="2">
        <v>117.048857</v>
      </c>
      <c r="U536" s="2">
        <v>39.131801</v>
      </c>
    </row>
    <row r="537" spans="1:21">
      <c r="A537" t="s">
        <v>2845</v>
      </c>
      <c r="B537" t="s">
        <v>40</v>
      </c>
      <c r="C537" t="s">
        <v>2846</v>
      </c>
      <c r="D537" t="s">
        <v>32</v>
      </c>
      <c r="E537" t="s">
        <v>2847</v>
      </c>
      <c r="F537" t="s">
        <v>7</v>
      </c>
      <c r="G537" t="s">
        <v>7</v>
      </c>
      <c r="H537" t="s">
        <v>262</v>
      </c>
      <c r="I537" t="s">
        <v>94</v>
      </c>
      <c r="J537" t="s">
        <v>32</v>
      </c>
      <c r="K537" t="s">
        <v>32</v>
      </c>
      <c r="L537" t="s">
        <v>32</v>
      </c>
      <c r="M537" t="s">
        <v>36</v>
      </c>
      <c r="N537" t="s">
        <v>37</v>
      </c>
      <c r="O537" t="s">
        <v>66</v>
      </c>
      <c r="P537" t="s">
        <v>66</v>
      </c>
      <c r="Q537" t="s">
        <v>74</v>
      </c>
      <c r="R537" t="s">
        <v>2848</v>
      </c>
      <c r="S537" t="s">
        <v>32</v>
      </c>
      <c r="T537" s="2">
        <v>117.209291</v>
      </c>
      <c r="U537" s="2">
        <v>39.152158</v>
      </c>
    </row>
    <row r="538" spans="1:21">
      <c r="A538" t="s">
        <v>2849</v>
      </c>
      <c r="B538" t="s">
        <v>242</v>
      </c>
      <c r="C538" t="s">
        <v>2850</v>
      </c>
      <c r="D538" t="s">
        <v>2851</v>
      </c>
      <c r="E538" t="s">
        <v>2852</v>
      </c>
      <c r="F538" t="s">
        <v>7</v>
      </c>
      <c r="G538" t="s">
        <v>7</v>
      </c>
      <c r="H538" t="s">
        <v>43</v>
      </c>
      <c r="I538" t="s">
        <v>245</v>
      </c>
      <c r="J538" t="s">
        <v>2851</v>
      </c>
      <c r="K538" t="s">
        <v>32</v>
      </c>
      <c r="L538" t="s">
        <v>32</v>
      </c>
      <c r="M538" t="s">
        <v>36</v>
      </c>
      <c r="N538" t="s">
        <v>37</v>
      </c>
      <c r="O538" t="s">
        <v>66</v>
      </c>
      <c r="P538" t="s">
        <v>66</v>
      </c>
      <c r="Q538" t="s">
        <v>45</v>
      </c>
      <c r="R538" t="s">
        <v>2853</v>
      </c>
      <c r="S538" t="s">
        <v>32</v>
      </c>
      <c r="T538" s="2">
        <v>117.214029</v>
      </c>
      <c r="U538" s="2">
        <v>39.021704</v>
      </c>
    </row>
    <row r="539" spans="1:21">
      <c r="A539" t="s">
        <v>2854</v>
      </c>
      <c r="B539" t="s">
        <v>2855</v>
      </c>
      <c r="C539" t="s">
        <v>2856</v>
      </c>
      <c r="D539" t="s">
        <v>2857</v>
      </c>
      <c r="E539" t="s">
        <v>2858</v>
      </c>
      <c r="F539" t="s">
        <v>7</v>
      </c>
      <c r="G539" t="s">
        <v>7</v>
      </c>
      <c r="H539" t="s">
        <v>56</v>
      </c>
      <c r="I539" t="s">
        <v>51</v>
      </c>
      <c r="J539" t="s">
        <v>2857</v>
      </c>
      <c r="K539" t="s">
        <v>85</v>
      </c>
      <c r="L539" t="s">
        <v>1864</v>
      </c>
      <c r="M539" t="s">
        <v>36</v>
      </c>
      <c r="N539" t="s">
        <v>37</v>
      </c>
      <c r="O539" t="s">
        <v>66</v>
      </c>
      <c r="P539" t="s">
        <v>66</v>
      </c>
      <c r="Q539" t="s">
        <v>74</v>
      </c>
      <c r="R539" t="s">
        <v>2859</v>
      </c>
      <c r="S539" t="s">
        <v>32</v>
      </c>
      <c r="T539" s="2">
        <v>117.07763</v>
      </c>
      <c r="U539" s="2">
        <v>39.224186</v>
      </c>
    </row>
    <row r="540" spans="1:21">
      <c r="A540" t="s">
        <v>2860</v>
      </c>
      <c r="B540" t="s">
        <v>40</v>
      </c>
      <c r="C540" t="s">
        <v>2861</v>
      </c>
      <c r="D540" t="s">
        <v>32</v>
      </c>
      <c r="E540" t="s">
        <v>2862</v>
      </c>
      <c r="F540" t="s">
        <v>7</v>
      </c>
      <c r="G540" t="s">
        <v>7</v>
      </c>
      <c r="H540" t="s">
        <v>262</v>
      </c>
      <c r="I540" t="s">
        <v>350</v>
      </c>
      <c r="J540" t="s">
        <v>32</v>
      </c>
      <c r="K540" t="s">
        <v>32</v>
      </c>
      <c r="L540" t="s">
        <v>32</v>
      </c>
      <c r="M540" t="s">
        <v>36</v>
      </c>
      <c r="N540" t="s">
        <v>37</v>
      </c>
      <c r="O540" t="s">
        <v>66</v>
      </c>
      <c r="P540" t="s">
        <v>66</v>
      </c>
      <c r="Q540" t="s">
        <v>45</v>
      </c>
      <c r="R540" t="s">
        <v>2863</v>
      </c>
      <c r="S540" t="s">
        <v>32</v>
      </c>
      <c r="T540" s="2">
        <v>117.19642</v>
      </c>
      <c r="U540" s="2">
        <v>39.162043</v>
      </c>
    </row>
    <row r="541" spans="1:21">
      <c r="A541" t="s">
        <v>2864</v>
      </c>
      <c r="B541" t="s">
        <v>40</v>
      </c>
      <c r="C541" t="s">
        <v>2865</v>
      </c>
      <c r="D541" t="s">
        <v>32</v>
      </c>
      <c r="E541" t="s">
        <v>2866</v>
      </c>
      <c r="F541" t="s">
        <v>7</v>
      </c>
      <c r="G541" t="s">
        <v>7</v>
      </c>
      <c r="H541" t="s">
        <v>105</v>
      </c>
      <c r="I541" t="s">
        <v>44</v>
      </c>
      <c r="J541" t="s">
        <v>32</v>
      </c>
      <c r="K541" t="s">
        <v>32</v>
      </c>
      <c r="L541" t="s">
        <v>32</v>
      </c>
      <c r="M541" t="s">
        <v>36</v>
      </c>
      <c r="N541" t="s">
        <v>37</v>
      </c>
      <c r="O541" t="s">
        <v>66</v>
      </c>
      <c r="P541" t="s">
        <v>66</v>
      </c>
      <c r="Q541" t="s">
        <v>45</v>
      </c>
      <c r="R541" t="s">
        <v>2867</v>
      </c>
      <c r="S541" t="s">
        <v>32</v>
      </c>
      <c r="T541" s="2">
        <v>117.251584</v>
      </c>
      <c r="U541" s="2">
        <v>39.128294</v>
      </c>
    </row>
    <row r="542" spans="1:21">
      <c r="A542" t="s">
        <v>2868</v>
      </c>
      <c r="B542" t="s">
        <v>157</v>
      </c>
      <c r="C542" t="s">
        <v>2869</v>
      </c>
      <c r="D542" t="s">
        <v>2870</v>
      </c>
      <c r="E542" t="s">
        <v>2871</v>
      </c>
      <c r="F542" t="s">
        <v>7</v>
      </c>
      <c r="G542" t="s">
        <v>7</v>
      </c>
      <c r="H542" t="s">
        <v>43</v>
      </c>
      <c r="I542" t="s">
        <v>51</v>
      </c>
      <c r="J542" t="s">
        <v>2870</v>
      </c>
      <c r="K542" t="s">
        <v>32</v>
      </c>
      <c r="L542" t="s">
        <v>32</v>
      </c>
      <c r="M542" t="s">
        <v>36</v>
      </c>
      <c r="N542" t="s">
        <v>37</v>
      </c>
      <c r="O542" t="s">
        <v>66</v>
      </c>
      <c r="P542" t="s">
        <v>66</v>
      </c>
      <c r="Q542" t="s">
        <v>74</v>
      </c>
      <c r="R542" t="s">
        <v>2872</v>
      </c>
      <c r="S542" t="s">
        <v>32</v>
      </c>
      <c r="T542" s="2">
        <v>117.065795</v>
      </c>
      <c r="U542" s="2">
        <v>39.109797</v>
      </c>
    </row>
    <row r="543" spans="1:21">
      <c r="A543" t="s">
        <v>2873</v>
      </c>
      <c r="B543" t="s">
        <v>40</v>
      </c>
      <c r="C543" t="s">
        <v>2874</v>
      </c>
      <c r="D543" t="s">
        <v>32</v>
      </c>
      <c r="E543" t="s">
        <v>2875</v>
      </c>
      <c r="F543" t="s">
        <v>7</v>
      </c>
      <c r="G543" t="s">
        <v>7</v>
      </c>
      <c r="H543" t="s">
        <v>43</v>
      </c>
      <c r="I543" t="s">
        <v>593</v>
      </c>
      <c r="J543" t="s">
        <v>32</v>
      </c>
      <c r="K543" t="s">
        <v>32</v>
      </c>
      <c r="L543" t="s">
        <v>32</v>
      </c>
      <c r="M543" t="s">
        <v>36</v>
      </c>
      <c r="N543" t="s">
        <v>37</v>
      </c>
      <c r="O543" t="s">
        <v>66</v>
      </c>
      <c r="P543" t="s">
        <v>66</v>
      </c>
      <c r="Q543" t="s">
        <v>74</v>
      </c>
      <c r="R543" t="s">
        <v>2876</v>
      </c>
      <c r="S543" t="s">
        <v>32</v>
      </c>
      <c r="T543" s="2">
        <v>117.248993</v>
      </c>
      <c r="U543" s="2">
        <v>38.980822</v>
      </c>
    </row>
    <row r="544" spans="1:21">
      <c r="A544" t="s">
        <v>2877</v>
      </c>
      <c r="B544" t="s">
        <v>374</v>
      </c>
      <c r="C544" t="s">
        <v>2210</v>
      </c>
      <c r="D544" t="s">
        <v>32</v>
      </c>
      <c r="E544" t="s">
        <v>2878</v>
      </c>
      <c r="F544" t="s">
        <v>7</v>
      </c>
      <c r="G544" t="s">
        <v>7</v>
      </c>
      <c r="H544" t="s">
        <v>56</v>
      </c>
      <c r="I544" t="s">
        <v>44</v>
      </c>
      <c r="J544" t="s">
        <v>32</v>
      </c>
      <c r="K544" t="s">
        <v>32</v>
      </c>
      <c r="L544" t="s">
        <v>32</v>
      </c>
      <c r="M544" t="s">
        <v>36</v>
      </c>
      <c r="N544" t="s">
        <v>37</v>
      </c>
      <c r="O544" t="s">
        <v>66</v>
      </c>
      <c r="P544" t="s">
        <v>66</v>
      </c>
      <c r="Q544" t="s">
        <v>74</v>
      </c>
      <c r="R544" t="s">
        <v>2879</v>
      </c>
      <c r="S544" t="s">
        <v>32</v>
      </c>
      <c r="T544" s="2">
        <v>117.207884</v>
      </c>
      <c r="U544" s="2">
        <v>39.227922</v>
      </c>
    </row>
    <row r="545" spans="1:21">
      <c r="A545" t="s">
        <v>2880</v>
      </c>
      <c r="B545" t="s">
        <v>40</v>
      </c>
      <c r="C545" t="s">
        <v>2881</v>
      </c>
      <c r="D545" t="s">
        <v>32</v>
      </c>
      <c r="E545" t="s">
        <v>2882</v>
      </c>
      <c r="F545" t="s">
        <v>7</v>
      </c>
      <c r="G545" t="s">
        <v>7</v>
      </c>
      <c r="H545" t="s">
        <v>262</v>
      </c>
      <c r="I545" t="s">
        <v>44</v>
      </c>
      <c r="J545" t="s">
        <v>2883</v>
      </c>
      <c r="K545" t="s">
        <v>32</v>
      </c>
      <c r="L545" t="s">
        <v>32</v>
      </c>
      <c r="M545" t="s">
        <v>36</v>
      </c>
      <c r="N545" t="s">
        <v>37</v>
      </c>
      <c r="O545" t="s">
        <v>66</v>
      </c>
      <c r="P545" t="s">
        <v>66</v>
      </c>
      <c r="Q545" t="s">
        <v>74</v>
      </c>
      <c r="R545" t="s">
        <v>2884</v>
      </c>
      <c r="S545" t="s">
        <v>32</v>
      </c>
      <c r="T545" s="2">
        <v>117.213289</v>
      </c>
      <c r="U545" s="2">
        <v>39.184001</v>
      </c>
    </row>
    <row r="546" spans="1:21">
      <c r="A546" t="s">
        <v>2885</v>
      </c>
      <c r="B546" t="s">
        <v>2886</v>
      </c>
      <c r="C546" t="s">
        <v>2887</v>
      </c>
      <c r="D546" t="s">
        <v>2888</v>
      </c>
      <c r="E546" t="s">
        <v>2889</v>
      </c>
      <c r="F546" t="s">
        <v>7</v>
      </c>
      <c r="G546" t="s">
        <v>7</v>
      </c>
      <c r="H546" t="s">
        <v>43</v>
      </c>
      <c r="I546" t="s">
        <v>154</v>
      </c>
      <c r="J546" t="s">
        <v>2888</v>
      </c>
      <c r="K546" t="s">
        <v>32</v>
      </c>
      <c r="L546" t="s">
        <v>32</v>
      </c>
      <c r="M546" t="s">
        <v>36</v>
      </c>
      <c r="N546" t="s">
        <v>37</v>
      </c>
      <c r="O546" t="s">
        <v>66</v>
      </c>
      <c r="P546" t="s">
        <v>66</v>
      </c>
      <c r="Q546" t="s">
        <v>74</v>
      </c>
      <c r="R546" t="s">
        <v>2890</v>
      </c>
      <c r="S546" t="s">
        <v>32</v>
      </c>
      <c r="T546" s="2">
        <v>117.01277</v>
      </c>
      <c r="U546" s="2">
        <v>39.095937</v>
      </c>
    </row>
    <row r="547" spans="1:21">
      <c r="A547" t="s">
        <v>2891</v>
      </c>
      <c r="B547" t="s">
        <v>2892</v>
      </c>
      <c r="C547" t="s">
        <v>2893</v>
      </c>
      <c r="D547" t="s">
        <v>2894</v>
      </c>
      <c r="E547" t="s">
        <v>2895</v>
      </c>
      <c r="F547" t="s">
        <v>7</v>
      </c>
      <c r="G547" t="s">
        <v>7</v>
      </c>
      <c r="H547" t="s">
        <v>43</v>
      </c>
      <c r="I547" t="s">
        <v>51</v>
      </c>
      <c r="J547" t="s">
        <v>2894</v>
      </c>
      <c r="K547" t="s">
        <v>32</v>
      </c>
      <c r="L547" t="s">
        <v>32</v>
      </c>
      <c r="M547" t="s">
        <v>36</v>
      </c>
      <c r="N547" t="s">
        <v>37</v>
      </c>
      <c r="O547" t="s">
        <v>66</v>
      </c>
      <c r="P547" t="s">
        <v>66</v>
      </c>
      <c r="Q547" t="s">
        <v>74</v>
      </c>
      <c r="R547" t="s">
        <v>2896</v>
      </c>
      <c r="S547" t="s">
        <v>32</v>
      </c>
      <c r="T547" s="2">
        <v>117.083342</v>
      </c>
      <c r="U547" s="2">
        <v>39.030535</v>
      </c>
    </row>
    <row r="548" spans="1:21">
      <c r="A548" t="s">
        <v>2897</v>
      </c>
      <c r="B548" t="s">
        <v>2898</v>
      </c>
      <c r="C548" t="s">
        <v>2016</v>
      </c>
      <c r="D548" t="s">
        <v>2899</v>
      </c>
      <c r="E548" t="s">
        <v>2900</v>
      </c>
      <c r="F548" t="s">
        <v>7</v>
      </c>
      <c r="G548" t="s">
        <v>7</v>
      </c>
      <c r="H548" t="s">
        <v>63</v>
      </c>
      <c r="I548" t="s">
        <v>51</v>
      </c>
      <c r="J548" t="s">
        <v>2899</v>
      </c>
      <c r="K548" t="s">
        <v>32</v>
      </c>
      <c r="L548" t="s">
        <v>32</v>
      </c>
      <c r="M548" t="s">
        <v>36</v>
      </c>
      <c r="N548" t="s">
        <v>37</v>
      </c>
      <c r="O548" t="s">
        <v>66</v>
      </c>
      <c r="P548" t="s">
        <v>66</v>
      </c>
      <c r="Q548" t="s">
        <v>74</v>
      </c>
      <c r="R548" t="s">
        <v>2901</v>
      </c>
      <c r="S548" t="s">
        <v>32</v>
      </c>
      <c r="T548" s="2">
        <v>117.344943</v>
      </c>
      <c r="U548" s="2">
        <v>39.027873</v>
      </c>
    </row>
    <row r="549" spans="1:21">
      <c r="A549" t="s">
        <v>2902</v>
      </c>
      <c r="B549" t="s">
        <v>2903</v>
      </c>
      <c r="C549" t="s">
        <v>2904</v>
      </c>
      <c r="D549" t="s">
        <v>2905</v>
      </c>
      <c r="E549" t="s">
        <v>2906</v>
      </c>
      <c r="F549" t="s">
        <v>7</v>
      </c>
      <c r="G549" t="s">
        <v>7</v>
      </c>
      <c r="H549" t="s">
        <v>43</v>
      </c>
      <c r="I549" t="s">
        <v>51</v>
      </c>
      <c r="J549" t="s">
        <v>2905</v>
      </c>
      <c r="K549" t="s">
        <v>32</v>
      </c>
      <c r="L549" t="s">
        <v>32</v>
      </c>
      <c r="M549" t="s">
        <v>36</v>
      </c>
      <c r="N549" t="s">
        <v>37</v>
      </c>
      <c r="O549" t="s">
        <v>66</v>
      </c>
      <c r="P549" t="s">
        <v>66</v>
      </c>
      <c r="Q549" t="s">
        <v>74</v>
      </c>
      <c r="R549" t="s">
        <v>2907</v>
      </c>
      <c r="S549" t="s">
        <v>32</v>
      </c>
      <c r="T549" s="2">
        <v>117.201837</v>
      </c>
      <c r="U549" s="2">
        <v>39.025926</v>
      </c>
    </row>
    <row r="550" spans="1:21">
      <c r="A550" t="s">
        <v>2908</v>
      </c>
      <c r="B550" t="s">
        <v>40</v>
      </c>
      <c r="C550" t="s">
        <v>1956</v>
      </c>
      <c r="D550" t="s">
        <v>32</v>
      </c>
      <c r="E550" t="s">
        <v>2909</v>
      </c>
      <c r="F550" t="s">
        <v>7</v>
      </c>
      <c r="G550" t="s">
        <v>7</v>
      </c>
      <c r="H550" t="s">
        <v>43</v>
      </c>
      <c r="I550" t="s">
        <v>44</v>
      </c>
      <c r="J550" t="s">
        <v>32</v>
      </c>
      <c r="K550" t="s">
        <v>32</v>
      </c>
      <c r="L550" t="s">
        <v>32</v>
      </c>
      <c r="M550" t="s">
        <v>36</v>
      </c>
      <c r="N550" t="s">
        <v>37</v>
      </c>
      <c r="O550" t="s">
        <v>66</v>
      </c>
      <c r="P550" t="s">
        <v>66</v>
      </c>
      <c r="Q550" t="s">
        <v>74</v>
      </c>
      <c r="R550" t="s">
        <v>2910</v>
      </c>
      <c r="S550" t="s">
        <v>32</v>
      </c>
      <c r="T550" s="2">
        <v>117.082952</v>
      </c>
      <c r="U550" s="2">
        <v>39.020611</v>
      </c>
    </row>
    <row r="551" spans="1:21">
      <c r="A551" t="s">
        <v>2911</v>
      </c>
      <c r="B551" t="s">
        <v>2912</v>
      </c>
      <c r="C551" t="s">
        <v>2913</v>
      </c>
      <c r="D551" t="s">
        <v>2914</v>
      </c>
      <c r="E551" t="s">
        <v>2915</v>
      </c>
      <c r="F551" t="s">
        <v>7</v>
      </c>
      <c r="G551" t="s">
        <v>7</v>
      </c>
      <c r="H551" t="s">
        <v>2916</v>
      </c>
      <c r="I551" t="s">
        <v>51</v>
      </c>
      <c r="J551" t="s">
        <v>2914</v>
      </c>
      <c r="K551" t="s">
        <v>32</v>
      </c>
      <c r="L551" t="s">
        <v>32</v>
      </c>
      <c r="M551" t="s">
        <v>36</v>
      </c>
      <c r="N551" t="s">
        <v>37</v>
      </c>
      <c r="O551" t="s">
        <v>66</v>
      </c>
      <c r="P551" t="s">
        <v>66</v>
      </c>
      <c r="Q551" t="s">
        <v>74</v>
      </c>
      <c r="R551" t="s">
        <v>2917</v>
      </c>
      <c r="S551" t="s">
        <v>32</v>
      </c>
      <c r="T551" s="2">
        <v>117.01118</v>
      </c>
      <c r="U551" s="2">
        <v>39.155731</v>
      </c>
    </row>
    <row r="552" spans="1:21">
      <c r="A552" t="s">
        <v>2918</v>
      </c>
      <c r="B552" t="s">
        <v>40</v>
      </c>
      <c r="C552" t="s">
        <v>2919</v>
      </c>
      <c r="D552" t="s">
        <v>32</v>
      </c>
      <c r="E552" t="s">
        <v>2920</v>
      </c>
      <c r="F552" t="s">
        <v>7</v>
      </c>
      <c r="G552" t="s">
        <v>7</v>
      </c>
      <c r="H552" t="s">
        <v>43</v>
      </c>
      <c r="I552" t="s">
        <v>94</v>
      </c>
      <c r="J552" t="s">
        <v>32</v>
      </c>
      <c r="K552" t="s">
        <v>32</v>
      </c>
      <c r="L552" t="s">
        <v>32</v>
      </c>
      <c r="M552" t="s">
        <v>36</v>
      </c>
      <c r="N552" t="s">
        <v>37</v>
      </c>
      <c r="O552" t="s">
        <v>66</v>
      </c>
      <c r="P552" t="s">
        <v>66</v>
      </c>
      <c r="Q552" t="s">
        <v>74</v>
      </c>
      <c r="R552" t="s">
        <v>2921</v>
      </c>
      <c r="S552" t="s">
        <v>32</v>
      </c>
      <c r="T552" s="2">
        <v>117.034005</v>
      </c>
      <c r="U552" s="2">
        <v>39.142038</v>
      </c>
    </row>
    <row r="553" spans="1:21">
      <c r="A553" t="s">
        <v>2922</v>
      </c>
      <c r="B553" t="s">
        <v>2923</v>
      </c>
      <c r="C553" t="s">
        <v>2924</v>
      </c>
      <c r="D553" t="s">
        <v>2925</v>
      </c>
      <c r="E553" t="s">
        <v>2926</v>
      </c>
      <c r="F553" t="s">
        <v>7</v>
      </c>
      <c r="G553" t="s">
        <v>7</v>
      </c>
      <c r="H553" t="s">
        <v>56</v>
      </c>
      <c r="I553" t="s">
        <v>51</v>
      </c>
      <c r="J553" t="s">
        <v>2925</v>
      </c>
      <c r="K553" t="s">
        <v>32</v>
      </c>
      <c r="L553" t="s">
        <v>32</v>
      </c>
      <c r="M553" t="s">
        <v>36</v>
      </c>
      <c r="N553" t="s">
        <v>37</v>
      </c>
      <c r="O553" t="s">
        <v>66</v>
      </c>
      <c r="P553" t="s">
        <v>66</v>
      </c>
      <c r="Q553" t="s">
        <v>74</v>
      </c>
      <c r="R553" t="s">
        <v>2927</v>
      </c>
      <c r="S553" t="s">
        <v>32</v>
      </c>
      <c r="T553" s="2">
        <v>117.094096</v>
      </c>
      <c r="U553" s="2">
        <v>39.180128</v>
      </c>
    </row>
    <row r="554" spans="1:21">
      <c r="A554" t="s">
        <v>2928</v>
      </c>
      <c r="B554" t="s">
        <v>2929</v>
      </c>
      <c r="C554" t="s">
        <v>2930</v>
      </c>
      <c r="D554" t="s">
        <v>2931</v>
      </c>
      <c r="E554" t="s">
        <v>2932</v>
      </c>
      <c r="F554" t="s">
        <v>7</v>
      </c>
      <c r="G554" t="s">
        <v>7</v>
      </c>
      <c r="H554" t="s">
        <v>56</v>
      </c>
      <c r="I554" t="s">
        <v>51</v>
      </c>
      <c r="J554" t="s">
        <v>2931</v>
      </c>
      <c r="K554" t="s">
        <v>32</v>
      </c>
      <c r="L554" t="s">
        <v>32</v>
      </c>
      <c r="M554" t="s">
        <v>36</v>
      </c>
      <c r="N554" t="s">
        <v>37</v>
      </c>
      <c r="O554" t="s">
        <v>66</v>
      </c>
      <c r="P554" t="s">
        <v>66</v>
      </c>
      <c r="Q554" t="s">
        <v>74</v>
      </c>
      <c r="R554" t="s">
        <v>2933</v>
      </c>
      <c r="S554" t="s">
        <v>32</v>
      </c>
      <c r="T554" s="2">
        <v>117.004369</v>
      </c>
      <c r="U554" s="2">
        <v>39.196655</v>
      </c>
    </row>
    <row r="555" spans="1:21">
      <c r="A555" t="s">
        <v>2934</v>
      </c>
      <c r="B555" t="s">
        <v>40</v>
      </c>
      <c r="C555" t="s">
        <v>2935</v>
      </c>
      <c r="D555" t="s">
        <v>32</v>
      </c>
      <c r="E555" t="s">
        <v>2936</v>
      </c>
      <c r="F555" t="s">
        <v>7</v>
      </c>
      <c r="G555" t="s">
        <v>7</v>
      </c>
      <c r="H555" t="s">
        <v>43</v>
      </c>
      <c r="I555" t="s">
        <v>44</v>
      </c>
      <c r="J555" t="s">
        <v>32</v>
      </c>
      <c r="K555" t="s">
        <v>32</v>
      </c>
      <c r="L555" t="s">
        <v>32</v>
      </c>
      <c r="M555" t="s">
        <v>36</v>
      </c>
      <c r="N555" t="s">
        <v>37</v>
      </c>
      <c r="O555" t="s">
        <v>66</v>
      </c>
      <c r="P555" t="s">
        <v>66</v>
      </c>
      <c r="Q555" t="s">
        <v>74</v>
      </c>
      <c r="R555" t="s">
        <v>2937</v>
      </c>
      <c r="S555" t="s">
        <v>32</v>
      </c>
      <c r="T555" s="2">
        <v>117.100798</v>
      </c>
      <c r="U555" s="2">
        <v>39.135274</v>
      </c>
    </row>
    <row r="556" spans="1:21">
      <c r="A556" t="s">
        <v>2938</v>
      </c>
      <c r="B556" t="s">
        <v>2939</v>
      </c>
      <c r="C556" t="s">
        <v>2819</v>
      </c>
      <c r="D556" t="s">
        <v>32</v>
      </c>
      <c r="E556" t="s">
        <v>2940</v>
      </c>
      <c r="F556" t="s">
        <v>7</v>
      </c>
      <c r="G556" t="s">
        <v>7</v>
      </c>
      <c r="H556" t="s">
        <v>56</v>
      </c>
      <c r="I556" t="s">
        <v>189</v>
      </c>
      <c r="J556" t="s">
        <v>32</v>
      </c>
      <c r="K556" t="s">
        <v>32</v>
      </c>
      <c r="L556" t="s">
        <v>32</v>
      </c>
      <c r="M556" t="s">
        <v>36</v>
      </c>
      <c r="N556" t="s">
        <v>37</v>
      </c>
      <c r="O556" t="s">
        <v>66</v>
      </c>
      <c r="P556" t="s">
        <v>66</v>
      </c>
      <c r="Q556" t="s">
        <v>74</v>
      </c>
      <c r="R556" t="s">
        <v>2821</v>
      </c>
      <c r="S556" t="s">
        <v>32</v>
      </c>
      <c r="T556" s="2">
        <v>117.110657</v>
      </c>
      <c r="U556" s="2">
        <v>39.190299</v>
      </c>
    </row>
    <row r="557" spans="1:21">
      <c r="A557" t="s">
        <v>2941</v>
      </c>
      <c r="B557" t="s">
        <v>40</v>
      </c>
      <c r="C557" t="s">
        <v>179</v>
      </c>
      <c r="D557" t="s">
        <v>32</v>
      </c>
      <c r="E557" t="s">
        <v>2942</v>
      </c>
      <c r="F557" t="s">
        <v>7</v>
      </c>
      <c r="G557" t="s">
        <v>7</v>
      </c>
      <c r="H557" t="s">
        <v>262</v>
      </c>
      <c r="I557" t="s">
        <v>94</v>
      </c>
      <c r="J557" t="s">
        <v>32</v>
      </c>
      <c r="K557" t="s">
        <v>32</v>
      </c>
      <c r="L557" t="s">
        <v>32</v>
      </c>
      <c r="M557" t="s">
        <v>36</v>
      </c>
      <c r="N557" t="s">
        <v>37</v>
      </c>
      <c r="O557" t="s">
        <v>66</v>
      </c>
      <c r="P557" t="s">
        <v>66</v>
      </c>
      <c r="Q557" t="s">
        <v>74</v>
      </c>
      <c r="R557" t="s">
        <v>2236</v>
      </c>
      <c r="S557" t="s">
        <v>32</v>
      </c>
      <c r="T557" s="2">
        <v>117.195122</v>
      </c>
      <c r="U557" s="2">
        <v>39.158967</v>
      </c>
    </row>
    <row r="558" spans="1:21">
      <c r="A558" t="s">
        <v>2943</v>
      </c>
      <c r="B558" t="s">
        <v>2175</v>
      </c>
      <c r="C558" t="s">
        <v>2944</v>
      </c>
      <c r="D558" t="s">
        <v>2945</v>
      </c>
      <c r="E558" t="s">
        <v>2946</v>
      </c>
      <c r="F558" t="s">
        <v>7</v>
      </c>
      <c r="G558" t="s">
        <v>7</v>
      </c>
      <c r="H558" t="s">
        <v>43</v>
      </c>
      <c r="I558" t="s">
        <v>51</v>
      </c>
      <c r="J558" t="s">
        <v>2945</v>
      </c>
      <c r="K558" t="s">
        <v>32</v>
      </c>
      <c r="L558" t="s">
        <v>32</v>
      </c>
      <c r="M558" t="s">
        <v>36</v>
      </c>
      <c r="N558" t="s">
        <v>37</v>
      </c>
      <c r="O558" t="s">
        <v>66</v>
      </c>
      <c r="P558" t="s">
        <v>66</v>
      </c>
      <c r="Q558" t="s">
        <v>74</v>
      </c>
      <c r="R558" t="s">
        <v>2947</v>
      </c>
      <c r="S558" t="s">
        <v>32</v>
      </c>
      <c r="T558" s="2">
        <v>117.066584</v>
      </c>
      <c r="U558" s="2">
        <v>39.146146</v>
      </c>
    </row>
    <row r="559" spans="1:21">
      <c r="A559" t="s">
        <v>2948</v>
      </c>
      <c r="B559" t="s">
        <v>2949</v>
      </c>
      <c r="C559" t="s">
        <v>2950</v>
      </c>
      <c r="D559" t="s">
        <v>2951</v>
      </c>
      <c r="E559" t="s">
        <v>2952</v>
      </c>
      <c r="F559" t="s">
        <v>7</v>
      </c>
      <c r="G559" t="s">
        <v>7</v>
      </c>
      <c r="H559" t="s">
        <v>56</v>
      </c>
      <c r="I559" t="s">
        <v>154</v>
      </c>
      <c r="J559" t="s">
        <v>2951</v>
      </c>
      <c r="K559" t="s">
        <v>32</v>
      </c>
      <c r="L559" t="s">
        <v>32</v>
      </c>
      <c r="M559" t="s">
        <v>36</v>
      </c>
      <c r="N559" t="s">
        <v>37</v>
      </c>
      <c r="O559" t="s">
        <v>66</v>
      </c>
      <c r="P559" t="s">
        <v>66</v>
      </c>
      <c r="Q559" t="s">
        <v>74</v>
      </c>
      <c r="R559" t="s">
        <v>2953</v>
      </c>
      <c r="S559" t="s">
        <v>32</v>
      </c>
      <c r="T559" s="2">
        <v>117.129737</v>
      </c>
      <c r="U559" s="2">
        <v>39.260033</v>
      </c>
    </row>
    <row r="560" spans="1:21">
      <c r="A560" t="s">
        <v>2954</v>
      </c>
      <c r="B560" t="s">
        <v>2955</v>
      </c>
      <c r="C560" t="s">
        <v>2956</v>
      </c>
      <c r="D560" t="s">
        <v>2957</v>
      </c>
      <c r="E560" t="s">
        <v>2958</v>
      </c>
      <c r="F560" t="s">
        <v>7</v>
      </c>
      <c r="G560" t="s">
        <v>7</v>
      </c>
      <c r="H560" t="s">
        <v>73</v>
      </c>
      <c r="I560" t="s">
        <v>189</v>
      </c>
      <c r="J560" t="s">
        <v>2957</v>
      </c>
      <c r="K560" t="s">
        <v>32</v>
      </c>
      <c r="L560" t="s">
        <v>32</v>
      </c>
      <c r="M560" t="s">
        <v>36</v>
      </c>
      <c r="N560" t="s">
        <v>37</v>
      </c>
      <c r="O560" t="s">
        <v>66</v>
      </c>
      <c r="P560" t="s">
        <v>66</v>
      </c>
      <c r="Q560" t="s">
        <v>74</v>
      </c>
      <c r="R560" t="s">
        <v>2959</v>
      </c>
      <c r="S560" t="s">
        <v>32</v>
      </c>
      <c r="T560" s="2">
        <v>117.362782</v>
      </c>
      <c r="U560" s="2">
        <v>39.073463</v>
      </c>
    </row>
    <row r="561" spans="1:21">
      <c r="A561" t="s">
        <v>2960</v>
      </c>
      <c r="B561" t="s">
        <v>2961</v>
      </c>
      <c r="C561" t="s">
        <v>1689</v>
      </c>
      <c r="D561" t="s">
        <v>2962</v>
      </c>
      <c r="E561" t="s">
        <v>2963</v>
      </c>
      <c r="F561" t="s">
        <v>7</v>
      </c>
      <c r="G561" t="s">
        <v>7</v>
      </c>
      <c r="H561" t="s">
        <v>34</v>
      </c>
      <c r="I561" t="s">
        <v>51</v>
      </c>
      <c r="J561" t="s">
        <v>2962</v>
      </c>
      <c r="K561" t="s">
        <v>85</v>
      </c>
      <c r="L561" t="s">
        <v>1864</v>
      </c>
      <c r="M561" t="s">
        <v>36</v>
      </c>
      <c r="N561" t="s">
        <v>37</v>
      </c>
      <c r="O561" t="s">
        <v>66</v>
      </c>
      <c r="P561" t="s">
        <v>66</v>
      </c>
      <c r="Q561" t="s">
        <v>74</v>
      </c>
      <c r="R561" t="s">
        <v>2964</v>
      </c>
      <c r="S561" t="s">
        <v>32</v>
      </c>
      <c r="T561" s="2">
        <v>117.148331</v>
      </c>
      <c r="U561" s="2">
        <v>39.107536</v>
      </c>
    </row>
    <row r="562" spans="1:21">
      <c r="A562" t="s">
        <v>2965</v>
      </c>
      <c r="B562" t="s">
        <v>2792</v>
      </c>
      <c r="C562" t="s">
        <v>2966</v>
      </c>
      <c r="D562" t="s">
        <v>2967</v>
      </c>
      <c r="E562" t="s">
        <v>2968</v>
      </c>
      <c r="F562" t="s">
        <v>7</v>
      </c>
      <c r="G562" t="s">
        <v>7</v>
      </c>
      <c r="H562" t="s">
        <v>56</v>
      </c>
      <c r="I562" t="s">
        <v>51</v>
      </c>
      <c r="J562" t="s">
        <v>2967</v>
      </c>
      <c r="K562" t="s">
        <v>32</v>
      </c>
      <c r="L562" t="s">
        <v>32</v>
      </c>
      <c r="M562" t="s">
        <v>36</v>
      </c>
      <c r="N562" t="s">
        <v>37</v>
      </c>
      <c r="O562" t="s">
        <v>66</v>
      </c>
      <c r="P562" t="s">
        <v>66</v>
      </c>
      <c r="Q562" t="s">
        <v>74</v>
      </c>
      <c r="R562" t="s">
        <v>2969</v>
      </c>
      <c r="S562" t="s">
        <v>32</v>
      </c>
      <c r="T562" s="2">
        <v>117.198532</v>
      </c>
      <c r="U562" s="2">
        <v>39.318832</v>
      </c>
    </row>
    <row r="563" spans="1:21">
      <c r="A563" t="s">
        <v>2970</v>
      </c>
      <c r="B563" t="s">
        <v>2971</v>
      </c>
      <c r="C563" t="s">
        <v>2972</v>
      </c>
      <c r="D563" t="s">
        <v>2973</v>
      </c>
      <c r="E563" t="s">
        <v>2974</v>
      </c>
      <c r="F563" t="s">
        <v>7</v>
      </c>
      <c r="G563" t="s">
        <v>7</v>
      </c>
      <c r="H563" t="s">
        <v>43</v>
      </c>
      <c r="I563" t="s">
        <v>51</v>
      </c>
      <c r="J563" t="s">
        <v>2973</v>
      </c>
      <c r="K563" t="s">
        <v>32</v>
      </c>
      <c r="L563" t="s">
        <v>32</v>
      </c>
      <c r="M563" t="s">
        <v>36</v>
      </c>
      <c r="N563" t="s">
        <v>37</v>
      </c>
      <c r="O563" t="s">
        <v>66</v>
      </c>
      <c r="P563" t="s">
        <v>66</v>
      </c>
      <c r="Q563" t="s">
        <v>74</v>
      </c>
      <c r="R563" t="s">
        <v>2975</v>
      </c>
      <c r="S563" t="s">
        <v>32</v>
      </c>
      <c r="T563" s="2">
        <v>117.092357</v>
      </c>
      <c r="U563" s="2">
        <v>39.110349</v>
      </c>
    </row>
    <row r="564" spans="1:21">
      <c r="A564" t="s">
        <v>2976</v>
      </c>
      <c r="B564" t="s">
        <v>293</v>
      </c>
      <c r="C564" t="s">
        <v>2977</v>
      </c>
      <c r="D564" t="s">
        <v>2978</v>
      </c>
      <c r="E564" t="s">
        <v>2979</v>
      </c>
      <c r="F564" t="s">
        <v>7</v>
      </c>
      <c r="G564" t="s">
        <v>7</v>
      </c>
      <c r="H564" t="s">
        <v>56</v>
      </c>
      <c r="I564" t="s">
        <v>593</v>
      </c>
      <c r="J564" t="s">
        <v>2978</v>
      </c>
      <c r="K564" t="s">
        <v>32</v>
      </c>
      <c r="L564" t="s">
        <v>32</v>
      </c>
      <c r="M564" t="s">
        <v>36</v>
      </c>
      <c r="N564" t="s">
        <v>37</v>
      </c>
      <c r="O564" t="s">
        <v>66</v>
      </c>
      <c r="P564" t="s">
        <v>66</v>
      </c>
      <c r="Q564" t="s">
        <v>74</v>
      </c>
      <c r="R564" t="s">
        <v>2980</v>
      </c>
      <c r="S564" t="s">
        <v>32</v>
      </c>
      <c r="T564" s="2">
        <v>117.175334</v>
      </c>
      <c r="U564" s="2">
        <v>39.226571</v>
      </c>
    </row>
    <row r="565" spans="1:21">
      <c r="A565" t="s">
        <v>2981</v>
      </c>
      <c r="B565" t="s">
        <v>2982</v>
      </c>
      <c r="C565" t="s">
        <v>2983</v>
      </c>
      <c r="D565" t="s">
        <v>2984</v>
      </c>
      <c r="E565" t="s">
        <v>2985</v>
      </c>
      <c r="F565" t="s">
        <v>7</v>
      </c>
      <c r="G565" t="s">
        <v>7</v>
      </c>
      <c r="H565" t="s">
        <v>56</v>
      </c>
      <c r="I565" t="s">
        <v>51</v>
      </c>
      <c r="J565" t="s">
        <v>2984</v>
      </c>
      <c r="K565" t="s">
        <v>85</v>
      </c>
      <c r="L565" t="s">
        <v>1864</v>
      </c>
      <c r="M565" t="s">
        <v>36</v>
      </c>
      <c r="N565" t="s">
        <v>37</v>
      </c>
      <c r="O565" t="s">
        <v>66</v>
      </c>
      <c r="P565" t="s">
        <v>66</v>
      </c>
      <c r="Q565" t="s">
        <v>74</v>
      </c>
      <c r="R565" t="s">
        <v>2986</v>
      </c>
      <c r="S565" t="s">
        <v>32</v>
      </c>
      <c r="T565" s="2">
        <v>116.985843</v>
      </c>
      <c r="U565" s="2">
        <v>39.193297</v>
      </c>
    </row>
    <row r="566" spans="1:21">
      <c r="A566" t="s">
        <v>2987</v>
      </c>
      <c r="B566" t="s">
        <v>2988</v>
      </c>
      <c r="C566" t="s">
        <v>2989</v>
      </c>
      <c r="D566" t="s">
        <v>2990</v>
      </c>
      <c r="E566" t="s">
        <v>2991</v>
      </c>
      <c r="F566" t="s">
        <v>7</v>
      </c>
      <c r="G566" t="s">
        <v>7</v>
      </c>
      <c r="H566" t="s">
        <v>50</v>
      </c>
      <c r="I566" t="s">
        <v>51</v>
      </c>
      <c r="J566" t="s">
        <v>2990</v>
      </c>
      <c r="K566" t="s">
        <v>32</v>
      </c>
      <c r="L566" t="s">
        <v>32</v>
      </c>
      <c r="M566" t="s">
        <v>36</v>
      </c>
      <c r="N566" t="s">
        <v>37</v>
      </c>
      <c r="O566" t="s">
        <v>66</v>
      </c>
      <c r="P566" t="s">
        <v>66</v>
      </c>
      <c r="Q566" t="s">
        <v>74</v>
      </c>
      <c r="R566" t="s">
        <v>2992</v>
      </c>
      <c r="S566" t="s">
        <v>32</v>
      </c>
      <c r="T566" s="2">
        <v>117.229477</v>
      </c>
      <c r="U566" s="2">
        <v>39.101624</v>
      </c>
    </row>
    <row r="567" spans="1:21">
      <c r="A567" t="s">
        <v>2993</v>
      </c>
      <c r="B567" t="s">
        <v>2994</v>
      </c>
      <c r="C567" t="s">
        <v>2995</v>
      </c>
      <c r="D567" t="s">
        <v>32</v>
      </c>
      <c r="E567" t="s">
        <v>2996</v>
      </c>
      <c r="F567" t="s">
        <v>7</v>
      </c>
      <c r="G567" t="s">
        <v>7</v>
      </c>
      <c r="H567" t="s">
        <v>105</v>
      </c>
      <c r="I567" t="s">
        <v>100</v>
      </c>
      <c r="J567" t="s">
        <v>32</v>
      </c>
      <c r="K567" t="s">
        <v>32</v>
      </c>
      <c r="L567" t="s">
        <v>32</v>
      </c>
      <c r="M567" t="s">
        <v>36</v>
      </c>
      <c r="N567" t="s">
        <v>37</v>
      </c>
      <c r="O567" t="s">
        <v>66</v>
      </c>
      <c r="P567" t="s">
        <v>66</v>
      </c>
      <c r="Q567" t="s">
        <v>45</v>
      </c>
      <c r="R567" t="s">
        <v>2997</v>
      </c>
      <c r="S567" t="s">
        <v>32</v>
      </c>
      <c r="T567" s="2">
        <v>117.250141</v>
      </c>
      <c r="U567" s="2">
        <v>39.092175</v>
      </c>
    </row>
    <row r="568" spans="1:21">
      <c r="A568" t="s">
        <v>2998</v>
      </c>
      <c r="B568" t="s">
        <v>328</v>
      </c>
      <c r="C568" t="s">
        <v>2999</v>
      </c>
      <c r="D568" t="s">
        <v>32</v>
      </c>
      <c r="E568" t="s">
        <v>3000</v>
      </c>
      <c r="F568" t="s">
        <v>7</v>
      </c>
      <c r="G568" t="s">
        <v>7</v>
      </c>
      <c r="H568" t="s">
        <v>105</v>
      </c>
      <c r="I568" t="s">
        <v>100</v>
      </c>
      <c r="J568" t="s">
        <v>32</v>
      </c>
      <c r="K568" t="s">
        <v>32</v>
      </c>
      <c r="L568" t="s">
        <v>32</v>
      </c>
      <c r="M568" t="s">
        <v>36</v>
      </c>
      <c r="N568" t="s">
        <v>37</v>
      </c>
      <c r="O568" t="s">
        <v>66</v>
      </c>
      <c r="P568" t="s">
        <v>66</v>
      </c>
      <c r="Q568" t="s">
        <v>45</v>
      </c>
      <c r="R568" t="s">
        <v>492</v>
      </c>
      <c r="S568" t="s">
        <v>32</v>
      </c>
      <c r="T568" s="2">
        <v>117.273514</v>
      </c>
      <c r="U568" s="2">
        <v>39.099711</v>
      </c>
    </row>
    <row r="569" spans="1:21">
      <c r="A569" t="s">
        <v>3001</v>
      </c>
      <c r="B569" t="s">
        <v>3002</v>
      </c>
      <c r="C569" t="s">
        <v>3003</v>
      </c>
      <c r="D569" t="s">
        <v>3004</v>
      </c>
      <c r="E569" t="s">
        <v>3005</v>
      </c>
      <c r="F569" t="s">
        <v>7</v>
      </c>
      <c r="G569" t="s">
        <v>7</v>
      </c>
      <c r="H569" t="s">
        <v>34</v>
      </c>
      <c r="I569" t="s">
        <v>350</v>
      </c>
      <c r="J569" t="s">
        <v>3004</v>
      </c>
      <c r="K569" t="s">
        <v>32</v>
      </c>
      <c r="L569" t="s">
        <v>32</v>
      </c>
      <c r="M569" t="s">
        <v>36</v>
      </c>
      <c r="N569" t="s">
        <v>37</v>
      </c>
      <c r="O569" t="s">
        <v>66</v>
      </c>
      <c r="P569" t="s">
        <v>66</v>
      </c>
      <c r="Q569" t="s">
        <v>45</v>
      </c>
      <c r="R569" t="s">
        <v>3006</v>
      </c>
      <c r="S569" t="s">
        <v>32</v>
      </c>
      <c r="T569" s="2">
        <v>117.156275</v>
      </c>
      <c r="U569" s="2">
        <v>39.129792</v>
      </c>
    </row>
    <row r="570" spans="1:21">
      <c r="A570" t="s">
        <v>3007</v>
      </c>
      <c r="B570" t="s">
        <v>157</v>
      </c>
      <c r="C570" t="s">
        <v>3008</v>
      </c>
      <c r="D570" t="s">
        <v>3009</v>
      </c>
      <c r="E570" t="s">
        <v>3010</v>
      </c>
      <c r="F570" t="s">
        <v>7</v>
      </c>
      <c r="G570" t="s">
        <v>7</v>
      </c>
      <c r="H570" t="s">
        <v>43</v>
      </c>
      <c r="I570" t="s">
        <v>51</v>
      </c>
      <c r="J570" t="s">
        <v>3009</v>
      </c>
      <c r="K570" t="s">
        <v>32</v>
      </c>
      <c r="L570" t="s">
        <v>32</v>
      </c>
      <c r="M570" t="s">
        <v>36</v>
      </c>
      <c r="N570" t="s">
        <v>37</v>
      </c>
      <c r="O570" t="s">
        <v>66</v>
      </c>
      <c r="P570" t="s">
        <v>66</v>
      </c>
      <c r="Q570" t="s">
        <v>45</v>
      </c>
      <c r="R570" t="s">
        <v>3011</v>
      </c>
      <c r="S570" t="s">
        <v>32</v>
      </c>
      <c r="T570" s="2">
        <v>116.966812</v>
      </c>
      <c r="U570" s="2">
        <v>39.156322</v>
      </c>
    </row>
    <row r="571" spans="1:21">
      <c r="A571" t="s">
        <v>3012</v>
      </c>
      <c r="B571" t="s">
        <v>3013</v>
      </c>
      <c r="C571" t="s">
        <v>3014</v>
      </c>
      <c r="D571" t="s">
        <v>32</v>
      </c>
      <c r="E571" t="s">
        <v>3015</v>
      </c>
      <c r="F571" t="s">
        <v>7</v>
      </c>
      <c r="G571" t="s">
        <v>7</v>
      </c>
      <c r="H571" t="s">
        <v>56</v>
      </c>
      <c r="I571" t="s">
        <v>51</v>
      </c>
      <c r="J571" t="s">
        <v>32</v>
      </c>
      <c r="K571" t="s">
        <v>32</v>
      </c>
      <c r="L571" t="s">
        <v>32</v>
      </c>
      <c r="M571" t="s">
        <v>36</v>
      </c>
      <c r="N571" t="s">
        <v>37</v>
      </c>
      <c r="O571" t="s">
        <v>66</v>
      </c>
      <c r="P571" t="s">
        <v>66</v>
      </c>
      <c r="Q571" t="s">
        <v>45</v>
      </c>
      <c r="R571" t="s">
        <v>3016</v>
      </c>
      <c r="S571" t="s">
        <v>32</v>
      </c>
      <c r="T571" s="2">
        <v>117.03821</v>
      </c>
      <c r="U571" s="2">
        <v>39.215417</v>
      </c>
    </row>
    <row r="572" spans="1:21">
      <c r="A572" t="s">
        <v>3017</v>
      </c>
      <c r="B572" t="s">
        <v>3018</v>
      </c>
      <c r="C572" t="s">
        <v>3019</v>
      </c>
      <c r="D572" t="s">
        <v>3020</v>
      </c>
      <c r="E572" t="s">
        <v>3021</v>
      </c>
      <c r="F572" t="s">
        <v>7</v>
      </c>
      <c r="G572" t="s">
        <v>7</v>
      </c>
      <c r="H572" t="s">
        <v>34</v>
      </c>
      <c r="I572" t="s">
        <v>51</v>
      </c>
      <c r="J572" t="s">
        <v>3020</v>
      </c>
      <c r="K572" t="s">
        <v>32</v>
      </c>
      <c r="L572" t="s">
        <v>32</v>
      </c>
      <c r="M572" t="s">
        <v>36</v>
      </c>
      <c r="N572" t="s">
        <v>37</v>
      </c>
      <c r="O572" t="s">
        <v>66</v>
      </c>
      <c r="P572" t="s">
        <v>66</v>
      </c>
      <c r="Q572" t="s">
        <v>45</v>
      </c>
      <c r="R572" t="s">
        <v>3022</v>
      </c>
      <c r="S572" t="s">
        <v>32</v>
      </c>
      <c r="T572" s="2">
        <v>117.133676</v>
      </c>
      <c r="U572" s="2">
        <v>39.12081</v>
      </c>
    </row>
    <row r="573" spans="1:21">
      <c r="A573" t="s">
        <v>3023</v>
      </c>
      <c r="B573" t="s">
        <v>374</v>
      </c>
      <c r="C573" t="s">
        <v>3024</v>
      </c>
      <c r="D573" t="s">
        <v>32</v>
      </c>
      <c r="E573" t="s">
        <v>3025</v>
      </c>
      <c r="F573" t="s">
        <v>7</v>
      </c>
      <c r="G573" t="s">
        <v>7</v>
      </c>
      <c r="H573" t="s">
        <v>56</v>
      </c>
      <c r="I573" t="s">
        <v>1221</v>
      </c>
      <c r="J573" t="s">
        <v>32</v>
      </c>
      <c r="K573" t="s">
        <v>32</v>
      </c>
      <c r="L573" t="s">
        <v>32</v>
      </c>
      <c r="M573" t="s">
        <v>36</v>
      </c>
      <c r="N573" t="s">
        <v>37</v>
      </c>
      <c r="O573" t="s">
        <v>66</v>
      </c>
      <c r="P573" t="s">
        <v>66</v>
      </c>
      <c r="Q573" t="s">
        <v>45</v>
      </c>
      <c r="R573" t="s">
        <v>3026</v>
      </c>
      <c r="S573" t="s">
        <v>32</v>
      </c>
      <c r="T573" s="2">
        <v>117.194956</v>
      </c>
      <c r="U573" s="2">
        <v>39.255511</v>
      </c>
    </row>
    <row r="574" spans="1:21">
      <c r="A574" t="s">
        <v>3027</v>
      </c>
      <c r="B574" t="s">
        <v>3028</v>
      </c>
      <c r="C574" t="s">
        <v>3029</v>
      </c>
      <c r="D574" t="s">
        <v>3030</v>
      </c>
      <c r="E574" t="s">
        <v>3031</v>
      </c>
      <c r="F574" t="s">
        <v>7</v>
      </c>
      <c r="G574" t="s">
        <v>7</v>
      </c>
      <c r="H574" t="s">
        <v>43</v>
      </c>
      <c r="I574" t="s">
        <v>51</v>
      </c>
      <c r="J574" t="s">
        <v>3030</v>
      </c>
      <c r="K574" t="s">
        <v>32</v>
      </c>
      <c r="L574" t="s">
        <v>32</v>
      </c>
      <c r="M574" t="s">
        <v>36</v>
      </c>
      <c r="N574" t="s">
        <v>37</v>
      </c>
      <c r="O574" t="s">
        <v>66</v>
      </c>
      <c r="P574" t="s">
        <v>66</v>
      </c>
      <c r="Q574" t="s">
        <v>45</v>
      </c>
      <c r="R574" t="s">
        <v>3032</v>
      </c>
      <c r="S574" t="s">
        <v>32</v>
      </c>
      <c r="T574" s="2">
        <v>117.030247</v>
      </c>
      <c r="U574" s="2">
        <v>39.114947</v>
      </c>
    </row>
    <row r="575" spans="1:21">
      <c r="A575" t="s">
        <v>3033</v>
      </c>
      <c r="B575" t="s">
        <v>40</v>
      </c>
      <c r="C575" t="s">
        <v>3034</v>
      </c>
      <c r="D575" t="s">
        <v>32</v>
      </c>
      <c r="E575" t="s">
        <v>3035</v>
      </c>
      <c r="F575" t="s">
        <v>7</v>
      </c>
      <c r="G575" t="s">
        <v>7</v>
      </c>
      <c r="H575" t="s">
        <v>34</v>
      </c>
      <c r="I575" t="s">
        <v>44</v>
      </c>
      <c r="J575" t="s">
        <v>32</v>
      </c>
      <c r="K575" t="s">
        <v>32</v>
      </c>
      <c r="L575" t="s">
        <v>32</v>
      </c>
      <c r="M575" t="s">
        <v>36</v>
      </c>
      <c r="N575" t="s">
        <v>37</v>
      </c>
      <c r="O575" t="s">
        <v>66</v>
      </c>
      <c r="P575" t="s">
        <v>66</v>
      </c>
      <c r="Q575" t="s">
        <v>57</v>
      </c>
      <c r="R575" t="s">
        <v>3036</v>
      </c>
      <c r="S575" t="s">
        <v>32</v>
      </c>
      <c r="T575" s="2">
        <v>117.141761</v>
      </c>
      <c r="U575" s="2">
        <v>39.118437</v>
      </c>
    </row>
    <row r="576" spans="1:21">
      <c r="A576" t="s">
        <v>3037</v>
      </c>
      <c r="B576" t="s">
        <v>404</v>
      </c>
      <c r="C576" t="s">
        <v>3038</v>
      </c>
      <c r="D576" t="s">
        <v>32</v>
      </c>
      <c r="E576" t="s">
        <v>3039</v>
      </c>
      <c r="F576" t="s">
        <v>7</v>
      </c>
      <c r="G576" t="s">
        <v>7</v>
      </c>
      <c r="H576" t="s">
        <v>56</v>
      </c>
      <c r="I576" t="s">
        <v>245</v>
      </c>
      <c r="J576" t="s">
        <v>32</v>
      </c>
      <c r="K576" t="s">
        <v>32</v>
      </c>
      <c r="L576" t="s">
        <v>32</v>
      </c>
      <c r="M576" t="s">
        <v>36</v>
      </c>
      <c r="N576" t="s">
        <v>37</v>
      </c>
      <c r="O576" t="s">
        <v>66</v>
      </c>
      <c r="P576" t="s">
        <v>66</v>
      </c>
      <c r="Q576" t="s">
        <v>74</v>
      </c>
      <c r="R576" t="s">
        <v>3040</v>
      </c>
      <c r="S576" t="s">
        <v>32</v>
      </c>
      <c r="T576" s="2">
        <v>117.128653</v>
      </c>
      <c r="U576" s="2">
        <v>39.239334</v>
      </c>
    </row>
    <row r="577" spans="1:21">
      <c r="A577" t="s">
        <v>3041</v>
      </c>
      <c r="B577" t="s">
        <v>3042</v>
      </c>
      <c r="C577" t="s">
        <v>3043</v>
      </c>
      <c r="D577" t="s">
        <v>3044</v>
      </c>
      <c r="E577" t="s">
        <v>3045</v>
      </c>
      <c r="F577" t="s">
        <v>7</v>
      </c>
      <c r="G577" t="s">
        <v>7</v>
      </c>
      <c r="H577" t="s">
        <v>56</v>
      </c>
      <c r="I577" t="s">
        <v>51</v>
      </c>
      <c r="J577" t="s">
        <v>3044</v>
      </c>
      <c r="K577" t="s">
        <v>32</v>
      </c>
      <c r="L577" t="s">
        <v>32</v>
      </c>
      <c r="M577" t="s">
        <v>36</v>
      </c>
      <c r="N577" t="s">
        <v>37</v>
      </c>
      <c r="O577" t="s">
        <v>66</v>
      </c>
      <c r="P577" t="s">
        <v>66</v>
      </c>
      <c r="Q577" t="s">
        <v>45</v>
      </c>
      <c r="R577" t="s">
        <v>3046</v>
      </c>
      <c r="S577" t="s">
        <v>32</v>
      </c>
      <c r="T577" s="2">
        <v>117.272692</v>
      </c>
      <c r="U577" s="2">
        <v>39.225397</v>
      </c>
    </row>
    <row r="578" spans="1:21">
      <c r="A578" t="s">
        <v>3047</v>
      </c>
      <c r="B578" t="s">
        <v>2175</v>
      </c>
      <c r="C578" t="s">
        <v>3048</v>
      </c>
      <c r="D578" t="s">
        <v>3049</v>
      </c>
      <c r="E578" t="s">
        <v>3050</v>
      </c>
      <c r="F578" t="s">
        <v>7</v>
      </c>
      <c r="G578" t="s">
        <v>7</v>
      </c>
      <c r="H578" t="s">
        <v>43</v>
      </c>
      <c r="I578" t="s">
        <v>51</v>
      </c>
      <c r="J578" t="s">
        <v>3049</v>
      </c>
      <c r="K578" t="s">
        <v>32</v>
      </c>
      <c r="L578" t="s">
        <v>32</v>
      </c>
      <c r="M578" t="s">
        <v>36</v>
      </c>
      <c r="N578" t="s">
        <v>37</v>
      </c>
      <c r="O578" t="s">
        <v>66</v>
      </c>
      <c r="P578" t="s">
        <v>66</v>
      </c>
      <c r="Q578" t="s">
        <v>45</v>
      </c>
      <c r="R578" t="s">
        <v>3051</v>
      </c>
      <c r="S578" t="s">
        <v>32</v>
      </c>
      <c r="T578" s="2">
        <v>117.046456</v>
      </c>
      <c r="U578" s="2">
        <v>39.145376</v>
      </c>
    </row>
    <row r="579" spans="1:21">
      <c r="A579" t="s">
        <v>3052</v>
      </c>
      <c r="B579" t="s">
        <v>40</v>
      </c>
      <c r="C579" t="s">
        <v>3053</v>
      </c>
      <c r="D579" t="s">
        <v>32</v>
      </c>
      <c r="E579" t="s">
        <v>3054</v>
      </c>
      <c r="F579" t="s">
        <v>7</v>
      </c>
      <c r="G579" t="s">
        <v>7</v>
      </c>
      <c r="H579" t="s">
        <v>133</v>
      </c>
      <c r="I579" t="s">
        <v>44</v>
      </c>
      <c r="J579" t="s">
        <v>32</v>
      </c>
      <c r="K579" t="s">
        <v>32</v>
      </c>
      <c r="L579" t="s">
        <v>32</v>
      </c>
      <c r="M579" t="s">
        <v>36</v>
      </c>
      <c r="N579" t="s">
        <v>37</v>
      </c>
      <c r="O579" t="s">
        <v>66</v>
      </c>
      <c r="P579" t="s">
        <v>66</v>
      </c>
      <c r="Q579" t="s">
        <v>45</v>
      </c>
      <c r="R579" t="s">
        <v>3055</v>
      </c>
      <c r="S579" t="s">
        <v>32</v>
      </c>
      <c r="T579" s="2">
        <v>117.134115</v>
      </c>
      <c r="U579" s="2">
        <v>39.181985</v>
      </c>
    </row>
    <row r="580" spans="1:21">
      <c r="A580" t="s">
        <v>3056</v>
      </c>
      <c r="B580" t="s">
        <v>3057</v>
      </c>
      <c r="C580" t="s">
        <v>3058</v>
      </c>
      <c r="D580" t="s">
        <v>32</v>
      </c>
      <c r="E580" t="s">
        <v>3059</v>
      </c>
      <c r="F580" t="s">
        <v>7</v>
      </c>
      <c r="G580" t="s">
        <v>7</v>
      </c>
      <c r="H580" t="s">
        <v>73</v>
      </c>
      <c r="I580" t="s">
        <v>350</v>
      </c>
      <c r="J580" t="s">
        <v>32</v>
      </c>
      <c r="K580" t="s">
        <v>32</v>
      </c>
      <c r="L580" t="s">
        <v>32</v>
      </c>
      <c r="M580" t="s">
        <v>36</v>
      </c>
      <c r="N580" t="s">
        <v>37</v>
      </c>
      <c r="O580" t="s">
        <v>66</v>
      </c>
      <c r="P580" t="s">
        <v>66</v>
      </c>
      <c r="Q580" t="s">
        <v>45</v>
      </c>
      <c r="R580" t="s">
        <v>3060</v>
      </c>
      <c r="S580" t="s">
        <v>32</v>
      </c>
      <c r="T580" s="2">
        <v>117.257174</v>
      </c>
      <c r="U580" s="2">
        <v>39.200206</v>
      </c>
    </row>
    <row r="581" spans="1:21">
      <c r="A581" t="s">
        <v>3061</v>
      </c>
      <c r="B581" t="s">
        <v>353</v>
      </c>
      <c r="C581" t="s">
        <v>3062</v>
      </c>
      <c r="D581" t="s">
        <v>32</v>
      </c>
      <c r="E581" t="s">
        <v>3063</v>
      </c>
      <c r="F581" t="s">
        <v>7</v>
      </c>
      <c r="G581" t="s">
        <v>7</v>
      </c>
      <c r="H581" t="s">
        <v>43</v>
      </c>
      <c r="I581" t="s">
        <v>51</v>
      </c>
      <c r="J581" t="s">
        <v>32</v>
      </c>
      <c r="K581" t="s">
        <v>32</v>
      </c>
      <c r="L581" t="s">
        <v>32</v>
      </c>
      <c r="M581" t="s">
        <v>36</v>
      </c>
      <c r="N581" t="s">
        <v>37</v>
      </c>
      <c r="O581" t="s">
        <v>66</v>
      </c>
      <c r="P581" t="s">
        <v>66</v>
      </c>
      <c r="Q581" t="s">
        <v>45</v>
      </c>
      <c r="R581" t="s">
        <v>3064</v>
      </c>
      <c r="S581" t="s">
        <v>32</v>
      </c>
      <c r="T581" s="2">
        <v>117.051153</v>
      </c>
      <c r="U581" s="2">
        <v>39.130303</v>
      </c>
    </row>
    <row r="582" spans="1:21">
      <c r="A582" t="s">
        <v>3065</v>
      </c>
      <c r="B582" t="s">
        <v>3066</v>
      </c>
      <c r="C582" t="s">
        <v>3067</v>
      </c>
      <c r="D582" t="s">
        <v>3068</v>
      </c>
      <c r="E582" t="s">
        <v>3069</v>
      </c>
      <c r="F582" t="s">
        <v>7</v>
      </c>
      <c r="G582" t="s">
        <v>7</v>
      </c>
      <c r="H582" t="s">
        <v>262</v>
      </c>
      <c r="I582" t="s">
        <v>51</v>
      </c>
      <c r="J582" t="s">
        <v>3068</v>
      </c>
      <c r="K582" t="s">
        <v>32</v>
      </c>
      <c r="L582" t="s">
        <v>32</v>
      </c>
      <c r="M582" t="s">
        <v>36</v>
      </c>
      <c r="N582" t="s">
        <v>37</v>
      </c>
      <c r="O582" t="s">
        <v>66</v>
      </c>
      <c r="P582" t="s">
        <v>66</v>
      </c>
      <c r="Q582" t="s">
        <v>45</v>
      </c>
      <c r="R582" t="s">
        <v>3070</v>
      </c>
      <c r="S582" t="s">
        <v>32</v>
      </c>
      <c r="T582" s="2">
        <v>117.232639</v>
      </c>
      <c r="U582" s="2">
        <v>39.155299</v>
      </c>
    </row>
    <row r="583" spans="1:21">
      <c r="A583" t="s">
        <v>3071</v>
      </c>
      <c r="B583" t="s">
        <v>3072</v>
      </c>
      <c r="C583" t="s">
        <v>3073</v>
      </c>
      <c r="D583" t="s">
        <v>3074</v>
      </c>
      <c r="E583" t="s">
        <v>3075</v>
      </c>
      <c r="F583" t="s">
        <v>7</v>
      </c>
      <c r="G583" t="s">
        <v>7</v>
      </c>
      <c r="H583" t="s">
        <v>146</v>
      </c>
      <c r="I583" t="s">
        <v>51</v>
      </c>
      <c r="J583" t="s">
        <v>3074</v>
      </c>
      <c r="K583" t="s">
        <v>32</v>
      </c>
      <c r="L583" t="s">
        <v>32</v>
      </c>
      <c r="M583" t="s">
        <v>36</v>
      </c>
      <c r="N583" t="s">
        <v>37</v>
      </c>
      <c r="O583" t="s">
        <v>66</v>
      </c>
      <c r="P583" t="s">
        <v>66</v>
      </c>
      <c r="Q583" t="s">
        <v>45</v>
      </c>
      <c r="R583" t="s">
        <v>3076</v>
      </c>
      <c r="S583" t="s">
        <v>32</v>
      </c>
      <c r="T583" s="2">
        <v>117.124699</v>
      </c>
      <c r="U583" s="2">
        <v>39.089105</v>
      </c>
    </row>
    <row r="584" spans="1:21">
      <c r="A584" t="s">
        <v>3077</v>
      </c>
      <c r="B584" t="s">
        <v>40</v>
      </c>
      <c r="C584" t="s">
        <v>3078</v>
      </c>
      <c r="D584" t="s">
        <v>32</v>
      </c>
      <c r="E584" t="s">
        <v>3079</v>
      </c>
      <c r="F584" t="s">
        <v>7</v>
      </c>
      <c r="G584" t="s">
        <v>7</v>
      </c>
      <c r="H584" t="s">
        <v>43</v>
      </c>
      <c r="I584" t="s">
        <v>44</v>
      </c>
      <c r="J584" t="s">
        <v>32</v>
      </c>
      <c r="K584" t="s">
        <v>32</v>
      </c>
      <c r="L584" t="s">
        <v>32</v>
      </c>
      <c r="M584" t="s">
        <v>36</v>
      </c>
      <c r="N584" t="s">
        <v>37</v>
      </c>
      <c r="O584" t="s">
        <v>66</v>
      </c>
      <c r="P584" t="s">
        <v>66</v>
      </c>
      <c r="Q584" t="s">
        <v>74</v>
      </c>
      <c r="R584" t="s">
        <v>3080</v>
      </c>
      <c r="S584" t="s">
        <v>32</v>
      </c>
      <c r="T584" s="2">
        <v>117.071311</v>
      </c>
      <c r="U584" s="2">
        <v>39.122475</v>
      </c>
    </row>
    <row r="585" spans="1:21">
      <c r="A585" t="s">
        <v>3081</v>
      </c>
      <c r="B585" t="s">
        <v>2994</v>
      </c>
      <c r="C585" t="s">
        <v>3082</v>
      </c>
      <c r="D585" t="s">
        <v>32</v>
      </c>
      <c r="E585" t="s">
        <v>3083</v>
      </c>
      <c r="F585" t="s">
        <v>7</v>
      </c>
      <c r="G585" t="s">
        <v>7</v>
      </c>
      <c r="H585" t="s">
        <v>105</v>
      </c>
      <c r="I585" t="s">
        <v>94</v>
      </c>
      <c r="J585" t="s">
        <v>32</v>
      </c>
      <c r="K585" t="s">
        <v>32</v>
      </c>
      <c r="L585" t="s">
        <v>32</v>
      </c>
      <c r="M585" t="s">
        <v>36</v>
      </c>
      <c r="N585" t="s">
        <v>37</v>
      </c>
      <c r="O585" t="s">
        <v>66</v>
      </c>
      <c r="P585" t="s">
        <v>66</v>
      </c>
      <c r="Q585" t="s">
        <v>45</v>
      </c>
      <c r="R585" t="s">
        <v>3084</v>
      </c>
      <c r="S585" t="s">
        <v>32</v>
      </c>
      <c r="T585" s="2">
        <v>117.20632</v>
      </c>
      <c r="U585" s="2">
        <v>39.141139</v>
      </c>
    </row>
    <row r="586" spans="1:21">
      <c r="A586" t="s">
        <v>3085</v>
      </c>
      <c r="B586" t="s">
        <v>40</v>
      </c>
      <c r="C586" t="s">
        <v>267</v>
      </c>
      <c r="D586" t="s">
        <v>32</v>
      </c>
      <c r="E586" t="s">
        <v>3086</v>
      </c>
      <c r="F586" t="s">
        <v>7</v>
      </c>
      <c r="G586" t="s">
        <v>7</v>
      </c>
      <c r="H586" t="s">
        <v>262</v>
      </c>
      <c r="I586" t="s">
        <v>94</v>
      </c>
      <c r="J586" t="s">
        <v>32</v>
      </c>
      <c r="K586" t="s">
        <v>32</v>
      </c>
      <c r="L586" t="s">
        <v>32</v>
      </c>
      <c r="M586" t="s">
        <v>36</v>
      </c>
      <c r="N586" t="s">
        <v>37</v>
      </c>
      <c r="O586" t="s">
        <v>66</v>
      </c>
      <c r="P586" t="s">
        <v>66</v>
      </c>
      <c r="Q586" t="s">
        <v>45</v>
      </c>
      <c r="R586" t="s">
        <v>3087</v>
      </c>
      <c r="S586" t="s">
        <v>32</v>
      </c>
      <c r="T586" s="2">
        <v>117.208124</v>
      </c>
      <c r="U586" s="2">
        <v>39.156567</v>
      </c>
    </row>
    <row r="587" spans="1:21">
      <c r="A587" t="s">
        <v>3088</v>
      </c>
      <c r="B587" t="s">
        <v>3089</v>
      </c>
      <c r="C587" t="s">
        <v>3090</v>
      </c>
      <c r="D587" t="s">
        <v>32</v>
      </c>
      <c r="E587" t="s">
        <v>3091</v>
      </c>
      <c r="F587" t="s">
        <v>7</v>
      </c>
      <c r="G587" t="s">
        <v>7</v>
      </c>
      <c r="H587" t="s">
        <v>34</v>
      </c>
      <c r="I587" t="s">
        <v>94</v>
      </c>
      <c r="J587" t="s">
        <v>32</v>
      </c>
      <c r="K587" t="s">
        <v>32</v>
      </c>
      <c r="L587" t="s">
        <v>32</v>
      </c>
      <c r="M587" t="s">
        <v>36</v>
      </c>
      <c r="N587" t="s">
        <v>37</v>
      </c>
      <c r="O587" t="s">
        <v>66</v>
      </c>
      <c r="P587" t="s">
        <v>66</v>
      </c>
      <c r="Q587" t="s">
        <v>45</v>
      </c>
      <c r="R587" t="s">
        <v>3092</v>
      </c>
      <c r="S587" t="s">
        <v>32</v>
      </c>
      <c r="T587" s="2">
        <v>117.127459</v>
      </c>
      <c r="U587" s="2">
        <v>39.14912</v>
      </c>
    </row>
    <row r="588" spans="1:21">
      <c r="A588" t="s">
        <v>3093</v>
      </c>
      <c r="B588" t="s">
        <v>2692</v>
      </c>
      <c r="C588" t="s">
        <v>3094</v>
      </c>
      <c r="D588" t="s">
        <v>3095</v>
      </c>
      <c r="E588" t="s">
        <v>3096</v>
      </c>
      <c r="F588" t="s">
        <v>7</v>
      </c>
      <c r="G588" t="s">
        <v>7</v>
      </c>
      <c r="H588" t="s">
        <v>56</v>
      </c>
      <c r="I588" t="s">
        <v>94</v>
      </c>
      <c r="J588" t="s">
        <v>3095</v>
      </c>
      <c r="K588" t="s">
        <v>32</v>
      </c>
      <c r="L588" t="s">
        <v>32</v>
      </c>
      <c r="M588" t="s">
        <v>36</v>
      </c>
      <c r="N588" t="s">
        <v>37</v>
      </c>
      <c r="O588" t="s">
        <v>66</v>
      </c>
      <c r="P588" t="s">
        <v>66</v>
      </c>
      <c r="Q588" t="s">
        <v>45</v>
      </c>
      <c r="R588" t="s">
        <v>3097</v>
      </c>
      <c r="S588" t="s">
        <v>32</v>
      </c>
      <c r="T588" s="2">
        <v>117.139902</v>
      </c>
      <c r="U588" s="2">
        <v>39.235139</v>
      </c>
    </row>
    <row r="589" spans="1:21">
      <c r="A589" t="s">
        <v>3098</v>
      </c>
      <c r="B589" t="s">
        <v>3099</v>
      </c>
      <c r="C589" t="s">
        <v>3100</v>
      </c>
      <c r="D589" t="s">
        <v>32</v>
      </c>
      <c r="E589" t="s">
        <v>3101</v>
      </c>
      <c r="F589" t="s">
        <v>7</v>
      </c>
      <c r="G589" t="s">
        <v>7</v>
      </c>
      <c r="H589" t="s">
        <v>43</v>
      </c>
      <c r="I589" t="s">
        <v>44</v>
      </c>
      <c r="J589" t="s">
        <v>32</v>
      </c>
      <c r="K589" t="s">
        <v>32</v>
      </c>
      <c r="L589" t="s">
        <v>32</v>
      </c>
      <c r="M589" t="s">
        <v>36</v>
      </c>
      <c r="N589" t="s">
        <v>37</v>
      </c>
      <c r="O589" t="s">
        <v>66</v>
      </c>
      <c r="P589" t="s">
        <v>66</v>
      </c>
      <c r="Q589" t="s">
        <v>45</v>
      </c>
      <c r="R589" t="s">
        <v>3102</v>
      </c>
      <c r="S589" t="s">
        <v>32</v>
      </c>
      <c r="T589" s="2">
        <v>117.086141</v>
      </c>
      <c r="U589" s="2">
        <v>39.152247</v>
      </c>
    </row>
    <row r="590" spans="1:21">
      <c r="A590" t="s">
        <v>3103</v>
      </c>
      <c r="B590" t="s">
        <v>3104</v>
      </c>
      <c r="C590" t="s">
        <v>3105</v>
      </c>
      <c r="D590" t="s">
        <v>3106</v>
      </c>
      <c r="E590" t="s">
        <v>3107</v>
      </c>
      <c r="F590" t="s">
        <v>7</v>
      </c>
      <c r="G590" t="s">
        <v>7</v>
      </c>
      <c r="H590" t="s">
        <v>34</v>
      </c>
      <c r="I590" t="s">
        <v>154</v>
      </c>
      <c r="J590" t="s">
        <v>3106</v>
      </c>
      <c r="K590" t="s">
        <v>32</v>
      </c>
      <c r="L590" t="s">
        <v>32</v>
      </c>
      <c r="M590" t="s">
        <v>36</v>
      </c>
      <c r="N590" t="s">
        <v>37</v>
      </c>
      <c r="O590" t="s">
        <v>66</v>
      </c>
      <c r="P590" t="s">
        <v>66</v>
      </c>
      <c r="Q590" t="s">
        <v>45</v>
      </c>
      <c r="R590" t="s">
        <v>3108</v>
      </c>
      <c r="S590" t="s">
        <v>32</v>
      </c>
      <c r="T590" s="2">
        <v>117.1424</v>
      </c>
      <c r="U590" s="2">
        <v>39.130736</v>
      </c>
    </row>
    <row r="591" spans="1:21">
      <c r="A591" t="s">
        <v>3109</v>
      </c>
      <c r="B591" t="s">
        <v>3110</v>
      </c>
      <c r="C591" t="s">
        <v>3111</v>
      </c>
      <c r="D591" t="s">
        <v>32</v>
      </c>
      <c r="E591" t="s">
        <v>3112</v>
      </c>
      <c r="F591" t="s">
        <v>7</v>
      </c>
      <c r="G591" t="s">
        <v>7</v>
      </c>
      <c r="H591" t="s">
        <v>73</v>
      </c>
      <c r="I591" t="s">
        <v>51</v>
      </c>
      <c r="J591" t="s">
        <v>3113</v>
      </c>
      <c r="K591" t="s">
        <v>32</v>
      </c>
      <c r="L591" t="s">
        <v>32</v>
      </c>
      <c r="M591" t="s">
        <v>36</v>
      </c>
      <c r="N591" t="s">
        <v>37</v>
      </c>
      <c r="O591" t="s">
        <v>66</v>
      </c>
      <c r="P591" t="s">
        <v>66</v>
      </c>
      <c r="Q591" t="s">
        <v>45</v>
      </c>
      <c r="R591" t="s">
        <v>3114</v>
      </c>
      <c r="S591" t="s">
        <v>32</v>
      </c>
      <c r="T591" s="2">
        <v>117.291226</v>
      </c>
      <c r="U591" s="2">
        <v>39.127883</v>
      </c>
    </row>
    <row r="592" spans="1:21">
      <c r="A592" t="s">
        <v>3115</v>
      </c>
      <c r="B592" t="s">
        <v>3116</v>
      </c>
      <c r="C592" t="s">
        <v>3117</v>
      </c>
      <c r="D592" t="s">
        <v>32</v>
      </c>
      <c r="E592" t="s">
        <v>3118</v>
      </c>
      <c r="F592" t="s">
        <v>7</v>
      </c>
      <c r="G592" t="s">
        <v>7</v>
      </c>
      <c r="H592" t="s">
        <v>63</v>
      </c>
      <c r="I592" t="s">
        <v>44</v>
      </c>
      <c r="J592" t="s">
        <v>32</v>
      </c>
      <c r="K592" t="s">
        <v>32</v>
      </c>
      <c r="L592" t="s">
        <v>32</v>
      </c>
      <c r="M592" t="s">
        <v>36</v>
      </c>
      <c r="N592" t="s">
        <v>37</v>
      </c>
      <c r="O592" t="s">
        <v>66</v>
      </c>
      <c r="P592" t="s">
        <v>66</v>
      </c>
      <c r="Q592" t="s">
        <v>45</v>
      </c>
      <c r="R592" t="s">
        <v>3119</v>
      </c>
      <c r="S592" t="s">
        <v>32</v>
      </c>
      <c r="T592" s="2">
        <v>117.350345</v>
      </c>
      <c r="U592" s="2">
        <v>39.02669</v>
      </c>
    </row>
    <row r="593" spans="1:21">
      <c r="A593" t="s">
        <v>3120</v>
      </c>
      <c r="B593" t="s">
        <v>215</v>
      </c>
      <c r="C593" t="s">
        <v>3121</v>
      </c>
      <c r="D593" t="s">
        <v>32</v>
      </c>
      <c r="E593" t="s">
        <v>3122</v>
      </c>
      <c r="F593" t="s">
        <v>7</v>
      </c>
      <c r="G593" t="s">
        <v>7</v>
      </c>
      <c r="H593" t="s">
        <v>43</v>
      </c>
      <c r="I593" t="s">
        <v>44</v>
      </c>
      <c r="J593" t="s">
        <v>32</v>
      </c>
      <c r="K593" t="s">
        <v>32</v>
      </c>
      <c r="L593" t="s">
        <v>32</v>
      </c>
      <c r="M593" t="s">
        <v>36</v>
      </c>
      <c r="N593" t="s">
        <v>37</v>
      </c>
      <c r="O593" t="s">
        <v>66</v>
      </c>
      <c r="P593" t="s">
        <v>66</v>
      </c>
      <c r="Q593" t="s">
        <v>45</v>
      </c>
      <c r="R593" t="s">
        <v>3123</v>
      </c>
      <c r="S593" t="s">
        <v>32</v>
      </c>
      <c r="T593" s="2">
        <v>116.977145</v>
      </c>
      <c r="U593" s="2">
        <v>39.090198</v>
      </c>
    </row>
    <row r="594" spans="1:21">
      <c r="A594" t="s">
        <v>3124</v>
      </c>
      <c r="B594" t="s">
        <v>2150</v>
      </c>
      <c r="C594" t="s">
        <v>3125</v>
      </c>
      <c r="D594" t="s">
        <v>3126</v>
      </c>
      <c r="E594" t="s">
        <v>3127</v>
      </c>
      <c r="F594" t="s">
        <v>7</v>
      </c>
      <c r="G594" t="s">
        <v>7</v>
      </c>
      <c r="H594" t="s">
        <v>105</v>
      </c>
      <c r="I594" t="s">
        <v>350</v>
      </c>
      <c r="J594" t="s">
        <v>3126</v>
      </c>
      <c r="K594" t="s">
        <v>32</v>
      </c>
      <c r="L594" t="s">
        <v>32</v>
      </c>
      <c r="M594" t="s">
        <v>36</v>
      </c>
      <c r="N594" t="s">
        <v>37</v>
      </c>
      <c r="O594" t="s">
        <v>66</v>
      </c>
      <c r="P594" t="s">
        <v>66</v>
      </c>
      <c r="Q594" t="s">
        <v>32</v>
      </c>
      <c r="R594" t="s">
        <v>3128</v>
      </c>
      <c r="S594" t="s">
        <v>32</v>
      </c>
      <c r="T594" s="2">
        <v>117.228553</v>
      </c>
      <c r="U594" s="2">
        <v>39.127601</v>
      </c>
    </row>
    <row r="595" spans="1:21">
      <c r="A595" t="s">
        <v>3129</v>
      </c>
      <c r="B595" t="s">
        <v>3130</v>
      </c>
      <c r="C595" t="s">
        <v>3131</v>
      </c>
      <c r="D595" t="s">
        <v>32</v>
      </c>
      <c r="E595" t="s">
        <v>3132</v>
      </c>
      <c r="F595" t="s">
        <v>7</v>
      </c>
      <c r="G595" t="s">
        <v>7</v>
      </c>
      <c r="H595" t="s">
        <v>50</v>
      </c>
      <c r="I595" t="s">
        <v>100</v>
      </c>
      <c r="J595" t="s">
        <v>32</v>
      </c>
      <c r="K595" t="s">
        <v>32</v>
      </c>
      <c r="L595" t="s">
        <v>32</v>
      </c>
      <c r="M595" t="s">
        <v>36</v>
      </c>
      <c r="N595" t="s">
        <v>37</v>
      </c>
      <c r="O595" t="s">
        <v>66</v>
      </c>
      <c r="P595" t="s">
        <v>66</v>
      </c>
      <c r="Q595" t="s">
        <v>45</v>
      </c>
      <c r="R595" t="s">
        <v>3133</v>
      </c>
      <c r="S595" t="s">
        <v>32</v>
      </c>
      <c r="T595" s="2">
        <v>117.21601</v>
      </c>
      <c r="U595" s="2">
        <v>39.112072</v>
      </c>
    </row>
    <row r="596" spans="1:21">
      <c r="A596" t="s">
        <v>3134</v>
      </c>
      <c r="B596" t="s">
        <v>3135</v>
      </c>
      <c r="C596" t="s">
        <v>3136</v>
      </c>
      <c r="D596" t="s">
        <v>32</v>
      </c>
      <c r="E596" t="s">
        <v>3137</v>
      </c>
      <c r="F596" t="s">
        <v>7</v>
      </c>
      <c r="G596" t="s">
        <v>7</v>
      </c>
      <c r="H596" t="s">
        <v>50</v>
      </c>
      <c r="I596" t="s">
        <v>44</v>
      </c>
      <c r="J596" t="s">
        <v>32</v>
      </c>
      <c r="K596" t="s">
        <v>32</v>
      </c>
      <c r="L596" t="s">
        <v>32</v>
      </c>
      <c r="M596" t="s">
        <v>36</v>
      </c>
      <c r="N596" t="s">
        <v>37</v>
      </c>
      <c r="O596" t="s">
        <v>66</v>
      </c>
      <c r="P596" t="s">
        <v>66</v>
      </c>
      <c r="Q596" t="s">
        <v>45</v>
      </c>
      <c r="R596" t="s">
        <v>3138</v>
      </c>
      <c r="S596" t="s">
        <v>32</v>
      </c>
      <c r="T596" s="2">
        <v>117.219237</v>
      </c>
      <c r="U596" s="2">
        <v>39.107959</v>
      </c>
    </row>
    <row r="597" spans="1:21">
      <c r="A597" t="s">
        <v>3139</v>
      </c>
      <c r="B597" t="s">
        <v>2559</v>
      </c>
      <c r="C597" t="s">
        <v>3140</v>
      </c>
      <c r="D597" t="s">
        <v>32</v>
      </c>
      <c r="E597" t="s">
        <v>3141</v>
      </c>
      <c r="F597" t="s">
        <v>7</v>
      </c>
      <c r="G597" t="s">
        <v>7</v>
      </c>
      <c r="H597" t="s">
        <v>56</v>
      </c>
      <c r="I597" t="s">
        <v>44</v>
      </c>
      <c r="J597" t="s">
        <v>32</v>
      </c>
      <c r="K597" t="s">
        <v>32</v>
      </c>
      <c r="L597" t="s">
        <v>32</v>
      </c>
      <c r="M597" t="s">
        <v>36</v>
      </c>
      <c r="N597" t="s">
        <v>37</v>
      </c>
      <c r="O597" t="s">
        <v>66</v>
      </c>
      <c r="P597" t="s">
        <v>66</v>
      </c>
      <c r="Q597" t="s">
        <v>45</v>
      </c>
      <c r="R597" t="s">
        <v>3142</v>
      </c>
      <c r="S597" t="s">
        <v>32</v>
      </c>
      <c r="T597" s="2">
        <v>117.19463</v>
      </c>
      <c r="U597" s="2">
        <v>39.19336</v>
      </c>
    </row>
    <row r="598" spans="1:21">
      <c r="A598" t="s">
        <v>3143</v>
      </c>
      <c r="B598" t="s">
        <v>2209</v>
      </c>
      <c r="C598" t="s">
        <v>3144</v>
      </c>
      <c r="D598" t="s">
        <v>3145</v>
      </c>
      <c r="E598" t="s">
        <v>3146</v>
      </c>
      <c r="F598" t="s">
        <v>7</v>
      </c>
      <c r="G598" t="s">
        <v>7</v>
      </c>
      <c r="H598" t="s">
        <v>56</v>
      </c>
      <c r="I598" t="s">
        <v>51</v>
      </c>
      <c r="J598" t="s">
        <v>3145</v>
      </c>
      <c r="K598" t="s">
        <v>32</v>
      </c>
      <c r="L598" t="s">
        <v>32</v>
      </c>
      <c r="M598" t="s">
        <v>36</v>
      </c>
      <c r="N598" t="s">
        <v>37</v>
      </c>
      <c r="O598" t="s">
        <v>66</v>
      </c>
      <c r="P598" t="s">
        <v>66</v>
      </c>
      <c r="Q598" t="s">
        <v>45</v>
      </c>
      <c r="R598" t="s">
        <v>3147</v>
      </c>
      <c r="S598" t="s">
        <v>32</v>
      </c>
      <c r="T598" s="2">
        <v>117.239283</v>
      </c>
      <c r="U598" s="2">
        <v>39.247843</v>
      </c>
    </row>
    <row r="599" spans="1:21">
      <c r="A599" t="s">
        <v>3148</v>
      </c>
      <c r="B599" t="s">
        <v>374</v>
      </c>
      <c r="C599" t="s">
        <v>590</v>
      </c>
      <c r="D599" t="s">
        <v>32</v>
      </c>
      <c r="E599" t="s">
        <v>3149</v>
      </c>
      <c r="F599" t="s">
        <v>7</v>
      </c>
      <c r="G599" t="s">
        <v>7</v>
      </c>
      <c r="H599" t="s">
        <v>56</v>
      </c>
      <c r="I599" t="s">
        <v>3150</v>
      </c>
      <c r="J599" t="s">
        <v>32</v>
      </c>
      <c r="K599" t="s">
        <v>32</v>
      </c>
      <c r="L599" t="s">
        <v>32</v>
      </c>
      <c r="M599" t="s">
        <v>36</v>
      </c>
      <c r="N599" t="s">
        <v>37</v>
      </c>
      <c r="O599" t="s">
        <v>66</v>
      </c>
      <c r="P599" t="s">
        <v>66</v>
      </c>
      <c r="Q599" t="s">
        <v>45</v>
      </c>
      <c r="R599" t="s">
        <v>3151</v>
      </c>
      <c r="S599" t="s">
        <v>32</v>
      </c>
      <c r="T599" s="2">
        <v>117.007896</v>
      </c>
      <c r="U599" s="2">
        <v>39.191787</v>
      </c>
    </row>
    <row r="600" spans="1:21">
      <c r="A600" t="s">
        <v>3152</v>
      </c>
      <c r="B600" t="s">
        <v>97</v>
      </c>
      <c r="C600" t="s">
        <v>3153</v>
      </c>
      <c r="D600" t="s">
        <v>3154</v>
      </c>
      <c r="E600" t="s">
        <v>3155</v>
      </c>
      <c r="F600" t="s">
        <v>7</v>
      </c>
      <c r="G600" t="s">
        <v>7</v>
      </c>
      <c r="H600" t="s">
        <v>34</v>
      </c>
      <c r="I600" t="s">
        <v>51</v>
      </c>
      <c r="J600" t="s">
        <v>3154</v>
      </c>
      <c r="K600" t="s">
        <v>32</v>
      </c>
      <c r="L600" t="s">
        <v>32</v>
      </c>
      <c r="M600" t="s">
        <v>36</v>
      </c>
      <c r="N600" t="s">
        <v>37</v>
      </c>
      <c r="O600" t="s">
        <v>66</v>
      </c>
      <c r="P600" t="s">
        <v>66</v>
      </c>
      <c r="Q600" t="s">
        <v>45</v>
      </c>
      <c r="R600" t="s">
        <v>3156</v>
      </c>
      <c r="S600" t="s">
        <v>32</v>
      </c>
      <c r="T600" s="2">
        <v>117.149879</v>
      </c>
      <c r="U600" s="2">
        <v>39.122257</v>
      </c>
    </row>
    <row r="601" spans="1:21">
      <c r="A601" t="s">
        <v>3157</v>
      </c>
      <c r="B601" t="s">
        <v>40</v>
      </c>
      <c r="C601" t="s">
        <v>3158</v>
      </c>
      <c r="D601" t="s">
        <v>32</v>
      </c>
      <c r="E601" t="s">
        <v>3159</v>
      </c>
      <c r="F601" t="s">
        <v>7</v>
      </c>
      <c r="G601" t="s">
        <v>7</v>
      </c>
      <c r="H601" t="s">
        <v>262</v>
      </c>
      <c r="I601" t="s">
        <v>94</v>
      </c>
      <c r="J601" t="s">
        <v>32</v>
      </c>
      <c r="K601" t="s">
        <v>32</v>
      </c>
      <c r="L601" t="s">
        <v>32</v>
      </c>
      <c r="M601" t="s">
        <v>36</v>
      </c>
      <c r="N601" t="s">
        <v>37</v>
      </c>
      <c r="O601" t="s">
        <v>66</v>
      </c>
      <c r="P601" t="s">
        <v>66</v>
      </c>
      <c r="Q601" t="s">
        <v>45</v>
      </c>
      <c r="R601" t="s">
        <v>3160</v>
      </c>
      <c r="S601" t="s">
        <v>32</v>
      </c>
      <c r="T601" s="2">
        <v>117.237098</v>
      </c>
      <c r="U601" s="2">
        <v>39.152224</v>
      </c>
    </row>
    <row r="602" spans="1:21">
      <c r="A602" t="s">
        <v>3161</v>
      </c>
      <c r="B602" t="s">
        <v>3162</v>
      </c>
      <c r="C602" t="s">
        <v>3163</v>
      </c>
      <c r="D602" t="s">
        <v>32</v>
      </c>
      <c r="E602" t="s">
        <v>3164</v>
      </c>
      <c r="F602" t="s">
        <v>7</v>
      </c>
      <c r="G602" t="s">
        <v>7</v>
      </c>
      <c r="H602" t="s">
        <v>63</v>
      </c>
      <c r="I602" t="s">
        <v>51</v>
      </c>
      <c r="J602" t="s">
        <v>32</v>
      </c>
      <c r="K602" t="s">
        <v>32</v>
      </c>
      <c r="L602" t="s">
        <v>32</v>
      </c>
      <c r="M602" t="s">
        <v>36</v>
      </c>
      <c r="N602" t="s">
        <v>37</v>
      </c>
      <c r="O602" t="s">
        <v>66</v>
      </c>
      <c r="P602" t="s">
        <v>66</v>
      </c>
      <c r="Q602" t="s">
        <v>45</v>
      </c>
      <c r="R602" t="s">
        <v>3165</v>
      </c>
      <c r="S602" t="s">
        <v>32</v>
      </c>
      <c r="T602" s="2">
        <v>117.324658</v>
      </c>
      <c r="U602" s="2">
        <v>39.055216</v>
      </c>
    </row>
    <row r="603" spans="1:21">
      <c r="A603" t="s">
        <v>3166</v>
      </c>
      <c r="B603" t="s">
        <v>40</v>
      </c>
      <c r="C603" t="s">
        <v>3167</v>
      </c>
      <c r="D603" t="s">
        <v>32</v>
      </c>
      <c r="E603" t="s">
        <v>3168</v>
      </c>
      <c r="F603" t="s">
        <v>7</v>
      </c>
      <c r="G603" t="s">
        <v>7</v>
      </c>
      <c r="H603" t="s">
        <v>43</v>
      </c>
      <c r="I603" t="s">
        <v>94</v>
      </c>
      <c r="J603" t="s">
        <v>32</v>
      </c>
      <c r="K603" t="s">
        <v>32</v>
      </c>
      <c r="L603" t="s">
        <v>32</v>
      </c>
      <c r="M603" t="s">
        <v>36</v>
      </c>
      <c r="N603" t="s">
        <v>37</v>
      </c>
      <c r="O603" t="s">
        <v>66</v>
      </c>
      <c r="P603" t="s">
        <v>66</v>
      </c>
      <c r="Q603" t="s">
        <v>45</v>
      </c>
      <c r="R603" t="s">
        <v>3169</v>
      </c>
      <c r="S603" t="s">
        <v>32</v>
      </c>
      <c r="T603" s="2">
        <v>117.006351</v>
      </c>
      <c r="U603" s="2">
        <v>39.143162</v>
      </c>
    </row>
    <row r="604" spans="1:21">
      <c r="A604" t="s">
        <v>3170</v>
      </c>
      <c r="B604" t="s">
        <v>3171</v>
      </c>
      <c r="C604" t="s">
        <v>3172</v>
      </c>
      <c r="D604" t="s">
        <v>32</v>
      </c>
      <c r="E604" t="s">
        <v>3173</v>
      </c>
      <c r="F604" t="s">
        <v>7</v>
      </c>
      <c r="G604" t="s">
        <v>7</v>
      </c>
      <c r="H604" t="s">
        <v>43</v>
      </c>
      <c r="I604" t="s">
        <v>44</v>
      </c>
      <c r="J604" t="s">
        <v>32</v>
      </c>
      <c r="K604" t="s">
        <v>32</v>
      </c>
      <c r="L604" t="s">
        <v>32</v>
      </c>
      <c r="M604" t="s">
        <v>36</v>
      </c>
      <c r="N604" t="s">
        <v>37</v>
      </c>
      <c r="O604" t="s">
        <v>66</v>
      </c>
      <c r="P604" t="s">
        <v>66</v>
      </c>
      <c r="Q604" t="s">
        <v>45</v>
      </c>
      <c r="R604" t="s">
        <v>3174</v>
      </c>
      <c r="S604" t="s">
        <v>32</v>
      </c>
      <c r="T604" s="2">
        <v>116.957181</v>
      </c>
      <c r="U604" s="2">
        <v>39.091358</v>
      </c>
    </row>
    <row r="605" spans="1:21">
      <c r="A605" t="s">
        <v>3175</v>
      </c>
      <c r="B605" t="s">
        <v>374</v>
      </c>
      <c r="C605" t="s">
        <v>3176</v>
      </c>
      <c r="D605" t="s">
        <v>32</v>
      </c>
      <c r="E605" t="s">
        <v>3177</v>
      </c>
      <c r="F605" t="s">
        <v>7</v>
      </c>
      <c r="G605" t="s">
        <v>7</v>
      </c>
      <c r="H605" t="s">
        <v>56</v>
      </c>
      <c r="I605" t="s">
        <v>3150</v>
      </c>
      <c r="J605" t="s">
        <v>32</v>
      </c>
      <c r="K605" t="s">
        <v>32</v>
      </c>
      <c r="L605" t="s">
        <v>32</v>
      </c>
      <c r="M605" t="s">
        <v>36</v>
      </c>
      <c r="N605" t="s">
        <v>37</v>
      </c>
      <c r="O605" t="s">
        <v>66</v>
      </c>
      <c r="P605" t="s">
        <v>66</v>
      </c>
      <c r="Q605" t="s">
        <v>45</v>
      </c>
      <c r="R605" t="s">
        <v>3178</v>
      </c>
      <c r="S605" t="s">
        <v>32</v>
      </c>
      <c r="T605" s="2">
        <v>117.017041</v>
      </c>
      <c r="U605" s="2">
        <v>39.154693</v>
      </c>
    </row>
    <row r="606" spans="1:21">
      <c r="A606" t="s">
        <v>3179</v>
      </c>
      <c r="B606" t="s">
        <v>40</v>
      </c>
      <c r="C606" t="s">
        <v>3180</v>
      </c>
      <c r="D606" t="s">
        <v>32</v>
      </c>
      <c r="E606" t="s">
        <v>3181</v>
      </c>
      <c r="F606" t="s">
        <v>7</v>
      </c>
      <c r="G606" t="s">
        <v>7</v>
      </c>
      <c r="H606" t="s">
        <v>133</v>
      </c>
      <c r="I606" t="s">
        <v>44</v>
      </c>
      <c r="J606" t="s">
        <v>32</v>
      </c>
      <c r="K606" t="s">
        <v>32</v>
      </c>
      <c r="L606" t="s">
        <v>32</v>
      </c>
      <c r="M606" t="s">
        <v>36</v>
      </c>
      <c r="N606" t="s">
        <v>37</v>
      </c>
      <c r="O606" t="s">
        <v>66</v>
      </c>
      <c r="P606" t="s">
        <v>66</v>
      </c>
      <c r="Q606" t="s">
        <v>45</v>
      </c>
      <c r="R606" t="s">
        <v>3182</v>
      </c>
      <c r="S606" t="s">
        <v>32</v>
      </c>
      <c r="T606" s="2">
        <v>117.151735</v>
      </c>
      <c r="U606" s="2">
        <v>39.186045</v>
      </c>
    </row>
    <row r="607" spans="1:21">
      <c r="A607" t="s">
        <v>3183</v>
      </c>
      <c r="B607" t="s">
        <v>40</v>
      </c>
      <c r="C607" t="s">
        <v>3184</v>
      </c>
      <c r="D607" t="s">
        <v>32</v>
      </c>
      <c r="E607" t="s">
        <v>3185</v>
      </c>
      <c r="F607" t="s">
        <v>7</v>
      </c>
      <c r="G607" t="s">
        <v>7</v>
      </c>
      <c r="H607" t="s">
        <v>133</v>
      </c>
      <c r="I607" t="s">
        <v>44</v>
      </c>
      <c r="J607" t="s">
        <v>32</v>
      </c>
      <c r="K607" t="s">
        <v>32</v>
      </c>
      <c r="L607" t="s">
        <v>32</v>
      </c>
      <c r="M607" t="s">
        <v>36</v>
      </c>
      <c r="N607" t="s">
        <v>37</v>
      </c>
      <c r="O607" t="s">
        <v>66</v>
      </c>
      <c r="P607" t="s">
        <v>66</v>
      </c>
      <c r="Q607" t="s">
        <v>45</v>
      </c>
      <c r="R607" t="s">
        <v>3186</v>
      </c>
      <c r="S607" t="s">
        <v>32</v>
      </c>
      <c r="T607" s="2">
        <v>117.152074</v>
      </c>
      <c r="U607" s="2">
        <v>39.161512</v>
      </c>
    </row>
    <row r="608" spans="1:21">
      <c r="A608" t="s">
        <v>3187</v>
      </c>
      <c r="B608" t="s">
        <v>40</v>
      </c>
      <c r="C608" t="s">
        <v>3188</v>
      </c>
      <c r="D608" t="s">
        <v>32</v>
      </c>
      <c r="E608" t="s">
        <v>3189</v>
      </c>
      <c r="F608" t="s">
        <v>7</v>
      </c>
      <c r="G608" t="s">
        <v>7</v>
      </c>
      <c r="H608" t="s">
        <v>34</v>
      </c>
      <c r="I608" t="s">
        <v>44</v>
      </c>
      <c r="J608" t="s">
        <v>32</v>
      </c>
      <c r="K608" t="s">
        <v>32</v>
      </c>
      <c r="L608" t="s">
        <v>32</v>
      </c>
      <c r="M608" t="s">
        <v>36</v>
      </c>
      <c r="N608" t="s">
        <v>37</v>
      </c>
      <c r="O608" t="s">
        <v>66</v>
      </c>
      <c r="P608" t="s">
        <v>66</v>
      </c>
      <c r="Q608" t="s">
        <v>45</v>
      </c>
      <c r="R608" t="s">
        <v>3190</v>
      </c>
      <c r="S608" t="s">
        <v>32</v>
      </c>
      <c r="T608" s="2">
        <v>117.141209</v>
      </c>
      <c r="U608" s="2">
        <v>39.127344</v>
      </c>
    </row>
    <row r="609" spans="1:21">
      <c r="A609" t="s">
        <v>3191</v>
      </c>
      <c r="B609" t="s">
        <v>97</v>
      </c>
      <c r="C609" t="s">
        <v>3192</v>
      </c>
      <c r="D609" t="s">
        <v>32</v>
      </c>
      <c r="E609" t="s">
        <v>3193</v>
      </c>
      <c r="F609" t="s">
        <v>7</v>
      </c>
      <c r="G609" t="s">
        <v>7</v>
      </c>
      <c r="H609" t="s">
        <v>56</v>
      </c>
      <c r="I609" t="s">
        <v>1221</v>
      </c>
      <c r="J609" t="s">
        <v>32</v>
      </c>
      <c r="K609" t="s">
        <v>32</v>
      </c>
      <c r="L609" t="s">
        <v>32</v>
      </c>
      <c r="M609" t="s">
        <v>36</v>
      </c>
      <c r="N609" t="s">
        <v>37</v>
      </c>
      <c r="O609" t="s">
        <v>66</v>
      </c>
      <c r="P609" t="s">
        <v>66</v>
      </c>
      <c r="Q609" t="s">
        <v>45</v>
      </c>
      <c r="R609" t="s">
        <v>3194</v>
      </c>
      <c r="S609" t="s">
        <v>32</v>
      </c>
      <c r="T609" s="2">
        <v>117.154275</v>
      </c>
      <c r="U609" s="2">
        <v>39.197152</v>
      </c>
    </row>
    <row r="610" spans="1:21">
      <c r="A610" t="s">
        <v>3195</v>
      </c>
      <c r="B610" t="s">
        <v>3196</v>
      </c>
      <c r="C610" t="s">
        <v>3197</v>
      </c>
      <c r="D610" t="s">
        <v>3198</v>
      </c>
      <c r="E610" t="s">
        <v>3199</v>
      </c>
      <c r="F610" t="s">
        <v>7</v>
      </c>
      <c r="G610" t="s">
        <v>7</v>
      </c>
      <c r="H610" t="s">
        <v>43</v>
      </c>
      <c r="I610" t="s">
        <v>350</v>
      </c>
      <c r="J610" t="s">
        <v>3198</v>
      </c>
      <c r="K610" t="s">
        <v>32</v>
      </c>
      <c r="L610" t="s">
        <v>32</v>
      </c>
      <c r="M610" t="s">
        <v>36</v>
      </c>
      <c r="N610" t="s">
        <v>37</v>
      </c>
      <c r="O610" t="s">
        <v>66</v>
      </c>
      <c r="P610" t="s">
        <v>66</v>
      </c>
      <c r="Q610" t="s">
        <v>45</v>
      </c>
      <c r="R610" t="s">
        <v>3200</v>
      </c>
      <c r="S610" t="s">
        <v>32</v>
      </c>
      <c r="T610" s="2">
        <v>117.123794</v>
      </c>
      <c r="U610" s="2">
        <v>39.053373</v>
      </c>
    </row>
    <row r="611" spans="1:21">
      <c r="A611" t="s">
        <v>3201</v>
      </c>
      <c r="B611" t="s">
        <v>3202</v>
      </c>
      <c r="C611" t="s">
        <v>3203</v>
      </c>
      <c r="D611" t="s">
        <v>3204</v>
      </c>
      <c r="E611" t="s">
        <v>3205</v>
      </c>
      <c r="F611" t="s">
        <v>7</v>
      </c>
      <c r="G611" t="s">
        <v>7</v>
      </c>
      <c r="H611" t="s">
        <v>133</v>
      </c>
      <c r="I611" t="s">
        <v>44</v>
      </c>
      <c r="J611" t="s">
        <v>3204</v>
      </c>
      <c r="K611" t="s">
        <v>32</v>
      </c>
      <c r="L611" t="s">
        <v>32</v>
      </c>
      <c r="M611" t="s">
        <v>36</v>
      </c>
      <c r="N611" t="s">
        <v>37</v>
      </c>
      <c r="O611" t="s">
        <v>66</v>
      </c>
      <c r="P611" t="s">
        <v>66</v>
      </c>
      <c r="Q611" t="s">
        <v>45</v>
      </c>
      <c r="R611" t="s">
        <v>3206</v>
      </c>
      <c r="S611" t="s">
        <v>32</v>
      </c>
      <c r="T611" s="2">
        <v>117.150578</v>
      </c>
      <c r="U611" s="2">
        <v>39.179943</v>
      </c>
    </row>
    <row r="612" spans="1:21">
      <c r="A612" t="s">
        <v>3207</v>
      </c>
      <c r="B612" t="s">
        <v>40</v>
      </c>
      <c r="C612" t="s">
        <v>3208</v>
      </c>
      <c r="D612" t="s">
        <v>3209</v>
      </c>
      <c r="E612" t="s">
        <v>3210</v>
      </c>
      <c r="F612" t="s">
        <v>7</v>
      </c>
      <c r="G612" t="s">
        <v>7</v>
      </c>
      <c r="H612" t="s">
        <v>56</v>
      </c>
      <c r="I612" t="s">
        <v>44</v>
      </c>
      <c r="J612" t="s">
        <v>3209</v>
      </c>
      <c r="K612" t="s">
        <v>32</v>
      </c>
      <c r="L612" t="s">
        <v>32</v>
      </c>
      <c r="M612" t="s">
        <v>36</v>
      </c>
      <c r="N612" t="s">
        <v>37</v>
      </c>
      <c r="O612" t="s">
        <v>66</v>
      </c>
      <c r="P612" t="s">
        <v>66</v>
      </c>
      <c r="Q612" t="s">
        <v>45</v>
      </c>
      <c r="R612" t="s">
        <v>3211</v>
      </c>
      <c r="S612" t="s">
        <v>32</v>
      </c>
      <c r="T612" s="2">
        <v>117.084463</v>
      </c>
      <c r="U612" s="2">
        <v>39.187701</v>
      </c>
    </row>
    <row r="613" spans="1:21">
      <c r="A613" t="s">
        <v>3212</v>
      </c>
      <c r="B613" t="s">
        <v>3213</v>
      </c>
      <c r="C613" t="s">
        <v>3214</v>
      </c>
      <c r="D613" t="s">
        <v>3215</v>
      </c>
      <c r="E613" t="s">
        <v>3216</v>
      </c>
      <c r="F613" t="s">
        <v>7</v>
      </c>
      <c r="G613" t="s">
        <v>7</v>
      </c>
      <c r="H613" t="s">
        <v>133</v>
      </c>
      <c r="I613" t="s">
        <v>336</v>
      </c>
      <c r="J613" t="s">
        <v>3215</v>
      </c>
      <c r="K613" t="s">
        <v>32</v>
      </c>
      <c r="L613" t="s">
        <v>32</v>
      </c>
      <c r="M613" t="s">
        <v>36</v>
      </c>
      <c r="N613" t="s">
        <v>37</v>
      </c>
      <c r="O613" t="s">
        <v>66</v>
      </c>
      <c r="P613" t="s">
        <v>66</v>
      </c>
      <c r="Q613" t="s">
        <v>45</v>
      </c>
      <c r="R613" t="s">
        <v>3217</v>
      </c>
      <c r="S613" t="s">
        <v>32</v>
      </c>
      <c r="T613" s="2">
        <v>117.040289</v>
      </c>
      <c r="U613" s="2">
        <v>39.19967</v>
      </c>
    </row>
    <row r="614" spans="1:21">
      <c r="A614" t="s">
        <v>3218</v>
      </c>
      <c r="B614" t="s">
        <v>3135</v>
      </c>
      <c r="C614" t="s">
        <v>3219</v>
      </c>
      <c r="D614" t="s">
        <v>32</v>
      </c>
      <c r="E614" t="s">
        <v>3220</v>
      </c>
      <c r="F614" t="s">
        <v>7</v>
      </c>
      <c r="G614" t="s">
        <v>7</v>
      </c>
      <c r="H614" t="s">
        <v>50</v>
      </c>
      <c r="I614" t="s">
        <v>100</v>
      </c>
      <c r="J614" t="s">
        <v>32</v>
      </c>
      <c r="K614" t="s">
        <v>32</v>
      </c>
      <c r="L614" t="s">
        <v>32</v>
      </c>
      <c r="M614" t="s">
        <v>36</v>
      </c>
      <c r="N614" t="s">
        <v>37</v>
      </c>
      <c r="O614" t="s">
        <v>66</v>
      </c>
      <c r="P614" t="s">
        <v>66</v>
      </c>
      <c r="Q614" t="s">
        <v>45</v>
      </c>
      <c r="R614" t="s">
        <v>3221</v>
      </c>
      <c r="S614" t="s">
        <v>32</v>
      </c>
      <c r="T614" s="2">
        <v>117.227925</v>
      </c>
      <c r="U614" s="2">
        <v>39.058455</v>
      </c>
    </row>
    <row r="615" spans="1:21">
      <c r="A615" t="s">
        <v>3222</v>
      </c>
      <c r="B615" t="s">
        <v>3223</v>
      </c>
      <c r="C615" t="s">
        <v>3224</v>
      </c>
      <c r="D615" t="s">
        <v>32</v>
      </c>
      <c r="E615" t="s">
        <v>3225</v>
      </c>
      <c r="F615" t="s">
        <v>7</v>
      </c>
      <c r="G615" t="s">
        <v>7</v>
      </c>
      <c r="H615" t="s">
        <v>262</v>
      </c>
      <c r="I615" t="s">
        <v>94</v>
      </c>
      <c r="J615" t="s">
        <v>32</v>
      </c>
      <c r="K615" t="s">
        <v>32</v>
      </c>
      <c r="L615" t="s">
        <v>32</v>
      </c>
      <c r="M615" t="s">
        <v>36</v>
      </c>
      <c r="N615" t="s">
        <v>37</v>
      </c>
      <c r="O615" t="s">
        <v>66</v>
      </c>
      <c r="P615" t="s">
        <v>66</v>
      </c>
      <c r="Q615" t="s">
        <v>45</v>
      </c>
      <c r="R615" t="s">
        <v>3226</v>
      </c>
      <c r="S615" t="s">
        <v>32</v>
      </c>
      <c r="T615" s="2">
        <v>117.215694</v>
      </c>
      <c r="U615" s="2">
        <v>39.161013</v>
      </c>
    </row>
    <row r="616" spans="1:21">
      <c r="A616" t="s">
        <v>3227</v>
      </c>
      <c r="B616" t="s">
        <v>40</v>
      </c>
      <c r="C616" t="s">
        <v>3228</v>
      </c>
      <c r="D616" t="s">
        <v>32</v>
      </c>
      <c r="E616" t="s">
        <v>3229</v>
      </c>
      <c r="F616" t="s">
        <v>7</v>
      </c>
      <c r="G616" t="s">
        <v>7</v>
      </c>
      <c r="H616" t="s">
        <v>43</v>
      </c>
      <c r="I616" t="s">
        <v>44</v>
      </c>
      <c r="J616" t="s">
        <v>32</v>
      </c>
      <c r="K616" t="s">
        <v>32</v>
      </c>
      <c r="L616" t="s">
        <v>32</v>
      </c>
      <c r="M616" t="s">
        <v>36</v>
      </c>
      <c r="N616" t="s">
        <v>37</v>
      </c>
      <c r="O616" t="s">
        <v>66</v>
      </c>
      <c r="P616" t="s">
        <v>66</v>
      </c>
      <c r="Q616" t="s">
        <v>45</v>
      </c>
      <c r="R616" t="s">
        <v>3230</v>
      </c>
      <c r="S616" t="s">
        <v>32</v>
      </c>
      <c r="T616" s="2">
        <v>117.124967</v>
      </c>
      <c r="U616" s="2">
        <v>39.139436</v>
      </c>
    </row>
    <row r="617" spans="1:21">
      <c r="A617" t="s">
        <v>3231</v>
      </c>
      <c r="B617" t="s">
        <v>3232</v>
      </c>
      <c r="C617" t="s">
        <v>267</v>
      </c>
      <c r="D617" t="s">
        <v>32</v>
      </c>
      <c r="E617" t="s">
        <v>3233</v>
      </c>
      <c r="F617" t="s">
        <v>7</v>
      </c>
      <c r="G617" t="s">
        <v>7</v>
      </c>
      <c r="H617" t="s">
        <v>262</v>
      </c>
      <c r="I617" t="s">
        <v>94</v>
      </c>
      <c r="J617" t="s">
        <v>32</v>
      </c>
      <c r="K617" t="s">
        <v>32</v>
      </c>
      <c r="L617" t="s">
        <v>32</v>
      </c>
      <c r="M617" t="s">
        <v>36</v>
      </c>
      <c r="N617" t="s">
        <v>37</v>
      </c>
      <c r="O617" t="s">
        <v>66</v>
      </c>
      <c r="P617" t="s">
        <v>66</v>
      </c>
      <c r="Q617" t="s">
        <v>45</v>
      </c>
      <c r="R617" t="s">
        <v>3234</v>
      </c>
      <c r="S617" t="s">
        <v>32</v>
      </c>
      <c r="T617" s="2">
        <v>117.234393</v>
      </c>
      <c r="U617" s="2">
        <v>39.163195</v>
      </c>
    </row>
    <row r="618" spans="1:21">
      <c r="A618" t="s">
        <v>3235</v>
      </c>
      <c r="B618" t="s">
        <v>3236</v>
      </c>
      <c r="C618" t="s">
        <v>3237</v>
      </c>
      <c r="D618" t="s">
        <v>3238</v>
      </c>
      <c r="E618" t="s">
        <v>3239</v>
      </c>
      <c r="F618" t="s">
        <v>7</v>
      </c>
      <c r="G618" t="s">
        <v>7</v>
      </c>
      <c r="H618" t="s">
        <v>56</v>
      </c>
      <c r="I618" t="s">
        <v>51</v>
      </c>
      <c r="J618" t="s">
        <v>3238</v>
      </c>
      <c r="K618" t="s">
        <v>32</v>
      </c>
      <c r="L618" t="s">
        <v>32</v>
      </c>
      <c r="M618" t="s">
        <v>36</v>
      </c>
      <c r="N618" t="s">
        <v>37</v>
      </c>
      <c r="O618" t="s">
        <v>66</v>
      </c>
      <c r="P618" t="s">
        <v>66</v>
      </c>
      <c r="Q618" t="s">
        <v>45</v>
      </c>
      <c r="R618" t="s">
        <v>3240</v>
      </c>
      <c r="S618" t="s">
        <v>32</v>
      </c>
      <c r="T618" s="2">
        <v>117.229261</v>
      </c>
      <c r="U618" s="2">
        <v>39.20492</v>
      </c>
    </row>
    <row r="619" spans="1:21">
      <c r="A619" t="s">
        <v>3241</v>
      </c>
      <c r="B619" t="s">
        <v>3242</v>
      </c>
      <c r="C619" t="s">
        <v>1043</v>
      </c>
      <c r="D619" t="s">
        <v>3243</v>
      </c>
      <c r="E619" t="s">
        <v>3244</v>
      </c>
      <c r="F619" t="s">
        <v>7</v>
      </c>
      <c r="G619" t="s">
        <v>7</v>
      </c>
      <c r="H619" t="s">
        <v>262</v>
      </c>
      <c r="I619" t="s">
        <v>44</v>
      </c>
      <c r="J619" t="s">
        <v>3243</v>
      </c>
      <c r="K619" t="s">
        <v>32</v>
      </c>
      <c r="L619" t="s">
        <v>32</v>
      </c>
      <c r="M619" t="s">
        <v>36</v>
      </c>
      <c r="N619" t="s">
        <v>37</v>
      </c>
      <c r="O619" t="s">
        <v>66</v>
      </c>
      <c r="P619" t="s">
        <v>66</v>
      </c>
      <c r="Q619" t="s">
        <v>45</v>
      </c>
      <c r="R619" t="s">
        <v>3245</v>
      </c>
      <c r="S619" t="s">
        <v>32</v>
      </c>
      <c r="T619" s="2">
        <v>117.246231</v>
      </c>
      <c r="U619" s="2">
        <v>39.162123</v>
      </c>
    </row>
    <row r="620" spans="1:21">
      <c r="A620" t="s">
        <v>3246</v>
      </c>
      <c r="B620" t="s">
        <v>2692</v>
      </c>
      <c r="C620" t="s">
        <v>3247</v>
      </c>
      <c r="D620" t="s">
        <v>3248</v>
      </c>
      <c r="E620" t="s">
        <v>3249</v>
      </c>
      <c r="F620" t="s">
        <v>7</v>
      </c>
      <c r="G620" t="s">
        <v>7</v>
      </c>
      <c r="H620" t="s">
        <v>56</v>
      </c>
      <c r="I620" t="s">
        <v>44</v>
      </c>
      <c r="J620" t="s">
        <v>3248</v>
      </c>
      <c r="K620" t="s">
        <v>32</v>
      </c>
      <c r="L620" t="s">
        <v>32</v>
      </c>
      <c r="M620" t="s">
        <v>36</v>
      </c>
      <c r="N620" t="s">
        <v>37</v>
      </c>
      <c r="O620" t="s">
        <v>66</v>
      </c>
      <c r="P620" t="s">
        <v>66</v>
      </c>
      <c r="Q620" t="s">
        <v>45</v>
      </c>
      <c r="R620" t="s">
        <v>3250</v>
      </c>
      <c r="S620" t="s">
        <v>32</v>
      </c>
      <c r="T620" s="2">
        <v>117.213031</v>
      </c>
      <c r="U620" s="2">
        <v>39.261883</v>
      </c>
    </row>
    <row r="621" spans="1:21">
      <c r="A621" t="s">
        <v>3251</v>
      </c>
      <c r="B621" t="s">
        <v>374</v>
      </c>
      <c r="C621" t="s">
        <v>3252</v>
      </c>
      <c r="D621" t="s">
        <v>32</v>
      </c>
      <c r="E621" t="s">
        <v>3253</v>
      </c>
      <c r="F621" t="s">
        <v>7</v>
      </c>
      <c r="G621" t="s">
        <v>7</v>
      </c>
      <c r="H621" t="s">
        <v>34</v>
      </c>
      <c r="I621" t="s">
        <v>94</v>
      </c>
      <c r="J621" t="s">
        <v>32</v>
      </c>
      <c r="K621" t="s">
        <v>32</v>
      </c>
      <c r="L621" t="s">
        <v>32</v>
      </c>
      <c r="M621" t="s">
        <v>36</v>
      </c>
      <c r="N621" t="s">
        <v>37</v>
      </c>
      <c r="O621" t="s">
        <v>66</v>
      </c>
      <c r="P621" t="s">
        <v>66</v>
      </c>
      <c r="Q621" t="s">
        <v>45</v>
      </c>
      <c r="R621" t="s">
        <v>3254</v>
      </c>
      <c r="S621" t="s">
        <v>32</v>
      </c>
      <c r="T621" s="2">
        <v>117.15848</v>
      </c>
      <c r="U621" s="2">
        <v>39.086882</v>
      </c>
    </row>
    <row r="622" spans="1:21">
      <c r="A622" t="s">
        <v>3255</v>
      </c>
      <c r="B622" t="s">
        <v>40</v>
      </c>
      <c r="C622" t="s">
        <v>3256</v>
      </c>
      <c r="D622" t="s">
        <v>32</v>
      </c>
      <c r="E622" t="s">
        <v>3257</v>
      </c>
      <c r="F622" t="s">
        <v>7</v>
      </c>
      <c r="G622" t="s">
        <v>7</v>
      </c>
      <c r="H622" t="s">
        <v>56</v>
      </c>
      <c r="I622" t="s">
        <v>3150</v>
      </c>
      <c r="J622" t="s">
        <v>32</v>
      </c>
      <c r="K622" t="s">
        <v>32</v>
      </c>
      <c r="L622" t="s">
        <v>32</v>
      </c>
      <c r="M622" t="s">
        <v>36</v>
      </c>
      <c r="N622" t="s">
        <v>37</v>
      </c>
      <c r="O622" t="s">
        <v>66</v>
      </c>
      <c r="P622" t="s">
        <v>66</v>
      </c>
      <c r="Q622" t="s">
        <v>45</v>
      </c>
      <c r="R622" t="s">
        <v>3258</v>
      </c>
      <c r="S622" t="s">
        <v>32</v>
      </c>
      <c r="T622" s="2">
        <v>117.187597</v>
      </c>
      <c r="U622" s="2">
        <v>39.236951</v>
      </c>
    </row>
    <row r="623" spans="1:21">
      <c r="A623" t="s">
        <v>3259</v>
      </c>
      <c r="B623" t="s">
        <v>374</v>
      </c>
      <c r="C623" t="s">
        <v>3260</v>
      </c>
      <c r="D623" t="s">
        <v>32</v>
      </c>
      <c r="E623" t="s">
        <v>3261</v>
      </c>
      <c r="F623" t="s">
        <v>7</v>
      </c>
      <c r="G623" t="s">
        <v>7</v>
      </c>
      <c r="H623" t="s">
        <v>56</v>
      </c>
      <c r="I623" t="s">
        <v>3150</v>
      </c>
      <c r="J623" t="s">
        <v>32</v>
      </c>
      <c r="K623" t="s">
        <v>32</v>
      </c>
      <c r="L623" t="s">
        <v>32</v>
      </c>
      <c r="M623" t="s">
        <v>36</v>
      </c>
      <c r="N623" t="s">
        <v>37</v>
      </c>
      <c r="O623" t="s">
        <v>66</v>
      </c>
      <c r="P623" t="s">
        <v>66</v>
      </c>
      <c r="Q623" t="s">
        <v>45</v>
      </c>
      <c r="R623" t="s">
        <v>3262</v>
      </c>
      <c r="S623" t="s">
        <v>32</v>
      </c>
      <c r="T623" s="2">
        <v>117.210716</v>
      </c>
      <c r="U623" s="2">
        <v>39.28194</v>
      </c>
    </row>
    <row r="624" spans="1:21">
      <c r="A624" t="s">
        <v>3263</v>
      </c>
      <c r="B624" t="s">
        <v>3264</v>
      </c>
      <c r="C624" t="s">
        <v>3265</v>
      </c>
      <c r="D624" t="s">
        <v>32</v>
      </c>
      <c r="E624" t="s">
        <v>3266</v>
      </c>
      <c r="F624" t="s">
        <v>7</v>
      </c>
      <c r="G624" t="s">
        <v>7</v>
      </c>
      <c r="H624" t="s">
        <v>43</v>
      </c>
      <c r="I624" t="s">
        <v>44</v>
      </c>
      <c r="J624" t="s">
        <v>32</v>
      </c>
      <c r="K624" t="s">
        <v>32</v>
      </c>
      <c r="L624" t="s">
        <v>32</v>
      </c>
      <c r="M624" t="s">
        <v>36</v>
      </c>
      <c r="N624" t="s">
        <v>37</v>
      </c>
      <c r="O624" t="s">
        <v>66</v>
      </c>
      <c r="P624" t="s">
        <v>66</v>
      </c>
      <c r="Q624" t="s">
        <v>45</v>
      </c>
      <c r="R624" t="s">
        <v>3267</v>
      </c>
      <c r="S624" t="s">
        <v>32</v>
      </c>
      <c r="T624" s="2">
        <v>116.986053</v>
      </c>
      <c r="U624" s="2">
        <v>39.088201</v>
      </c>
    </row>
    <row r="625" spans="1:21">
      <c r="A625" t="s">
        <v>3268</v>
      </c>
      <c r="B625" t="s">
        <v>3269</v>
      </c>
      <c r="C625" t="s">
        <v>3270</v>
      </c>
      <c r="D625" t="s">
        <v>3271</v>
      </c>
      <c r="E625" t="s">
        <v>3272</v>
      </c>
      <c r="F625" t="s">
        <v>7</v>
      </c>
      <c r="G625" t="s">
        <v>7</v>
      </c>
      <c r="H625" t="s">
        <v>43</v>
      </c>
      <c r="I625" t="s">
        <v>51</v>
      </c>
      <c r="J625" t="s">
        <v>3271</v>
      </c>
      <c r="K625" t="s">
        <v>32</v>
      </c>
      <c r="L625" t="s">
        <v>32</v>
      </c>
      <c r="M625" t="s">
        <v>36</v>
      </c>
      <c r="N625" t="s">
        <v>37</v>
      </c>
      <c r="O625" t="s">
        <v>66</v>
      </c>
      <c r="P625" t="s">
        <v>66</v>
      </c>
      <c r="Q625" t="s">
        <v>45</v>
      </c>
      <c r="R625" t="s">
        <v>3273</v>
      </c>
      <c r="S625" t="s">
        <v>32</v>
      </c>
      <c r="T625" s="2">
        <v>117.117167</v>
      </c>
      <c r="U625" s="2">
        <v>39.16975</v>
      </c>
    </row>
    <row r="626" spans="1:21">
      <c r="A626" t="s">
        <v>3274</v>
      </c>
      <c r="B626" t="s">
        <v>40</v>
      </c>
      <c r="C626" t="s">
        <v>3275</v>
      </c>
      <c r="D626" t="s">
        <v>32</v>
      </c>
      <c r="E626" t="s">
        <v>3276</v>
      </c>
      <c r="F626" t="s">
        <v>7</v>
      </c>
      <c r="G626" t="s">
        <v>7</v>
      </c>
      <c r="H626" t="s">
        <v>262</v>
      </c>
      <c r="I626" t="s">
        <v>44</v>
      </c>
      <c r="J626" t="s">
        <v>32</v>
      </c>
      <c r="K626" t="s">
        <v>32</v>
      </c>
      <c r="L626" t="s">
        <v>32</v>
      </c>
      <c r="M626" t="s">
        <v>36</v>
      </c>
      <c r="N626" t="s">
        <v>37</v>
      </c>
      <c r="O626" t="s">
        <v>66</v>
      </c>
      <c r="P626" t="s">
        <v>66</v>
      </c>
      <c r="Q626" t="s">
        <v>45</v>
      </c>
      <c r="R626" t="s">
        <v>3277</v>
      </c>
      <c r="S626" t="s">
        <v>32</v>
      </c>
      <c r="T626" s="2">
        <v>117.237967</v>
      </c>
      <c r="U626" s="2">
        <v>39.166672</v>
      </c>
    </row>
    <row r="627" spans="1:21">
      <c r="A627" t="s">
        <v>3278</v>
      </c>
      <c r="B627" t="s">
        <v>40</v>
      </c>
      <c r="C627" t="s">
        <v>3279</v>
      </c>
      <c r="D627" t="s">
        <v>32</v>
      </c>
      <c r="E627" t="s">
        <v>3280</v>
      </c>
      <c r="F627" t="s">
        <v>7</v>
      </c>
      <c r="G627" t="s">
        <v>7</v>
      </c>
      <c r="H627" t="s">
        <v>56</v>
      </c>
      <c r="I627" t="s">
        <v>44</v>
      </c>
      <c r="J627" t="s">
        <v>32</v>
      </c>
      <c r="K627" t="s">
        <v>32</v>
      </c>
      <c r="L627" t="s">
        <v>32</v>
      </c>
      <c r="M627" t="s">
        <v>36</v>
      </c>
      <c r="N627" t="s">
        <v>37</v>
      </c>
      <c r="O627" t="s">
        <v>66</v>
      </c>
      <c r="P627" t="s">
        <v>66</v>
      </c>
      <c r="Q627" t="s">
        <v>45</v>
      </c>
      <c r="R627" t="s">
        <v>3281</v>
      </c>
      <c r="S627" t="s">
        <v>32</v>
      </c>
      <c r="T627" s="2">
        <v>117.147594</v>
      </c>
      <c r="U627" s="2">
        <v>39.194564</v>
      </c>
    </row>
    <row r="628" spans="1:21">
      <c r="A628" t="s">
        <v>3282</v>
      </c>
      <c r="B628" t="s">
        <v>374</v>
      </c>
      <c r="C628" t="s">
        <v>3283</v>
      </c>
      <c r="D628" t="s">
        <v>32</v>
      </c>
      <c r="E628" t="s">
        <v>3284</v>
      </c>
      <c r="F628" t="s">
        <v>7</v>
      </c>
      <c r="G628" t="s">
        <v>7</v>
      </c>
      <c r="H628" t="s">
        <v>43</v>
      </c>
      <c r="I628" t="s">
        <v>44</v>
      </c>
      <c r="J628" t="s">
        <v>32</v>
      </c>
      <c r="K628" t="s">
        <v>32</v>
      </c>
      <c r="L628" t="s">
        <v>32</v>
      </c>
      <c r="M628" t="s">
        <v>36</v>
      </c>
      <c r="N628" t="s">
        <v>37</v>
      </c>
      <c r="O628" t="s">
        <v>66</v>
      </c>
      <c r="P628" t="s">
        <v>66</v>
      </c>
      <c r="Q628" t="s">
        <v>45</v>
      </c>
      <c r="R628" t="s">
        <v>3285</v>
      </c>
      <c r="S628" t="s">
        <v>32</v>
      </c>
      <c r="T628" s="2">
        <v>116.985717</v>
      </c>
      <c r="U628" s="2">
        <v>39.105226</v>
      </c>
    </row>
    <row r="629" spans="1:21">
      <c r="A629" t="s">
        <v>3286</v>
      </c>
      <c r="B629" t="s">
        <v>40</v>
      </c>
      <c r="C629" t="s">
        <v>3287</v>
      </c>
      <c r="D629" t="s">
        <v>32</v>
      </c>
      <c r="E629" t="s">
        <v>3288</v>
      </c>
      <c r="F629" t="s">
        <v>7</v>
      </c>
      <c r="G629" t="s">
        <v>7</v>
      </c>
      <c r="H629" t="s">
        <v>262</v>
      </c>
      <c r="I629" t="s">
        <v>94</v>
      </c>
      <c r="J629" t="s">
        <v>32</v>
      </c>
      <c r="K629" t="s">
        <v>32</v>
      </c>
      <c r="L629" t="s">
        <v>32</v>
      </c>
      <c r="M629" t="s">
        <v>36</v>
      </c>
      <c r="N629" t="s">
        <v>37</v>
      </c>
      <c r="O629" t="s">
        <v>66</v>
      </c>
      <c r="P629" t="s">
        <v>66</v>
      </c>
      <c r="Q629" t="s">
        <v>45</v>
      </c>
      <c r="R629" t="s">
        <v>3289</v>
      </c>
      <c r="S629" t="s">
        <v>32</v>
      </c>
      <c r="T629" s="2">
        <v>117.195068</v>
      </c>
      <c r="U629" s="2">
        <v>39.184607</v>
      </c>
    </row>
    <row r="630" spans="1:21">
      <c r="A630" t="s">
        <v>3290</v>
      </c>
      <c r="B630" t="s">
        <v>40</v>
      </c>
      <c r="C630" t="s">
        <v>3291</v>
      </c>
      <c r="D630" t="s">
        <v>32</v>
      </c>
      <c r="E630" t="s">
        <v>3292</v>
      </c>
      <c r="F630" t="s">
        <v>7</v>
      </c>
      <c r="G630" t="s">
        <v>7</v>
      </c>
      <c r="H630" t="s">
        <v>133</v>
      </c>
      <c r="I630" t="s">
        <v>94</v>
      </c>
      <c r="J630" t="s">
        <v>32</v>
      </c>
      <c r="K630" t="s">
        <v>32</v>
      </c>
      <c r="L630" t="s">
        <v>32</v>
      </c>
      <c r="M630" t="s">
        <v>36</v>
      </c>
      <c r="N630" t="s">
        <v>37</v>
      </c>
      <c r="O630" t="s">
        <v>66</v>
      </c>
      <c r="P630" t="s">
        <v>66</v>
      </c>
      <c r="Q630" t="s">
        <v>45</v>
      </c>
      <c r="R630" t="s">
        <v>3293</v>
      </c>
      <c r="S630" t="s">
        <v>32</v>
      </c>
      <c r="T630" s="2">
        <v>117.145334</v>
      </c>
      <c r="U630" s="2">
        <v>39.154487</v>
      </c>
    </row>
    <row r="631" spans="1:21">
      <c r="A631" t="s">
        <v>3294</v>
      </c>
      <c r="B631" t="s">
        <v>40</v>
      </c>
      <c r="C631" t="s">
        <v>3295</v>
      </c>
      <c r="D631" t="s">
        <v>32</v>
      </c>
      <c r="E631" t="s">
        <v>3296</v>
      </c>
      <c r="F631" t="s">
        <v>7</v>
      </c>
      <c r="G631" t="s">
        <v>7</v>
      </c>
      <c r="H631" t="s">
        <v>133</v>
      </c>
      <c r="I631" t="s">
        <v>44</v>
      </c>
      <c r="J631" t="s">
        <v>32</v>
      </c>
      <c r="K631" t="s">
        <v>32</v>
      </c>
      <c r="L631" t="s">
        <v>32</v>
      </c>
      <c r="M631" t="s">
        <v>36</v>
      </c>
      <c r="N631" t="s">
        <v>37</v>
      </c>
      <c r="O631" t="s">
        <v>66</v>
      </c>
      <c r="P631" t="s">
        <v>66</v>
      </c>
      <c r="Q631" t="s">
        <v>45</v>
      </c>
      <c r="R631" t="s">
        <v>3297</v>
      </c>
      <c r="S631" t="s">
        <v>32</v>
      </c>
      <c r="T631" s="2">
        <v>117.157072</v>
      </c>
      <c r="U631" s="2">
        <v>39.184159</v>
      </c>
    </row>
    <row r="632" spans="1:21">
      <c r="A632" t="s">
        <v>3298</v>
      </c>
      <c r="B632" t="s">
        <v>374</v>
      </c>
      <c r="C632" t="s">
        <v>3299</v>
      </c>
      <c r="D632" t="s">
        <v>32</v>
      </c>
      <c r="E632" t="s">
        <v>3300</v>
      </c>
      <c r="F632" t="s">
        <v>7</v>
      </c>
      <c r="G632" t="s">
        <v>7</v>
      </c>
      <c r="H632" t="s">
        <v>56</v>
      </c>
      <c r="I632" t="s">
        <v>94</v>
      </c>
      <c r="J632" t="s">
        <v>32</v>
      </c>
      <c r="K632" t="s">
        <v>32</v>
      </c>
      <c r="L632" t="s">
        <v>32</v>
      </c>
      <c r="M632" t="s">
        <v>36</v>
      </c>
      <c r="N632" t="s">
        <v>37</v>
      </c>
      <c r="O632" t="s">
        <v>66</v>
      </c>
      <c r="P632" t="s">
        <v>66</v>
      </c>
      <c r="Q632" t="s">
        <v>45</v>
      </c>
      <c r="R632" t="s">
        <v>3301</v>
      </c>
      <c r="S632" t="s">
        <v>32</v>
      </c>
      <c r="T632" s="2">
        <v>117.231806</v>
      </c>
      <c r="U632" s="2">
        <v>39.249689</v>
      </c>
    </row>
    <row r="633" spans="1:21">
      <c r="A633" t="s">
        <v>3302</v>
      </c>
      <c r="B633" t="s">
        <v>3130</v>
      </c>
      <c r="C633" t="s">
        <v>3303</v>
      </c>
      <c r="D633" t="s">
        <v>3304</v>
      </c>
      <c r="E633" t="s">
        <v>3305</v>
      </c>
      <c r="F633" t="s">
        <v>7</v>
      </c>
      <c r="G633" t="s">
        <v>7</v>
      </c>
      <c r="H633" t="s">
        <v>50</v>
      </c>
      <c r="I633" t="s">
        <v>44</v>
      </c>
      <c r="J633" t="s">
        <v>3304</v>
      </c>
      <c r="K633" t="s">
        <v>32</v>
      </c>
      <c r="L633" t="s">
        <v>32</v>
      </c>
      <c r="M633" t="s">
        <v>36</v>
      </c>
      <c r="N633" t="s">
        <v>37</v>
      </c>
      <c r="O633" t="s">
        <v>66</v>
      </c>
      <c r="P633" t="s">
        <v>66</v>
      </c>
      <c r="Q633" t="s">
        <v>45</v>
      </c>
      <c r="R633" t="s">
        <v>3306</v>
      </c>
      <c r="S633" t="s">
        <v>32</v>
      </c>
      <c r="T633" s="2">
        <v>117.224272</v>
      </c>
      <c r="U633" s="2">
        <v>39.07374</v>
      </c>
    </row>
    <row r="634" spans="1:21">
      <c r="A634" t="s">
        <v>3307</v>
      </c>
      <c r="B634" t="s">
        <v>3269</v>
      </c>
      <c r="C634" t="s">
        <v>3308</v>
      </c>
      <c r="D634" t="s">
        <v>3309</v>
      </c>
      <c r="E634" t="s">
        <v>3310</v>
      </c>
      <c r="F634" t="s">
        <v>7</v>
      </c>
      <c r="G634" t="s">
        <v>7</v>
      </c>
      <c r="H634" t="s">
        <v>43</v>
      </c>
      <c r="I634" t="s">
        <v>44</v>
      </c>
      <c r="J634" t="s">
        <v>3309</v>
      </c>
      <c r="K634" t="s">
        <v>32</v>
      </c>
      <c r="L634" t="s">
        <v>32</v>
      </c>
      <c r="M634" t="s">
        <v>36</v>
      </c>
      <c r="N634" t="s">
        <v>37</v>
      </c>
      <c r="O634" t="s">
        <v>66</v>
      </c>
      <c r="P634" t="s">
        <v>66</v>
      </c>
      <c r="Q634" t="s">
        <v>45</v>
      </c>
      <c r="R634" t="s">
        <v>3311</v>
      </c>
      <c r="S634" t="s">
        <v>32</v>
      </c>
      <c r="T634" s="2">
        <v>117.117988</v>
      </c>
      <c r="U634" s="2">
        <v>39.104564</v>
      </c>
    </row>
    <row r="635" spans="1:21">
      <c r="A635" t="s">
        <v>3312</v>
      </c>
      <c r="B635" t="s">
        <v>3313</v>
      </c>
      <c r="C635" t="s">
        <v>3314</v>
      </c>
      <c r="D635" t="s">
        <v>32</v>
      </c>
      <c r="E635" t="s">
        <v>3315</v>
      </c>
      <c r="F635" t="s">
        <v>7</v>
      </c>
      <c r="G635" t="s">
        <v>7</v>
      </c>
      <c r="H635" t="s">
        <v>262</v>
      </c>
      <c r="I635" t="s">
        <v>350</v>
      </c>
      <c r="J635" t="s">
        <v>32</v>
      </c>
      <c r="K635" t="s">
        <v>32</v>
      </c>
      <c r="L635" t="s">
        <v>32</v>
      </c>
      <c r="M635" t="s">
        <v>36</v>
      </c>
      <c r="N635" t="s">
        <v>37</v>
      </c>
      <c r="O635" t="s">
        <v>66</v>
      </c>
      <c r="P635" t="s">
        <v>66</v>
      </c>
      <c r="Q635" t="s">
        <v>45</v>
      </c>
      <c r="R635" t="s">
        <v>3316</v>
      </c>
      <c r="S635" t="s">
        <v>32</v>
      </c>
      <c r="T635" s="2">
        <v>117.232995</v>
      </c>
      <c r="U635" s="2">
        <v>39.183561</v>
      </c>
    </row>
    <row r="636" spans="1:21">
      <c r="A636" t="s">
        <v>3317</v>
      </c>
      <c r="B636" t="s">
        <v>40</v>
      </c>
      <c r="C636" t="s">
        <v>3318</v>
      </c>
      <c r="D636" t="s">
        <v>32</v>
      </c>
      <c r="E636" t="s">
        <v>3319</v>
      </c>
      <c r="F636" t="s">
        <v>7</v>
      </c>
      <c r="G636" t="s">
        <v>7</v>
      </c>
      <c r="H636" t="s">
        <v>43</v>
      </c>
      <c r="I636" t="s">
        <v>44</v>
      </c>
      <c r="J636" t="s">
        <v>32</v>
      </c>
      <c r="K636" t="s">
        <v>32</v>
      </c>
      <c r="L636" t="s">
        <v>32</v>
      </c>
      <c r="M636" t="s">
        <v>36</v>
      </c>
      <c r="N636" t="s">
        <v>37</v>
      </c>
      <c r="O636" t="s">
        <v>66</v>
      </c>
      <c r="P636" t="s">
        <v>66</v>
      </c>
      <c r="Q636" t="s">
        <v>45</v>
      </c>
      <c r="R636" t="s">
        <v>2848</v>
      </c>
      <c r="S636" t="s">
        <v>32</v>
      </c>
      <c r="T636" s="2">
        <v>116.970716</v>
      </c>
      <c r="U636" s="2">
        <v>39.09034</v>
      </c>
    </row>
    <row r="637" spans="1:21">
      <c r="A637" t="s">
        <v>3320</v>
      </c>
      <c r="B637" t="s">
        <v>130</v>
      </c>
      <c r="C637" t="s">
        <v>3321</v>
      </c>
      <c r="D637" t="s">
        <v>32</v>
      </c>
      <c r="E637" t="s">
        <v>3322</v>
      </c>
      <c r="F637" t="s">
        <v>7</v>
      </c>
      <c r="G637" t="s">
        <v>7</v>
      </c>
      <c r="H637" t="s">
        <v>105</v>
      </c>
      <c r="I637" t="s">
        <v>100</v>
      </c>
      <c r="J637" t="s">
        <v>32</v>
      </c>
      <c r="K637" t="s">
        <v>32</v>
      </c>
      <c r="L637" t="s">
        <v>32</v>
      </c>
      <c r="M637" t="s">
        <v>36</v>
      </c>
      <c r="N637" t="s">
        <v>37</v>
      </c>
      <c r="O637" t="s">
        <v>66</v>
      </c>
      <c r="P637" t="s">
        <v>66</v>
      </c>
      <c r="Q637" t="s">
        <v>45</v>
      </c>
      <c r="R637" t="s">
        <v>3323</v>
      </c>
      <c r="S637" t="s">
        <v>32</v>
      </c>
      <c r="T637" s="2">
        <v>117.226986</v>
      </c>
      <c r="U637" s="2">
        <v>39.145483</v>
      </c>
    </row>
    <row r="638" spans="1:21">
      <c r="A638" t="s">
        <v>3324</v>
      </c>
      <c r="B638" t="s">
        <v>3325</v>
      </c>
      <c r="C638" t="s">
        <v>3326</v>
      </c>
      <c r="D638" t="s">
        <v>32</v>
      </c>
      <c r="E638" t="s">
        <v>3327</v>
      </c>
      <c r="F638" t="s">
        <v>7</v>
      </c>
      <c r="G638" t="s">
        <v>7</v>
      </c>
      <c r="H638" t="s">
        <v>34</v>
      </c>
      <c r="I638" t="s">
        <v>51</v>
      </c>
      <c r="J638" t="s">
        <v>32</v>
      </c>
      <c r="K638" t="s">
        <v>32</v>
      </c>
      <c r="L638" t="s">
        <v>32</v>
      </c>
      <c r="M638" t="s">
        <v>36</v>
      </c>
      <c r="N638" t="s">
        <v>37</v>
      </c>
      <c r="O638" t="s">
        <v>66</v>
      </c>
      <c r="P638" t="s">
        <v>66</v>
      </c>
      <c r="Q638" t="s">
        <v>45</v>
      </c>
      <c r="R638" t="s">
        <v>3328</v>
      </c>
      <c r="S638" t="s">
        <v>32</v>
      </c>
      <c r="T638" s="2">
        <v>117.125766</v>
      </c>
      <c r="U638" s="2">
        <v>39.147781</v>
      </c>
    </row>
    <row r="639" spans="1:21">
      <c r="A639" t="s">
        <v>3329</v>
      </c>
      <c r="B639" t="s">
        <v>40</v>
      </c>
      <c r="C639" t="s">
        <v>433</v>
      </c>
      <c r="D639" t="s">
        <v>32</v>
      </c>
      <c r="E639" t="s">
        <v>3330</v>
      </c>
      <c r="F639" t="s">
        <v>7</v>
      </c>
      <c r="G639" t="s">
        <v>7</v>
      </c>
      <c r="H639" t="s">
        <v>43</v>
      </c>
      <c r="I639" t="s">
        <v>44</v>
      </c>
      <c r="J639" t="s">
        <v>32</v>
      </c>
      <c r="K639" t="s">
        <v>32</v>
      </c>
      <c r="L639" t="s">
        <v>32</v>
      </c>
      <c r="M639" t="s">
        <v>36</v>
      </c>
      <c r="N639" t="s">
        <v>37</v>
      </c>
      <c r="O639" t="s">
        <v>66</v>
      </c>
      <c r="P639" t="s">
        <v>66</v>
      </c>
      <c r="Q639" t="s">
        <v>45</v>
      </c>
      <c r="R639" t="s">
        <v>3331</v>
      </c>
      <c r="S639" t="s">
        <v>32</v>
      </c>
      <c r="T639" s="2">
        <v>117.087642</v>
      </c>
      <c r="U639" s="2">
        <v>39.129155</v>
      </c>
    </row>
    <row r="640" spans="1:21">
      <c r="A640" t="s">
        <v>3332</v>
      </c>
      <c r="B640" t="s">
        <v>3333</v>
      </c>
      <c r="C640" t="s">
        <v>3334</v>
      </c>
      <c r="D640" t="s">
        <v>3335</v>
      </c>
      <c r="E640" t="s">
        <v>3336</v>
      </c>
      <c r="F640" t="s">
        <v>7</v>
      </c>
      <c r="G640" t="s">
        <v>7</v>
      </c>
      <c r="H640" t="s">
        <v>43</v>
      </c>
      <c r="I640" t="s">
        <v>350</v>
      </c>
      <c r="J640" t="s">
        <v>3335</v>
      </c>
      <c r="K640" t="s">
        <v>32</v>
      </c>
      <c r="L640" t="s">
        <v>32</v>
      </c>
      <c r="M640" t="s">
        <v>36</v>
      </c>
      <c r="N640" t="s">
        <v>37</v>
      </c>
      <c r="O640" t="s">
        <v>66</v>
      </c>
      <c r="P640" t="s">
        <v>66</v>
      </c>
      <c r="Q640" t="s">
        <v>32</v>
      </c>
      <c r="R640" t="s">
        <v>3337</v>
      </c>
      <c r="S640" t="s">
        <v>32</v>
      </c>
      <c r="T640" s="2">
        <v>117.209269</v>
      </c>
      <c r="U640" s="2">
        <v>38.987607</v>
      </c>
    </row>
    <row r="641" spans="1:21">
      <c r="A641" t="s">
        <v>3338</v>
      </c>
      <c r="B641" t="s">
        <v>3339</v>
      </c>
      <c r="C641" t="s">
        <v>3340</v>
      </c>
      <c r="D641" t="s">
        <v>32</v>
      </c>
      <c r="E641" t="s">
        <v>3341</v>
      </c>
      <c r="F641" t="s">
        <v>7</v>
      </c>
      <c r="G641" t="s">
        <v>7</v>
      </c>
      <c r="H641" t="s">
        <v>43</v>
      </c>
      <c r="I641" t="s">
        <v>51</v>
      </c>
      <c r="J641" t="s">
        <v>32</v>
      </c>
      <c r="K641" t="s">
        <v>32</v>
      </c>
      <c r="L641" t="s">
        <v>32</v>
      </c>
      <c r="M641" t="s">
        <v>36</v>
      </c>
      <c r="N641" t="s">
        <v>37</v>
      </c>
      <c r="O641" t="s">
        <v>66</v>
      </c>
      <c r="P641" t="s">
        <v>66</v>
      </c>
      <c r="Q641" t="s">
        <v>45</v>
      </c>
      <c r="R641" t="s">
        <v>3342</v>
      </c>
      <c r="S641" t="s">
        <v>32</v>
      </c>
      <c r="T641" s="2">
        <v>117.105548</v>
      </c>
      <c r="U641" s="2">
        <v>39.163356</v>
      </c>
    </row>
    <row r="642" spans="1:21">
      <c r="A642" t="s">
        <v>3343</v>
      </c>
      <c r="B642" t="s">
        <v>40</v>
      </c>
      <c r="C642" t="s">
        <v>3344</v>
      </c>
      <c r="D642" t="s">
        <v>32</v>
      </c>
      <c r="E642" t="s">
        <v>3345</v>
      </c>
      <c r="F642" t="s">
        <v>7</v>
      </c>
      <c r="G642" t="s">
        <v>7</v>
      </c>
      <c r="H642" t="s">
        <v>34</v>
      </c>
      <c r="I642" t="s">
        <v>44</v>
      </c>
      <c r="J642" t="s">
        <v>32</v>
      </c>
      <c r="K642" t="s">
        <v>32</v>
      </c>
      <c r="L642" t="s">
        <v>32</v>
      </c>
      <c r="M642" t="s">
        <v>36</v>
      </c>
      <c r="N642" t="s">
        <v>37</v>
      </c>
      <c r="O642" t="s">
        <v>66</v>
      </c>
      <c r="P642" t="s">
        <v>66</v>
      </c>
      <c r="Q642" t="s">
        <v>45</v>
      </c>
      <c r="R642" t="s">
        <v>3346</v>
      </c>
      <c r="S642" t="s">
        <v>32</v>
      </c>
      <c r="T642" s="2">
        <v>117.150069</v>
      </c>
      <c r="U642" s="2">
        <v>39.140795</v>
      </c>
    </row>
    <row r="643" spans="1:21">
      <c r="A643" t="s">
        <v>3347</v>
      </c>
      <c r="B643" t="s">
        <v>157</v>
      </c>
      <c r="C643" t="s">
        <v>3348</v>
      </c>
      <c r="D643" t="s">
        <v>3349</v>
      </c>
      <c r="E643" t="s">
        <v>3350</v>
      </c>
      <c r="F643" t="s">
        <v>7</v>
      </c>
      <c r="G643" t="s">
        <v>7</v>
      </c>
      <c r="H643" t="s">
        <v>43</v>
      </c>
      <c r="I643" t="s">
        <v>51</v>
      </c>
      <c r="J643" t="s">
        <v>3349</v>
      </c>
      <c r="K643" t="s">
        <v>32</v>
      </c>
      <c r="L643" t="s">
        <v>32</v>
      </c>
      <c r="M643" t="s">
        <v>36</v>
      </c>
      <c r="N643" t="s">
        <v>37</v>
      </c>
      <c r="O643" t="s">
        <v>66</v>
      </c>
      <c r="P643" t="s">
        <v>66</v>
      </c>
      <c r="Q643" t="s">
        <v>45</v>
      </c>
      <c r="R643" t="s">
        <v>3351</v>
      </c>
      <c r="S643" t="s">
        <v>32</v>
      </c>
      <c r="T643" s="2">
        <v>117.245236</v>
      </c>
      <c r="U643" s="2">
        <v>39.022987</v>
      </c>
    </row>
    <row r="644" spans="1:21">
      <c r="A644" t="s">
        <v>3352</v>
      </c>
      <c r="B644" t="s">
        <v>3353</v>
      </c>
      <c r="C644" t="s">
        <v>3354</v>
      </c>
      <c r="D644" t="s">
        <v>3355</v>
      </c>
      <c r="E644" t="s">
        <v>3356</v>
      </c>
      <c r="F644" t="s">
        <v>7</v>
      </c>
      <c r="G644" t="s">
        <v>7</v>
      </c>
      <c r="H644" t="s">
        <v>56</v>
      </c>
      <c r="I644" t="s">
        <v>3357</v>
      </c>
      <c r="J644" t="s">
        <v>3355</v>
      </c>
      <c r="K644" t="s">
        <v>85</v>
      </c>
      <c r="L644" t="s">
        <v>595</v>
      </c>
      <c r="M644" t="s">
        <v>36</v>
      </c>
      <c r="N644" t="s">
        <v>37</v>
      </c>
      <c r="O644" t="s">
        <v>66</v>
      </c>
      <c r="P644" t="s">
        <v>66</v>
      </c>
      <c r="Q644" t="s">
        <v>45</v>
      </c>
      <c r="R644" t="s">
        <v>3358</v>
      </c>
      <c r="S644" t="s">
        <v>32</v>
      </c>
      <c r="T644" s="2">
        <v>117.234424</v>
      </c>
      <c r="U644" s="2">
        <v>39.25513</v>
      </c>
    </row>
    <row r="645" spans="1:21">
      <c r="A645" t="s">
        <v>3359</v>
      </c>
      <c r="B645" t="s">
        <v>3360</v>
      </c>
      <c r="C645" t="s">
        <v>3361</v>
      </c>
      <c r="D645" t="s">
        <v>3362</v>
      </c>
      <c r="E645" t="s">
        <v>3363</v>
      </c>
      <c r="F645" t="s">
        <v>7</v>
      </c>
      <c r="G645" t="s">
        <v>7</v>
      </c>
      <c r="H645" t="s">
        <v>43</v>
      </c>
      <c r="I645" t="s">
        <v>274</v>
      </c>
      <c r="J645" t="s">
        <v>3362</v>
      </c>
      <c r="K645" t="s">
        <v>32</v>
      </c>
      <c r="L645" t="s">
        <v>32</v>
      </c>
      <c r="M645" t="s">
        <v>36</v>
      </c>
      <c r="N645" t="s">
        <v>37</v>
      </c>
      <c r="O645" t="s">
        <v>66</v>
      </c>
      <c r="P645" t="s">
        <v>66</v>
      </c>
      <c r="Q645" t="s">
        <v>74</v>
      </c>
      <c r="R645" t="s">
        <v>3364</v>
      </c>
      <c r="S645" t="s">
        <v>32</v>
      </c>
      <c r="T645" s="2">
        <v>117.131734</v>
      </c>
      <c r="U645" s="2">
        <v>39.093216</v>
      </c>
    </row>
    <row r="646" spans="1:21">
      <c r="A646" t="s">
        <v>3365</v>
      </c>
      <c r="B646" t="s">
        <v>40</v>
      </c>
      <c r="C646" t="s">
        <v>3366</v>
      </c>
      <c r="D646" t="s">
        <v>32</v>
      </c>
      <c r="E646" t="s">
        <v>3367</v>
      </c>
      <c r="F646" t="s">
        <v>7</v>
      </c>
      <c r="G646" t="s">
        <v>7</v>
      </c>
      <c r="H646" t="s">
        <v>43</v>
      </c>
      <c r="I646" t="s">
        <v>350</v>
      </c>
      <c r="J646" t="s">
        <v>32</v>
      </c>
      <c r="K646" t="s">
        <v>32</v>
      </c>
      <c r="L646" t="s">
        <v>32</v>
      </c>
      <c r="M646" t="s">
        <v>36</v>
      </c>
      <c r="N646" t="s">
        <v>37</v>
      </c>
      <c r="O646" t="s">
        <v>66</v>
      </c>
      <c r="P646" t="s">
        <v>66</v>
      </c>
      <c r="Q646" t="s">
        <v>32</v>
      </c>
      <c r="R646" t="s">
        <v>3368</v>
      </c>
      <c r="S646" t="s">
        <v>32</v>
      </c>
      <c r="T646" s="2">
        <v>116.986356</v>
      </c>
      <c r="U646" s="2">
        <v>39.088141</v>
      </c>
    </row>
    <row r="647" spans="1:21">
      <c r="A647" t="s">
        <v>3369</v>
      </c>
      <c r="B647" t="s">
        <v>3370</v>
      </c>
      <c r="C647" t="s">
        <v>3371</v>
      </c>
      <c r="D647" t="s">
        <v>3372</v>
      </c>
      <c r="E647" t="s">
        <v>3373</v>
      </c>
      <c r="F647" t="s">
        <v>7</v>
      </c>
      <c r="G647" t="s">
        <v>7</v>
      </c>
      <c r="H647" t="s">
        <v>43</v>
      </c>
      <c r="I647" t="s">
        <v>154</v>
      </c>
      <c r="J647" t="s">
        <v>3372</v>
      </c>
      <c r="K647" t="s">
        <v>32</v>
      </c>
      <c r="L647" t="s">
        <v>32</v>
      </c>
      <c r="M647" t="s">
        <v>36</v>
      </c>
      <c r="N647" t="s">
        <v>37</v>
      </c>
      <c r="O647" t="s">
        <v>66</v>
      </c>
      <c r="P647" t="s">
        <v>66</v>
      </c>
      <c r="Q647" t="s">
        <v>45</v>
      </c>
      <c r="R647" t="s">
        <v>3374</v>
      </c>
      <c r="S647" t="s">
        <v>32</v>
      </c>
      <c r="T647" s="2">
        <v>117.11209</v>
      </c>
      <c r="U647" s="2">
        <v>39.172173</v>
      </c>
    </row>
    <row r="648" spans="1:21">
      <c r="A648" t="s">
        <v>3375</v>
      </c>
      <c r="B648" t="s">
        <v>3376</v>
      </c>
      <c r="C648" t="s">
        <v>3377</v>
      </c>
      <c r="D648" t="s">
        <v>3378</v>
      </c>
      <c r="E648" t="s">
        <v>3379</v>
      </c>
      <c r="F648" t="s">
        <v>7</v>
      </c>
      <c r="G648" t="s">
        <v>7</v>
      </c>
      <c r="H648" t="s">
        <v>63</v>
      </c>
      <c r="I648" t="s">
        <v>51</v>
      </c>
      <c r="J648" t="s">
        <v>3378</v>
      </c>
      <c r="K648" t="s">
        <v>32</v>
      </c>
      <c r="L648" t="s">
        <v>32</v>
      </c>
      <c r="M648" t="s">
        <v>36</v>
      </c>
      <c r="N648" t="s">
        <v>37</v>
      </c>
      <c r="O648" t="s">
        <v>66</v>
      </c>
      <c r="P648" t="s">
        <v>66</v>
      </c>
      <c r="Q648" t="s">
        <v>45</v>
      </c>
      <c r="R648" t="s">
        <v>3380</v>
      </c>
      <c r="S648" t="s">
        <v>32</v>
      </c>
      <c r="T648" s="2">
        <v>117.304926</v>
      </c>
      <c r="U648" s="2">
        <v>39.045009</v>
      </c>
    </row>
    <row r="649" spans="1:21">
      <c r="A649" t="s">
        <v>3381</v>
      </c>
      <c r="B649" t="s">
        <v>3382</v>
      </c>
      <c r="C649" t="s">
        <v>3383</v>
      </c>
      <c r="D649" t="s">
        <v>32</v>
      </c>
      <c r="E649" t="s">
        <v>3384</v>
      </c>
      <c r="F649" t="s">
        <v>7</v>
      </c>
      <c r="G649" t="s">
        <v>7</v>
      </c>
      <c r="H649" t="s">
        <v>133</v>
      </c>
      <c r="I649" t="s">
        <v>350</v>
      </c>
      <c r="J649" t="s">
        <v>32</v>
      </c>
      <c r="K649" t="s">
        <v>32</v>
      </c>
      <c r="L649" t="s">
        <v>32</v>
      </c>
      <c r="M649" t="s">
        <v>36</v>
      </c>
      <c r="N649" t="s">
        <v>37</v>
      </c>
      <c r="O649" t="s">
        <v>66</v>
      </c>
      <c r="P649" t="s">
        <v>66</v>
      </c>
      <c r="Q649" t="s">
        <v>45</v>
      </c>
      <c r="R649" t="s">
        <v>3385</v>
      </c>
      <c r="S649" t="s">
        <v>32</v>
      </c>
      <c r="T649" s="2">
        <v>117.134062</v>
      </c>
      <c r="U649" s="2">
        <v>39.154187</v>
      </c>
    </row>
    <row r="650" spans="1:21">
      <c r="A650" t="s">
        <v>3386</v>
      </c>
      <c r="B650" t="s">
        <v>3387</v>
      </c>
      <c r="C650" t="s">
        <v>3388</v>
      </c>
      <c r="D650" t="s">
        <v>3389</v>
      </c>
      <c r="E650" t="s">
        <v>3390</v>
      </c>
      <c r="F650" t="s">
        <v>7</v>
      </c>
      <c r="G650" t="s">
        <v>7</v>
      </c>
      <c r="H650" t="s">
        <v>73</v>
      </c>
      <c r="I650" t="s">
        <v>593</v>
      </c>
      <c r="J650" t="s">
        <v>3389</v>
      </c>
      <c r="K650" t="s">
        <v>32</v>
      </c>
      <c r="L650" t="s">
        <v>32</v>
      </c>
      <c r="M650" t="s">
        <v>36</v>
      </c>
      <c r="N650" t="s">
        <v>37</v>
      </c>
      <c r="O650" t="s">
        <v>66</v>
      </c>
      <c r="P650" t="s">
        <v>66</v>
      </c>
      <c r="Q650" t="s">
        <v>45</v>
      </c>
      <c r="R650" t="s">
        <v>3391</v>
      </c>
      <c r="S650" t="s">
        <v>32</v>
      </c>
      <c r="T650" s="2">
        <v>117.345999</v>
      </c>
      <c r="U650" s="2">
        <v>39.062464</v>
      </c>
    </row>
    <row r="651" spans="1:21">
      <c r="A651" t="s">
        <v>3392</v>
      </c>
      <c r="B651" t="s">
        <v>3313</v>
      </c>
      <c r="C651" t="s">
        <v>3393</v>
      </c>
      <c r="D651" t="s">
        <v>3394</v>
      </c>
      <c r="E651" t="s">
        <v>3395</v>
      </c>
      <c r="F651" t="s">
        <v>7</v>
      </c>
      <c r="G651" t="s">
        <v>7</v>
      </c>
      <c r="H651" t="s">
        <v>262</v>
      </c>
      <c r="I651" t="s">
        <v>350</v>
      </c>
      <c r="J651" t="s">
        <v>3394</v>
      </c>
      <c r="K651" t="s">
        <v>32</v>
      </c>
      <c r="L651" t="s">
        <v>32</v>
      </c>
      <c r="M651" t="s">
        <v>36</v>
      </c>
      <c r="N651" t="s">
        <v>37</v>
      </c>
      <c r="O651" t="s">
        <v>66</v>
      </c>
      <c r="P651" t="s">
        <v>66</v>
      </c>
      <c r="Q651" t="s">
        <v>32</v>
      </c>
      <c r="R651" t="s">
        <v>3396</v>
      </c>
      <c r="S651" t="s">
        <v>32</v>
      </c>
      <c r="T651" s="2">
        <v>117.228603</v>
      </c>
      <c r="U651" s="2">
        <v>39.176211</v>
      </c>
    </row>
    <row r="652" spans="1:21">
      <c r="A652" t="s">
        <v>3397</v>
      </c>
      <c r="B652" t="s">
        <v>3398</v>
      </c>
      <c r="C652" t="s">
        <v>3399</v>
      </c>
      <c r="D652" t="s">
        <v>3400</v>
      </c>
      <c r="E652" t="s">
        <v>3401</v>
      </c>
      <c r="F652" t="s">
        <v>7</v>
      </c>
      <c r="G652" t="s">
        <v>7</v>
      </c>
      <c r="H652" t="s">
        <v>73</v>
      </c>
      <c r="I652" t="s">
        <v>51</v>
      </c>
      <c r="J652" t="s">
        <v>3400</v>
      </c>
      <c r="K652" t="s">
        <v>657</v>
      </c>
      <c r="L652" t="s">
        <v>1391</v>
      </c>
      <c r="M652" t="s">
        <v>36</v>
      </c>
      <c r="N652" t="s">
        <v>37</v>
      </c>
      <c r="O652" t="s">
        <v>66</v>
      </c>
      <c r="P652" t="s">
        <v>66</v>
      </c>
      <c r="Q652" t="s">
        <v>45</v>
      </c>
      <c r="R652" t="s">
        <v>3402</v>
      </c>
      <c r="S652" t="s">
        <v>32</v>
      </c>
      <c r="T652" s="2">
        <v>117.274403</v>
      </c>
      <c r="U652" s="2">
        <v>39.128924</v>
      </c>
    </row>
    <row r="653" spans="1:21">
      <c r="A653" t="s">
        <v>3403</v>
      </c>
      <c r="B653" t="s">
        <v>3404</v>
      </c>
      <c r="C653" t="s">
        <v>3405</v>
      </c>
      <c r="D653" t="s">
        <v>3406</v>
      </c>
      <c r="E653" t="s">
        <v>3407</v>
      </c>
      <c r="F653" t="s">
        <v>7</v>
      </c>
      <c r="G653" t="s">
        <v>7</v>
      </c>
      <c r="H653" t="s">
        <v>43</v>
      </c>
      <c r="I653" t="s">
        <v>51</v>
      </c>
      <c r="J653" t="s">
        <v>3406</v>
      </c>
      <c r="K653" t="s">
        <v>32</v>
      </c>
      <c r="L653" t="s">
        <v>32</v>
      </c>
      <c r="M653" t="s">
        <v>36</v>
      </c>
      <c r="N653" t="s">
        <v>37</v>
      </c>
      <c r="O653" t="s">
        <v>66</v>
      </c>
      <c r="P653" t="s">
        <v>66</v>
      </c>
      <c r="Q653" t="s">
        <v>45</v>
      </c>
      <c r="R653" t="s">
        <v>3408</v>
      </c>
      <c r="S653" t="s">
        <v>32</v>
      </c>
      <c r="T653" s="2">
        <v>117.002623</v>
      </c>
      <c r="U653" s="2">
        <v>39.152167</v>
      </c>
    </row>
    <row r="654" spans="1:21">
      <c r="A654" t="s">
        <v>3409</v>
      </c>
      <c r="B654" t="s">
        <v>3410</v>
      </c>
      <c r="C654" t="s">
        <v>3411</v>
      </c>
      <c r="D654" t="s">
        <v>32</v>
      </c>
      <c r="E654" t="s">
        <v>3412</v>
      </c>
      <c r="F654" t="s">
        <v>7</v>
      </c>
      <c r="G654" t="s">
        <v>7</v>
      </c>
      <c r="H654" t="s">
        <v>262</v>
      </c>
      <c r="I654" t="s">
        <v>51</v>
      </c>
      <c r="J654" t="s">
        <v>32</v>
      </c>
      <c r="K654" t="s">
        <v>32</v>
      </c>
      <c r="L654" t="s">
        <v>32</v>
      </c>
      <c r="M654" t="s">
        <v>36</v>
      </c>
      <c r="N654" t="s">
        <v>37</v>
      </c>
      <c r="O654" t="s">
        <v>66</v>
      </c>
      <c r="P654" t="s">
        <v>66</v>
      </c>
      <c r="Q654" t="s">
        <v>45</v>
      </c>
      <c r="R654" t="s">
        <v>3413</v>
      </c>
      <c r="S654" t="s">
        <v>32</v>
      </c>
      <c r="T654" s="2">
        <v>117.24072</v>
      </c>
      <c r="U654" s="2">
        <v>39.151415</v>
      </c>
    </row>
    <row r="655" spans="1:21">
      <c r="A655" t="s">
        <v>3414</v>
      </c>
      <c r="B655" t="s">
        <v>3415</v>
      </c>
      <c r="C655" t="s">
        <v>3416</v>
      </c>
      <c r="D655" t="s">
        <v>3417</v>
      </c>
      <c r="E655" t="s">
        <v>3418</v>
      </c>
      <c r="F655" t="s">
        <v>7</v>
      </c>
      <c r="G655" t="s">
        <v>7</v>
      </c>
      <c r="H655" t="s">
        <v>34</v>
      </c>
      <c r="I655" t="s">
        <v>637</v>
      </c>
      <c r="J655" t="s">
        <v>3417</v>
      </c>
      <c r="K655" t="s">
        <v>64</v>
      </c>
      <c r="L655" t="s">
        <v>595</v>
      </c>
      <c r="M655" t="s">
        <v>36</v>
      </c>
      <c r="N655" t="s">
        <v>37</v>
      </c>
      <c r="O655" t="s">
        <v>66</v>
      </c>
      <c r="P655" t="s">
        <v>66</v>
      </c>
      <c r="Q655" t="s">
        <v>45</v>
      </c>
      <c r="R655" t="s">
        <v>3419</v>
      </c>
      <c r="S655" t="s">
        <v>32</v>
      </c>
      <c r="T655" s="2">
        <v>117.137544</v>
      </c>
      <c r="U655" s="2">
        <v>39.102131</v>
      </c>
    </row>
    <row r="656" spans="1:21">
      <c r="A656" t="s">
        <v>3420</v>
      </c>
      <c r="B656" t="s">
        <v>40</v>
      </c>
      <c r="C656" t="s">
        <v>3421</v>
      </c>
      <c r="D656" t="s">
        <v>32</v>
      </c>
      <c r="E656" t="s">
        <v>3422</v>
      </c>
      <c r="F656" t="s">
        <v>7</v>
      </c>
      <c r="G656" t="s">
        <v>7</v>
      </c>
      <c r="H656" t="s">
        <v>56</v>
      </c>
      <c r="I656" t="s">
        <v>336</v>
      </c>
      <c r="J656" t="s">
        <v>32</v>
      </c>
      <c r="K656" t="s">
        <v>32</v>
      </c>
      <c r="L656" t="s">
        <v>32</v>
      </c>
      <c r="M656" t="s">
        <v>36</v>
      </c>
      <c r="N656" t="s">
        <v>37</v>
      </c>
      <c r="O656" t="s">
        <v>66</v>
      </c>
      <c r="P656" t="s">
        <v>66</v>
      </c>
      <c r="Q656" t="s">
        <v>45</v>
      </c>
      <c r="R656" t="s">
        <v>3423</v>
      </c>
      <c r="S656" t="s">
        <v>32</v>
      </c>
      <c r="T656" s="2">
        <v>117.034533</v>
      </c>
      <c r="U656" s="2">
        <v>39.173317</v>
      </c>
    </row>
    <row r="657" spans="1:21">
      <c r="A657" t="s">
        <v>3424</v>
      </c>
      <c r="B657" t="s">
        <v>3425</v>
      </c>
      <c r="C657" t="s">
        <v>3426</v>
      </c>
      <c r="D657" t="s">
        <v>3427</v>
      </c>
      <c r="E657" t="s">
        <v>3428</v>
      </c>
      <c r="F657" t="s">
        <v>7</v>
      </c>
      <c r="G657" t="s">
        <v>7</v>
      </c>
      <c r="H657" t="s">
        <v>34</v>
      </c>
      <c r="I657" t="s">
        <v>350</v>
      </c>
      <c r="J657" t="s">
        <v>3427</v>
      </c>
      <c r="K657" t="s">
        <v>32</v>
      </c>
      <c r="L657" t="s">
        <v>32</v>
      </c>
      <c r="M657" t="s">
        <v>36</v>
      </c>
      <c r="N657" t="s">
        <v>37</v>
      </c>
      <c r="O657" t="s">
        <v>66</v>
      </c>
      <c r="P657" t="s">
        <v>66</v>
      </c>
      <c r="Q657" t="s">
        <v>45</v>
      </c>
      <c r="R657" t="s">
        <v>3429</v>
      </c>
      <c r="S657" t="s">
        <v>32</v>
      </c>
      <c r="T657" s="2">
        <v>117.124252</v>
      </c>
      <c r="U657" s="2">
        <v>39.139673</v>
      </c>
    </row>
    <row r="658" spans="1:21">
      <c r="A658" t="s">
        <v>3430</v>
      </c>
      <c r="B658" t="s">
        <v>40</v>
      </c>
      <c r="C658" t="s">
        <v>3431</v>
      </c>
      <c r="D658" t="s">
        <v>32</v>
      </c>
      <c r="E658" t="s">
        <v>3432</v>
      </c>
      <c r="F658" t="s">
        <v>7</v>
      </c>
      <c r="G658" t="s">
        <v>7</v>
      </c>
      <c r="H658" t="s">
        <v>73</v>
      </c>
      <c r="I658" t="s">
        <v>336</v>
      </c>
      <c r="J658" t="s">
        <v>3433</v>
      </c>
      <c r="K658" t="s">
        <v>32</v>
      </c>
      <c r="L658" t="s">
        <v>32</v>
      </c>
      <c r="M658" t="s">
        <v>36</v>
      </c>
      <c r="N658" t="s">
        <v>37</v>
      </c>
      <c r="O658" t="s">
        <v>66</v>
      </c>
      <c r="P658" t="s">
        <v>66</v>
      </c>
      <c r="Q658" t="s">
        <v>45</v>
      </c>
      <c r="R658" t="s">
        <v>3434</v>
      </c>
      <c r="S658" t="s">
        <v>32</v>
      </c>
      <c r="T658" s="2">
        <v>117.288067</v>
      </c>
      <c r="U658" s="2">
        <v>39.132035</v>
      </c>
    </row>
    <row r="659" spans="1:21">
      <c r="A659" t="s">
        <v>3435</v>
      </c>
      <c r="B659" t="s">
        <v>3436</v>
      </c>
      <c r="C659" t="s">
        <v>3437</v>
      </c>
      <c r="D659" t="s">
        <v>3438</v>
      </c>
      <c r="E659" t="s">
        <v>3439</v>
      </c>
      <c r="F659" t="s">
        <v>7</v>
      </c>
      <c r="G659" t="s">
        <v>7</v>
      </c>
      <c r="H659" t="s">
        <v>43</v>
      </c>
      <c r="I659" t="s">
        <v>44</v>
      </c>
      <c r="J659" t="s">
        <v>3438</v>
      </c>
      <c r="K659" t="s">
        <v>85</v>
      </c>
      <c r="L659" t="s">
        <v>1864</v>
      </c>
      <c r="M659" t="s">
        <v>36</v>
      </c>
      <c r="N659" t="s">
        <v>37</v>
      </c>
      <c r="O659" t="s">
        <v>66</v>
      </c>
      <c r="P659" t="s">
        <v>66</v>
      </c>
      <c r="Q659" t="s">
        <v>45</v>
      </c>
      <c r="R659" t="s">
        <v>3440</v>
      </c>
      <c r="S659" t="s">
        <v>32</v>
      </c>
      <c r="T659" s="2">
        <v>117.118751</v>
      </c>
      <c r="U659" s="2">
        <v>39.02932</v>
      </c>
    </row>
    <row r="660" spans="1:21">
      <c r="A660" t="s">
        <v>3441</v>
      </c>
      <c r="B660" t="s">
        <v>2714</v>
      </c>
      <c r="C660" t="s">
        <v>3442</v>
      </c>
      <c r="D660" t="s">
        <v>32</v>
      </c>
      <c r="E660" t="s">
        <v>3443</v>
      </c>
      <c r="F660" t="s">
        <v>7</v>
      </c>
      <c r="G660" t="s">
        <v>7</v>
      </c>
      <c r="H660" t="s">
        <v>262</v>
      </c>
      <c r="I660" t="s">
        <v>44</v>
      </c>
      <c r="J660" t="s">
        <v>32</v>
      </c>
      <c r="K660" t="s">
        <v>32</v>
      </c>
      <c r="L660" t="s">
        <v>32</v>
      </c>
      <c r="M660" t="s">
        <v>36</v>
      </c>
      <c r="N660" t="s">
        <v>37</v>
      </c>
      <c r="O660" t="s">
        <v>66</v>
      </c>
      <c r="P660" t="s">
        <v>66</v>
      </c>
      <c r="Q660" t="s">
        <v>45</v>
      </c>
      <c r="R660" t="s">
        <v>3444</v>
      </c>
      <c r="S660" t="s">
        <v>32</v>
      </c>
      <c r="T660" s="2">
        <v>117.219955</v>
      </c>
      <c r="U660" s="2">
        <v>39.149874</v>
      </c>
    </row>
    <row r="661" spans="1:21">
      <c r="A661" t="s">
        <v>3445</v>
      </c>
      <c r="B661" t="s">
        <v>173</v>
      </c>
      <c r="C661" t="s">
        <v>3446</v>
      </c>
      <c r="D661" t="s">
        <v>3447</v>
      </c>
      <c r="E661" t="s">
        <v>3448</v>
      </c>
      <c r="F661" t="s">
        <v>7</v>
      </c>
      <c r="G661" t="s">
        <v>7</v>
      </c>
      <c r="H661" t="s">
        <v>43</v>
      </c>
      <c r="I661" t="s">
        <v>189</v>
      </c>
      <c r="J661" t="s">
        <v>3447</v>
      </c>
      <c r="K661" t="s">
        <v>32</v>
      </c>
      <c r="L661" t="s">
        <v>32</v>
      </c>
      <c r="M661" t="s">
        <v>36</v>
      </c>
      <c r="N661" t="s">
        <v>37</v>
      </c>
      <c r="O661" t="s">
        <v>66</v>
      </c>
      <c r="P661" t="s">
        <v>66</v>
      </c>
      <c r="Q661" t="s">
        <v>45</v>
      </c>
      <c r="R661" t="s">
        <v>3449</v>
      </c>
      <c r="S661" t="s">
        <v>32</v>
      </c>
      <c r="T661" s="2">
        <v>117.131165</v>
      </c>
      <c r="U661" s="2">
        <v>39.095127</v>
      </c>
    </row>
    <row r="662" spans="1:21">
      <c r="A662" t="s">
        <v>3450</v>
      </c>
      <c r="B662" t="s">
        <v>40</v>
      </c>
      <c r="C662" t="s">
        <v>3451</v>
      </c>
      <c r="D662" t="s">
        <v>3452</v>
      </c>
      <c r="E662" t="s">
        <v>3453</v>
      </c>
      <c r="F662" t="s">
        <v>7</v>
      </c>
      <c r="G662" t="s">
        <v>7</v>
      </c>
      <c r="H662" t="s">
        <v>133</v>
      </c>
      <c r="I662" t="s">
        <v>51</v>
      </c>
      <c r="J662" t="s">
        <v>3452</v>
      </c>
      <c r="K662" t="s">
        <v>32</v>
      </c>
      <c r="L662" t="s">
        <v>32</v>
      </c>
      <c r="M662" t="s">
        <v>36</v>
      </c>
      <c r="N662" t="s">
        <v>37</v>
      </c>
      <c r="O662" t="s">
        <v>66</v>
      </c>
      <c r="P662" t="s">
        <v>66</v>
      </c>
      <c r="Q662" t="s">
        <v>45</v>
      </c>
      <c r="R662" t="s">
        <v>3454</v>
      </c>
      <c r="S662" t="s">
        <v>32</v>
      </c>
      <c r="T662" s="2">
        <v>117.1377</v>
      </c>
      <c r="U662" s="2">
        <v>39.151858</v>
      </c>
    </row>
    <row r="663" spans="1:21">
      <c r="A663" t="s">
        <v>3455</v>
      </c>
      <c r="B663" t="s">
        <v>3456</v>
      </c>
      <c r="C663" t="s">
        <v>3457</v>
      </c>
      <c r="D663" t="s">
        <v>32</v>
      </c>
      <c r="E663" t="s">
        <v>3458</v>
      </c>
      <c r="F663" t="s">
        <v>7</v>
      </c>
      <c r="G663" t="s">
        <v>7</v>
      </c>
      <c r="H663" t="s">
        <v>34</v>
      </c>
      <c r="I663" t="s">
        <v>3357</v>
      </c>
      <c r="J663" t="s">
        <v>3459</v>
      </c>
      <c r="K663" t="s">
        <v>32</v>
      </c>
      <c r="L663" t="s">
        <v>32</v>
      </c>
      <c r="M663" t="s">
        <v>36</v>
      </c>
      <c r="N663" t="s">
        <v>37</v>
      </c>
      <c r="O663" t="s">
        <v>66</v>
      </c>
      <c r="P663" t="s">
        <v>66</v>
      </c>
      <c r="Q663" t="s">
        <v>45</v>
      </c>
      <c r="R663" t="s">
        <v>3460</v>
      </c>
      <c r="S663" t="s">
        <v>32</v>
      </c>
      <c r="T663" s="2">
        <v>117.119299</v>
      </c>
      <c r="U663" s="2">
        <v>39.130128</v>
      </c>
    </row>
    <row r="664" spans="1:21">
      <c r="A664" t="s">
        <v>3461</v>
      </c>
      <c r="B664" t="s">
        <v>3462</v>
      </c>
      <c r="C664" t="s">
        <v>3463</v>
      </c>
      <c r="D664" t="s">
        <v>3464</v>
      </c>
      <c r="E664" t="s">
        <v>3465</v>
      </c>
      <c r="F664" t="s">
        <v>7</v>
      </c>
      <c r="G664" t="s">
        <v>7</v>
      </c>
      <c r="H664" t="s">
        <v>105</v>
      </c>
      <c r="I664" t="s">
        <v>51</v>
      </c>
      <c r="J664" t="s">
        <v>3464</v>
      </c>
      <c r="K664" t="s">
        <v>32</v>
      </c>
      <c r="L664" t="s">
        <v>32</v>
      </c>
      <c r="M664" t="s">
        <v>36</v>
      </c>
      <c r="N664" t="s">
        <v>37</v>
      </c>
      <c r="O664" t="s">
        <v>66</v>
      </c>
      <c r="P664" t="s">
        <v>66</v>
      </c>
      <c r="Q664" t="s">
        <v>45</v>
      </c>
      <c r="R664" t="s">
        <v>3466</v>
      </c>
      <c r="S664" t="s">
        <v>32</v>
      </c>
      <c r="T664" s="2">
        <v>117.222071</v>
      </c>
      <c r="U664" s="2">
        <v>39.126068</v>
      </c>
    </row>
    <row r="665" spans="1:21">
      <c r="A665" t="s">
        <v>3467</v>
      </c>
      <c r="B665" t="s">
        <v>3468</v>
      </c>
      <c r="C665" t="s">
        <v>3469</v>
      </c>
      <c r="D665" t="s">
        <v>3470</v>
      </c>
      <c r="E665" t="s">
        <v>3471</v>
      </c>
      <c r="F665" t="s">
        <v>7</v>
      </c>
      <c r="G665" t="s">
        <v>7</v>
      </c>
      <c r="H665" t="s">
        <v>43</v>
      </c>
      <c r="I665" t="s">
        <v>51</v>
      </c>
      <c r="J665" t="s">
        <v>3470</v>
      </c>
      <c r="K665" t="s">
        <v>32</v>
      </c>
      <c r="L665" t="s">
        <v>32</v>
      </c>
      <c r="M665" t="s">
        <v>36</v>
      </c>
      <c r="N665" t="s">
        <v>37</v>
      </c>
      <c r="O665" t="s">
        <v>66</v>
      </c>
      <c r="P665" t="s">
        <v>66</v>
      </c>
      <c r="Q665" t="s">
        <v>45</v>
      </c>
      <c r="R665" t="s">
        <v>3472</v>
      </c>
      <c r="S665" t="s">
        <v>32</v>
      </c>
      <c r="T665" s="2">
        <v>117.064566</v>
      </c>
      <c r="U665" s="2">
        <v>39.142054</v>
      </c>
    </row>
    <row r="666" spans="1:21">
      <c r="A666" t="s">
        <v>3473</v>
      </c>
      <c r="B666" t="s">
        <v>2559</v>
      </c>
      <c r="C666" t="s">
        <v>3474</v>
      </c>
      <c r="D666" t="s">
        <v>3475</v>
      </c>
      <c r="E666" t="s">
        <v>3476</v>
      </c>
      <c r="F666" t="s">
        <v>7</v>
      </c>
      <c r="G666" t="s">
        <v>7</v>
      </c>
      <c r="H666" t="s">
        <v>56</v>
      </c>
      <c r="I666" t="s">
        <v>1221</v>
      </c>
      <c r="J666" t="s">
        <v>3475</v>
      </c>
      <c r="K666" t="s">
        <v>32</v>
      </c>
      <c r="L666" t="s">
        <v>32</v>
      </c>
      <c r="M666" t="s">
        <v>36</v>
      </c>
      <c r="N666" t="s">
        <v>37</v>
      </c>
      <c r="O666" t="s">
        <v>66</v>
      </c>
      <c r="P666" t="s">
        <v>66</v>
      </c>
      <c r="Q666" t="s">
        <v>45</v>
      </c>
      <c r="R666" t="s">
        <v>3477</v>
      </c>
      <c r="S666" t="s">
        <v>32</v>
      </c>
      <c r="T666" s="2">
        <v>117.094187</v>
      </c>
      <c r="U666" s="2">
        <v>39.197394</v>
      </c>
    </row>
    <row r="667" spans="1:21">
      <c r="A667" t="s">
        <v>3478</v>
      </c>
      <c r="B667" t="s">
        <v>3042</v>
      </c>
      <c r="C667" t="s">
        <v>3479</v>
      </c>
      <c r="D667" t="s">
        <v>3480</v>
      </c>
      <c r="E667" t="s">
        <v>3481</v>
      </c>
      <c r="F667" t="s">
        <v>7</v>
      </c>
      <c r="G667" t="s">
        <v>7</v>
      </c>
      <c r="H667" t="s">
        <v>56</v>
      </c>
      <c r="I667" t="s">
        <v>350</v>
      </c>
      <c r="J667" t="s">
        <v>3480</v>
      </c>
      <c r="K667" t="s">
        <v>32</v>
      </c>
      <c r="L667" t="s">
        <v>32</v>
      </c>
      <c r="M667" t="s">
        <v>36</v>
      </c>
      <c r="N667" t="s">
        <v>37</v>
      </c>
      <c r="O667" t="s">
        <v>66</v>
      </c>
      <c r="P667" t="s">
        <v>66</v>
      </c>
      <c r="Q667" t="s">
        <v>45</v>
      </c>
      <c r="R667" t="s">
        <v>3482</v>
      </c>
      <c r="S667" t="s">
        <v>32</v>
      </c>
      <c r="T667" s="2">
        <v>117.213268</v>
      </c>
      <c r="U667" s="2">
        <v>39.192475</v>
      </c>
    </row>
    <row r="668" spans="1:21">
      <c r="A668" t="s">
        <v>3483</v>
      </c>
      <c r="B668" t="s">
        <v>3339</v>
      </c>
      <c r="C668" t="s">
        <v>3484</v>
      </c>
      <c r="D668" t="s">
        <v>32</v>
      </c>
      <c r="E668" t="s">
        <v>3485</v>
      </c>
      <c r="F668" t="s">
        <v>7</v>
      </c>
      <c r="G668" t="s">
        <v>7</v>
      </c>
      <c r="H668" t="s">
        <v>43</v>
      </c>
      <c r="I668" t="s">
        <v>100</v>
      </c>
      <c r="J668" t="s">
        <v>32</v>
      </c>
      <c r="K668" t="s">
        <v>32</v>
      </c>
      <c r="L668" t="s">
        <v>32</v>
      </c>
      <c r="M668" t="s">
        <v>36</v>
      </c>
      <c r="N668" t="s">
        <v>37</v>
      </c>
      <c r="O668" t="s">
        <v>66</v>
      </c>
      <c r="P668" t="s">
        <v>66</v>
      </c>
      <c r="Q668" t="s">
        <v>45</v>
      </c>
      <c r="R668" t="s">
        <v>3486</v>
      </c>
      <c r="S668" t="s">
        <v>32</v>
      </c>
      <c r="T668" s="2">
        <v>117.019342</v>
      </c>
      <c r="U668" s="2">
        <v>39.133554</v>
      </c>
    </row>
    <row r="669" spans="1:21">
      <c r="A669" t="s">
        <v>3487</v>
      </c>
      <c r="B669" t="s">
        <v>3488</v>
      </c>
      <c r="C669" t="s">
        <v>3489</v>
      </c>
      <c r="D669" t="s">
        <v>3490</v>
      </c>
      <c r="E669" t="s">
        <v>3491</v>
      </c>
      <c r="F669" t="s">
        <v>7</v>
      </c>
      <c r="G669" t="s">
        <v>7</v>
      </c>
      <c r="H669" t="s">
        <v>43</v>
      </c>
      <c r="I669" t="s">
        <v>154</v>
      </c>
      <c r="J669" t="s">
        <v>3490</v>
      </c>
      <c r="K669" t="s">
        <v>32</v>
      </c>
      <c r="L669" t="s">
        <v>32</v>
      </c>
      <c r="M669" t="s">
        <v>36</v>
      </c>
      <c r="N669" t="s">
        <v>37</v>
      </c>
      <c r="O669" t="s">
        <v>66</v>
      </c>
      <c r="P669" t="s">
        <v>66</v>
      </c>
      <c r="Q669" t="s">
        <v>45</v>
      </c>
      <c r="R669" t="s">
        <v>3492</v>
      </c>
      <c r="S669" t="s">
        <v>32</v>
      </c>
      <c r="T669" s="2">
        <v>117.037863</v>
      </c>
      <c r="U669" s="2">
        <v>39.081209</v>
      </c>
    </row>
    <row r="670" spans="1:21">
      <c r="A670" t="s">
        <v>3493</v>
      </c>
      <c r="B670" t="s">
        <v>3494</v>
      </c>
      <c r="C670" t="s">
        <v>3495</v>
      </c>
      <c r="D670" t="s">
        <v>3496</v>
      </c>
      <c r="E670" t="s">
        <v>3497</v>
      </c>
      <c r="F670" t="s">
        <v>7</v>
      </c>
      <c r="G670" t="s">
        <v>7</v>
      </c>
      <c r="H670" t="s">
        <v>43</v>
      </c>
      <c r="I670" t="s">
        <v>51</v>
      </c>
      <c r="J670" t="s">
        <v>3496</v>
      </c>
      <c r="K670" t="s">
        <v>32</v>
      </c>
      <c r="L670" t="s">
        <v>32</v>
      </c>
      <c r="M670" t="s">
        <v>36</v>
      </c>
      <c r="N670" t="s">
        <v>37</v>
      </c>
      <c r="O670" t="s">
        <v>66</v>
      </c>
      <c r="P670" t="s">
        <v>66</v>
      </c>
      <c r="Q670" t="s">
        <v>45</v>
      </c>
      <c r="R670" t="s">
        <v>3498</v>
      </c>
      <c r="S670" t="s">
        <v>32</v>
      </c>
      <c r="T670" s="2">
        <v>117.091833</v>
      </c>
      <c r="U670" s="2">
        <v>39.110373</v>
      </c>
    </row>
    <row r="671" spans="1:21">
      <c r="A671" t="s">
        <v>3499</v>
      </c>
      <c r="B671" t="s">
        <v>3500</v>
      </c>
      <c r="C671" t="s">
        <v>3501</v>
      </c>
      <c r="D671" t="s">
        <v>3502</v>
      </c>
      <c r="E671" t="s">
        <v>3503</v>
      </c>
      <c r="F671" t="s">
        <v>7</v>
      </c>
      <c r="G671" t="s">
        <v>7</v>
      </c>
      <c r="H671" t="s">
        <v>43</v>
      </c>
      <c r="I671" t="s">
        <v>154</v>
      </c>
      <c r="J671" t="s">
        <v>3502</v>
      </c>
      <c r="K671" t="s">
        <v>32</v>
      </c>
      <c r="L671" t="s">
        <v>32</v>
      </c>
      <c r="M671" t="s">
        <v>36</v>
      </c>
      <c r="N671" t="s">
        <v>37</v>
      </c>
      <c r="O671" t="s">
        <v>66</v>
      </c>
      <c r="P671" t="s">
        <v>66</v>
      </c>
      <c r="Q671" t="s">
        <v>45</v>
      </c>
      <c r="R671" t="s">
        <v>3504</v>
      </c>
      <c r="S671" t="s">
        <v>32</v>
      </c>
      <c r="T671" s="2">
        <v>117.011514</v>
      </c>
      <c r="U671" s="2">
        <v>39.104942</v>
      </c>
    </row>
    <row r="672" spans="1:21">
      <c r="A672" t="s">
        <v>3505</v>
      </c>
      <c r="B672" t="s">
        <v>3269</v>
      </c>
      <c r="C672" t="s">
        <v>3506</v>
      </c>
      <c r="D672" t="s">
        <v>3507</v>
      </c>
      <c r="E672" t="s">
        <v>3508</v>
      </c>
      <c r="F672" t="s">
        <v>7</v>
      </c>
      <c r="G672" t="s">
        <v>7</v>
      </c>
      <c r="H672" t="s">
        <v>43</v>
      </c>
      <c r="I672" t="s">
        <v>245</v>
      </c>
      <c r="J672" t="s">
        <v>3507</v>
      </c>
      <c r="K672" t="s">
        <v>32</v>
      </c>
      <c r="L672" t="s">
        <v>32</v>
      </c>
      <c r="M672" t="s">
        <v>36</v>
      </c>
      <c r="N672" t="s">
        <v>37</v>
      </c>
      <c r="O672" t="s">
        <v>66</v>
      </c>
      <c r="P672" t="s">
        <v>66</v>
      </c>
      <c r="Q672" t="s">
        <v>45</v>
      </c>
      <c r="R672" t="s">
        <v>3509</v>
      </c>
      <c r="S672" t="s">
        <v>32</v>
      </c>
      <c r="T672" s="2">
        <v>117.093112</v>
      </c>
      <c r="U672" s="2">
        <v>39.040143</v>
      </c>
    </row>
    <row r="673" spans="1:21">
      <c r="A673" t="s">
        <v>3510</v>
      </c>
      <c r="B673" t="s">
        <v>40</v>
      </c>
      <c r="C673" t="s">
        <v>3511</v>
      </c>
      <c r="D673" t="s">
        <v>32</v>
      </c>
      <c r="E673" t="s">
        <v>3512</v>
      </c>
      <c r="F673" t="s">
        <v>7</v>
      </c>
      <c r="G673" t="s">
        <v>7</v>
      </c>
      <c r="H673" t="s">
        <v>43</v>
      </c>
      <c r="I673" t="s">
        <v>350</v>
      </c>
      <c r="J673" t="s">
        <v>32</v>
      </c>
      <c r="K673" t="s">
        <v>32</v>
      </c>
      <c r="L673" t="s">
        <v>32</v>
      </c>
      <c r="M673" t="s">
        <v>36</v>
      </c>
      <c r="N673" t="s">
        <v>37</v>
      </c>
      <c r="O673" t="s">
        <v>66</v>
      </c>
      <c r="P673" t="s">
        <v>66</v>
      </c>
      <c r="Q673" t="s">
        <v>45</v>
      </c>
      <c r="R673" t="s">
        <v>3513</v>
      </c>
      <c r="S673" t="s">
        <v>32</v>
      </c>
      <c r="T673" s="2">
        <v>117.025887</v>
      </c>
      <c r="U673" s="2">
        <v>39.144107</v>
      </c>
    </row>
    <row r="674" spans="1:21">
      <c r="A674" t="s">
        <v>3514</v>
      </c>
      <c r="B674" t="s">
        <v>130</v>
      </c>
      <c r="C674" t="s">
        <v>3515</v>
      </c>
      <c r="D674" t="s">
        <v>3516</v>
      </c>
      <c r="E674" t="s">
        <v>3517</v>
      </c>
      <c r="F674" t="s">
        <v>7</v>
      </c>
      <c r="G674" t="s">
        <v>7</v>
      </c>
      <c r="H674" t="s">
        <v>105</v>
      </c>
      <c r="I674" t="s">
        <v>51</v>
      </c>
      <c r="J674" t="s">
        <v>3516</v>
      </c>
      <c r="K674" t="s">
        <v>32</v>
      </c>
      <c r="L674" t="s">
        <v>32</v>
      </c>
      <c r="M674" t="s">
        <v>36</v>
      </c>
      <c r="N674" t="s">
        <v>37</v>
      </c>
      <c r="O674" t="s">
        <v>66</v>
      </c>
      <c r="P674" t="s">
        <v>66</v>
      </c>
      <c r="Q674" t="s">
        <v>45</v>
      </c>
      <c r="R674" t="s">
        <v>3518</v>
      </c>
      <c r="S674" t="s">
        <v>32</v>
      </c>
      <c r="T674" s="2">
        <v>117.278994</v>
      </c>
      <c r="U674" s="2">
        <v>39.142861</v>
      </c>
    </row>
    <row r="675" spans="1:21">
      <c r="A675" t="s">
        <v>3519</v>
      </c>
      <c r="B675" t="s">
        <v>3232</v>
      </c>
      <c r="C675" t="s">
        <v>3520</v>
      </c>
      <c r="D675" t="s">
        <v>32</v>
      </c>
      <c r="E675" t="s">
        <v>3521</v>
      </c>
      <c r="F675" t="s">
        <v>7</v>
      </c>
      <c r="G675" t="s">
        <v>7</v>
      </c>
      <c r="H675" t="s">
        <v>262</v>
      </c>
      <c r="I675" t="s">
        <v>44</v>
      </c>
      <c r="J675" t="s">
        <v>32</v>
      </c>
      <c r="K675" t="s">
        <v>32</v>
      </c>
      <c r="L675" t="s">
        <v>32</v>
      </c>
      <c r="M675" t="s">
        <v>36</v>
      </c>
      <c r="N675" t="s">
        <v>37</v>
      </c>
      <c r="O675" t="s">
        <v>66</v>
      </c>
      <c r="P675" t="s">
        <v>66</v>
      </c>
      <c r="Q675" t="s">
        <v>45</v>
      </c>
      <c r="R675" t="s">
        <v>3522</v>
      </c>
      <c r="S675" t="s">
        <v>32</v>
      </c>
      <c r="T675" s="2">
        <v>117.233013</v>
      </c>
      <c r="U675" s="2">
        <v>39.163376</v>
      </c>
    </row>
    <row r="676" spans="1:21">
      <c r="A676" t="s">
        <v>3523</v>
      </c>
      <c r="B676" t="s">
        <v>2204</v>
      </c>
      <c r="C676" t="s">
        <v>3524</v>
      </c>
      <c r="D676" t="s">
        <v>3525</v>
      </c>
      <c r="E676" t="s">
        <v>3526</v>
      </c>
      <c r="F676" t="s">
        <v>7</v>
      </c>
      <c r="G676" t="s">
        <v>7</v>
      </c>
      <c r="H676" t="s">
        <v>43</v>
      </c>
      <c r="I676" t="s">
        <v>51</v>
      </c>
      <c r="J676" t="s">
        <v>3525</v>
      </c>
      <c r="K676" t="s">
        <v>32</v>
      </c>
      <c r="L676" t="s">
        <v>32</v>
      </c>
      <c r="M676" t="s">
        <v>36</v>
      </c>
      <c r="N676" t="s">
        <v>37</v>
      </c>
      <c r="O676" t="s">
        <v>66</v>
      </c>
      <c r="P676" t="s">
        <v>66</v>
      </c>
      <c r="Q676" t="s">
        <v>45</v>
      </c>
      <c r="R676" t="s">
        <v>3527</v>
      </c>
      <c r="S676" t="s">
        <v>32</v>
      </c>
      <c r="T676" s="2">
        <v>117.172057</v>
      </c>
      <c r="U676" s="2">
        <v>39.053157</v>
      </c>
    </row>
    <row r="677" spans="1:21">
      <c r="A677" t="s">
        <v>3528</v>
      </c>
      <c r="B677" t="s">
        <v>40</v>
      </c>
      <c r="C677" t="s">
        <v>3529</v>
      </c>
      <c r="D677" t="s">
        <v>3530</v>
      </c>
      <c r="E677" t="s">
        <v>3531</v>
      </c>
      <c r="F677" t="s">
        <v>7</v>
      </c>
      <c r="G677" t="s">
        <v>7</v>
      </c>
      <c r="H677" t="s">
        <v>34</v>
      </c>
      <c r="I677" t="s">
        <v>51</v>
      </c>
      <c r="J677" t="s">
        <v>3530</v>
      </c>
      <c r="K677" t="s">
        <v>32</v>
      </c>
      <c r="L677" t="s">
        <v>32</v>
      </c>
      <c r="M677" t="s">
        <v>36</v>
      </c>
      <c r="N677" t="s">
        <v>37</v>
      </c>
      <c r="O677" t="s">
        <v>66</v>
      </c>
      <c r="P677" t="s">
        <v>66</v>
      </c>
      <c r="Q677" t="s">
        <v>45</v>
      </c>
      <c r="R677" t="s">
        <v>3532</v>
      </c>
      <c r="S677" t="s">
        <v>32</v>
      </c>
      <c r="T677" s="2">
        <v>117.16694</v>
      </c>
      <c r="U677" s="2">
        <v>39.126211</v>
      </c>
    </row>
    <row r="678" spans="1:21">
      <c r="A678" t="s">
        <v>3533</v>
      </c>
      <c r="B678" t="s">
        <v>3534</v>
      </c>
      <c r="C678" t="s">
        <v>3535</v>
      </c>
      <c r="D678" t="s">
        <v>32</v>
      </c>
      <c r="E678" t="s">
        <v>3536</v>
      </c>
      <c r="F678" t="s">
        <v>7</v>
      </c>
      <c r="G678" t="s">
        <v>7</v>
      </c>
      <c r="H678" t="s">
        <v>146</v>
      </c>
      <c r="I678" t="s">
        <v>51</v>
      </c>
      <c r="J678" t="s">
        <v>32</v>
      </c>
      <c r="K678" t="s">
        <v>32</v>
      </c>
      <c r="L678" t="s">
        <v>32</v>
      </c>
      <c r="M678" t="s">
        <v>36</v>
      </c>
      <c r="N678" t="s">
        <v>37</v>
      </c>
      <c r="O678" t="s">
        <v>66</v>
      </c>
      <c r="P678" t="s">
        <v>66</v>
      </c>
      <c r="Q678" t="s">
        <v>45</v>
      </c>
      <c r="R678" t="s">
        <v>3537</v>
      </c>
      <c r="S678" t="s">
        <v>32</v>
      </c>
      <c r="T678" s="2">
        <v>117.332045</v>
      </c>
      <c r="U678" s="2">
        <v>39.141179</v>
      </c>
    </row>
    <row r="679" spans="1:21">
      <c r="A679" t="s">
        <v>3538</v>
      </c>
      <c r="B679" t="s">
        <v>3539</v>
      </c>
      <c r="C679" t="s">
        <v>2352</v>
      </c>
      <c r="D679" t="s">
        <v>3540</v>
      </c>
      <c r="E679" t="s">
        <v>3541</v>
      </c>
      <c r="F679" t="s">
        <v>7</v>
      </c>
      <c r="G679" t="s">
        <v>7</v>
      </c>
      <c r="H679" t="s">
        <v>133</v>
      </c>
      <c r="I679" t="s">
        <v>51</v>
      </c>
      <c r="J679" t="s">
        <v>3540</v>
      </c>
      <c r="K679" t="s">
        <v>32</v>
      </c>
      <c r="L679" t="s">
        <v>32</v>
      </c>
      <c r="M679" t="s">
        <v>36</v>
      </c>
      <c r="N679" t="s">
        <v>37</v>
      </c>
      <c r="O679" t="s">
        <v>66</v>
      </c>
      <c r="P679" t="s">
        <v>66</v>
      </c>
      <c r="Q679" t="s">
        <v>45</v>
      </c>
      <c r="R679" t="s">
        <v>3542</v>
      </c>
      <c r="S679" t="s">
        <v>32</v>
      </c>
      <c r="T679" s="2">
        <v>117.153797</v>
      </c>
      <c r="U679" s="2">
        <v>39.16846</v>
      </c>
    </row>
    <row r="680" spans="1:21">
      <c r="A680" t="s">
        <v>3543</v>
      </c>
      <c r="B680" t="s">
        <v>3544</v>
      </c>
      <c r="C680" t="s">
        <v>3545</v>
      </c>
      <c r="D680" t="s">
        <v>32</v>
      </c>
      <c r="E680" t="s">
        <v>3546</v>
      </c>
      <c r="F680" t="s">
        <v>7</v>
      </c>
      <c r="G680" t="s">
        <v>7</v>
      </c>
      <c r="H680" t="s">
        <v>105</v>
      </c>
      <c r="I680" t="s">
        <v>51</v>
      </c>
      <c r="J680" t="s">
        <v>32</v>
      </c>
      <c r="K680" t="s">
        <v>32</v>
      </c>
      <c r="L680" t="s">
        <v>32</v>
      </c>
      <c r="M680" t="s">
        <v>36</v>
      </c>
      <c r="N680" t="s">
        <v>37</v>
      </c>
      <c r="O680" t="s">
        <v>66</v>
      </c>
      <c r="P680" t="s">
        <v>66</v>
      </c>
      <c r="Q680" t="s">
        <v>45</v>
      </c>
      <c r="R680" t="s">
        <v>3547</v>
      </c>
      <c r="S680" t="s">
        <v>32</v>
      </c>
      <c r="T680" s="2">
        <v>117.246001</v>
      </c>
      <c r="U680" s="2">
        <v>39.140158</v>
      </c>
    </row>
    <row r="681" spans="1:21">
      <c r="A681" t="s">
        <v>3548</v>
      </c>
      <c r="B681" t="s">
        <v>374</v>
      </c>
      <c r="C681" t="s">
        <v>3549</v>
      </c>
      <c r="D681" t="s">
        <v>32</v>
      </c>
      <c r="E681" t="s">
        <v>3550</v>
      </c>
      <c r="F681" t="s">
        <v>7</v>
      </c>
      <c r="G681" t="s">
        <v>7</v>
      </c>
      <c r="H681" t="s">
        <v>262</v>
      </c>
      <c r="I681" t="s">
        <v>350</v>
      </c>
      <c r="J681" t="s">
        <v>32</v>
      </c>
      <c r="K681" t="s">
        <v>32</v>
      </c>
      <c r="L681" t="s">
        <v>32</v>
      </c>
      <c r="M681" t="s">
        <v>36</v>
      </c>
      <c r="N681" t="s">
        <v>37</v>
      </c>
      <c r="O681" t="s">
        <v>66</v>
      </c>
      <c r="P681" t="s">
        <v>66</v>
      </c>
      <c r="Q681" t="s">
        <v>45</v>
      </c>
      <c r="R681" t="s">
        <v>3551</v>
      </c>
      <c r="S681" t="s">
        <v>32</v>
      </c>
      <c r="T681" s="2">
        <v>117.222241</v>
      </c>
      <c r="U681" s="2">
        <v>39.171849</v>
      </c>
    </row>
    <row r="682" spans="1:21">
      <c r="A682" t="s">
        <v>3552</v>
      </c>
      <c r="B682" t="s">
        <v>3553</v>
      </c>
      <c r="C682" t="s">
        <v>3554</v>
      </c>
      <c r="D682" t="s">
        <v>3555</v>
      </c>
      <c r="E682" t="s">
        <v>3556</v>
      </c>
      <c r="F682" t="s">
        <v>7</v>
      </c>
      <c r="G682" t="s">
        <v>7</v>
      </c>
      <c r="H682" t="s">
        <v>146</v>
      </c>
      <c r="I682" t="s">
        <v>699</v>
      </c>
      <c r="J682" t="s">
        <v>3555</v>
      </c>
      <c r="K682" t="s">
        <v>32</v>
      </c>
      <c r="L682" t="s">
        <v>32</v>
      </c>
      <c r="M682" t="s">
        <v>36</v>
      </c>
      <c r="N682" t="s">
        <v>37</v>
      </c>
      <c r="O682" t="s">
        <v>66</v>
      </c>
      <c r="P682" t="s">
        <v>66</v>
      </c>
      <c r="Q682" t="s">
        <v>45</v>
      </c>
      <c r="R682" t="s">
        <v>3557</v>
      </c>
      <c r="S682" t="s">
        <v>32</v>
      </c>
      <c r="T682" s="2">
        <v>117.129116</v>
      </c>
      <c r="U682" s="2">
        <v>39.09491</v>
      </c>
    </row>
    <row r="683" spans="1:21">
      <c r="A683" t="s">
        <v>3558</v>
      </c>
      <c r="B683" t="s">
        <v>3559</v>
      </c>
      <c r="C683" t="s">
        <v>3560</v>
      </c>
      <c r="D683" t="s">
        <v>3561</v>
      </c>
      <c r="E683" t="s">
        <v>3562</v>
      </c>
      <c r="F683" t="s">
        <v>7</v>
      </c>
      <c r="G683" t="s">
        <v>7</v>
      </c>
      <c r="H683" t="s">
        <v>43</v>
      </c>
      <c r="I683" t="s">
        <v>51</v>
      </c>
      <c r="J683" t="s">
        <v>3561</v>
      </c>
      <c r="K683" t="s">
        <v>32</v>
      </c>
      <c r="L683" t="s">
        <v>32</v>
      </c>
      <c r="M683" t="s">
        <v>36</v>
      </c>
      <c r="N683" t="s">
        <v>37</v>
      </c>
      <c r="O683" t="s">
        <v>66</v>
      </c>
      <c r="P683" t="s">
        <v>66</v>
      </c>
      <c r="Q683" t="s">
        <v>45</v>
      </c>
      <c r="R683" t="s">
        <v>3563</v>
      </c>
      <c r="S683" t="s">
        <v>32</v>
      </c>
      <c r="T683" s="2">
        <v>117.124184</v>
      </c>
      <c r="U683" s="2">
        <v>39.169458</v>
      </c>
    </row>
    <row r="684" spans="1:21">
      <c r="A684" t="s">
        <v>3564</v>
      </c>
      <c r="B684" t="s">
        <v>3565</v>
      </c>
      <c r="C684" t="s">
        <v>3566</v>
      </c>
      <c r="D684" t="s">
        <v>3567</v>
      </c>
      <c r="E684" t="s">
        <v>3568</v>
      </c>
      <c r="F684" t="s">
        <v>7</v>
      </c>
      <c r="G684" t="s">
        <v>7</v>
      </c>
      <c r="H684" t="s">
        <v>133</v>
      </c>
      <c r="I684" t="s">
        <v>51</v>
      </c>
      <c r="J684" t="s">
        <v>3567</v>
      </c>
      <c r="K684" t="s">
        <v>32</v>
      </c>
      <c r="L684" t="s">
        <v>32</v>
      </c>
      <c r="M684" t="s">
        <v>36</v>
      </c>
      <c r="N684" t="s">
        <v>37</v>
      </c>
      <c r="O684" t="s">
        <v>66</v>
      </c>
      <c r="P684" t="s">
        <v>66</v>
      </c>
      <c r="Q684" t="s">
        <v>45</v>
      </c>
      <c r="R684" t="s">
        <v>3569</v>
      </c>
      <c r="S684" t="s">
        <v>32</v>
      </c>
      <c r="T684" s="2">
        <v>117.155644</v>
      </c>
      <c r="U684" s="2">
        <v>39.154902</v>
      </c>
    </row>
    <row r="685" spans="1:21">
      <c r="A685" t="s">
        <v>3570</v>
      </c>
      <c r="B685" t="s">
        <v>3571</v>
      </c>
      <c r="C685" t="s">
        <v>3572</v>
      </c>
      <c r="D685" t="s">
        <v>32</v>
      </c>
      <c r="E685" t="s">
        <v>3573</v>
      </c>
      <c r="F685" t="s">
        <v>7</v>
      </c>
      <c r="G685" t="s">
        <v>7</v>
      </c>
      <c r="H685" t="s">
        <v>262</v>
      </c>
      <c r="I685" t="s">
        <v>51</v>
      </c>
      <c r="J685" t="s">
        <v>3574</v>
      </c>
      <c r="K685" t="s">
        <v>32</v>
      </c>
      <c r="L685" t="s">
        <v>32</v>
      </c>
      <c r="M685" t="s">
        <v>36</v>
      </c>
      <c r="N685" t="s">
        <v>37</v>
      </c>
      <c r="O685" t="s">
        <v>66</v>
      </c>
      <c r="P685" t="s">
        <v>66</v>
      </c>
      <c r="Q685" t="s">
        <v>45</v>
      </c>
      <c r="R685" t="s">
        <v>3575</v>
      </c>
      <c r="S685" t="s">
        <v>32</v>
      </c>
      <c r="T685" s="2">
        <v>117.22034</v>
      </c>
      <c r="U685" s="2">
        <v>39.174725</v>
      </c>
    </row>
    <row r="686" spans="1:21">
      <c r="A686" t="s">
        <v>3576</v>
      </c>
      <c r="B686" t="s">
        <v>3577</v>
      </c>
      <c r="C686" t="s">
        <v>3578</v>
      </c>
      <c r="D686" t="s">
        <v>3579</v>
      </c>
      <c r="E686" t="s">
        <v>3580</v>
      </c>
      <c r="F686" t="s">
        <v>7</v>
      </c>
      <c r="G686" t="s">
        <v>7</v>
      </c>
      <c r="H686" t="s">
        <v>34</v>
      </c>
      <c r="I686" t="s">
        <v>350</v>
      </c>
      <c r="J686" t="s">
        <v>3579</v>
      </c>
      <c r="K686" t="s">
        <v>32</v>
      </c>
      <c r="L686" t="s">
        <v>32</v>
      </c>
      <c r="M686" t="s">
        <v>36</v>
      </c>
      <c r="N686" t="s">
        <v>37</v>
      </c>
      <c r="O686" t="s">
        <v>66</v>
      </c>
      <c r="P686" t="s">
        <v>66</v>
      </c>
      <c r="Q686" t="s">
        <v>45</v>
      </c>
      <c r="R686" t="s">
        <v>3581</v>
      </c>
      <c r="S686" t="s">
        <v>32</v>
      </c>
      <c r="T686" s="2">
        <v>117.143799</v>
      </c>
      <c r="U686" s="2">
        <v>39.101544</v>
      </c>
    </row>
    <row r="687" spans="1:21">
      <c r="A687" t="s">
        <v>3582</v>
      </c>
      <c r="B687" t="s">
        <v>359</v>
      </c>
      <c r="C687" t="s">
        <v>3583</v>
      </c>
      <c r="D687" t="s">
        <v>3584</v>
      </c>
      <c r="E687" t="s">
        <v>3585</v>
      </c>
      <c r="F687" t="s">
        <v>7</v>
      </c>
      <c r="G687" t="s">
        <v>7</v>
      </c>
      <c r="H687" t="s">
        <v>43</v>
      </c>
      <c r="I687" t="s">
        <v>100</v>
      </c>
      <c r="J687" t="s">
        <v>3584</v>
      </c>
      <c r="K687" t="s">
        <v>32</v>
      </c>
      <c r="L687" t="s">
        <v>32</v>
      </c>
      <c r="M687" t="s">
        <v>36</v>
      </c>
      <c r="N687" t="s">
        <v>37</v>
      </c>
      <c r="O687" t="s">
        <v>66</v>
      </c>
      <c r="P687" t="s">
        <v>66</v>
      </c>
      <c r="Q687" t="s">
        <v>32</v>
      </c>
      <c r="R687" t="s">
        <v>3586</v>
      </c>
      <c r="S687" t="s">
        <v>32</v>
      </c>
      <c r="T687" s="2">
        <v>117.12045</v>
      </c>
      <c r="U687" s="2">
        <v>39.145428</v>
      </c>
    </row>
    <row r="688" spans="1:21">
      <c r="A688" t="s">
        <v>3587</v>
      </c>
      <c r="B688" t="s">
        <v>3130</v>
      </c>
      <c r="C688" t="s">
        <v>3588</v>
      </c>
      <c r="D688" t="s">
        <v>32</v>
      </c>
      <c r="E688" t="s">
        <v>3589</v>
      </c>
      <c r="F688" t="s">
        <v>7</v>
      </c>
      <c r="G688" t="s">
        <v>7</v>
      </c>
      <c r="H688" t="s">
        <v>50</v>
      </c>
      <c r="I688" t="s">
        <v>51</v>
      </c>
      <c r="J688" t="s">
        <v>32</v>
      </c>
      <c r="K688" t="s">
        <v>32</v>
      </c>
      <c r="L688" t="s">
        <v>32</v>
      </c>
      <c r="M688" t="s">
        <v>36</v>
      </c>
      <c r="N688" t="s">
        <v>37</v>
      </c>
      <c r="O688" t="s">
        <v>66</v>
      </c>
      <c r="P688" t="s">
        <v>66</v>
      </c>
      <c r="Q688" t="s">
        <v>45</v>
      </c>
      <c r="R688" t="s">
        <v>3590</v>
      </c>
      <c r="S688" t="s">
        <v>32</v>
      </c>
      <c r="T688" s="2">
        <v>117.237014</v>
      </c>
      <c r="U688" s="2">
        <v>39.091696</v>
      </c>
    </row>
    <row r="689" spans="1:21">
      <c r="A689" t="s">
        <v>3591</v>
      </c>
      <c r="B689" t="s">
        <v>157</v>
      </c>
      <c r="C689" t="s">
        <v>3592</v>
      </c>
      <c r="D689" t="s">
        <v>3593</v>
      </c>
      <c r="E689" t="s">
        <v>3594</v>
      </c>
      <c r="F689" t="s">
        <v>7</v>
      </c>
      <c r="G689" t="s">
        <v>7</v>
      </c>
      <c r="H689" t="s">
        <v>43</v>
      </c>
      <c r="I689" t="s">
        <v>51</v>
      </c>
      <c r="J689" t="s">
        <v>3593</v>
      </c>
      <c r="K689" t="s">
        <v>32</v>
      </c>
      <c r="L689" t="s">
        <v>32</v>
      </c>
      <c r="M689" t="s">
        <v>36</v>
      </c>
      <c r="N689" t="s">
        <v>37</v>
      </c>
      <c r="O689" t="s">
        <v>66</v>
      </c>
      <c r="P689" t="s">
        <v>66</v>
      </c>
      <c r="Q689" t="s">
        <v>45</v>
      </c>
      <c r="R689" t="s">
        <v>3595</v>
      </c>
      <c r="S689" t="s">
        <v>32</v>
      </c>
      <c r="T689" s="2">
        <v>117.148683</v>
      </c>
      <c r="U689" s="2">
        <v>39.043183</v>
      </c>
    </row>
    <row r="690" spans="1:21">
      <c r="A690" t="s">
        <v>3596</v>
      </c>
      <c r="B690" t="s">
        <v>3597</v>
      </c>
      <c r="C690" t="s">
        <v>3598</v>
      </c>
      <c r="D690" t="s">
        <v>3599</v>
      </c>
      <c r="E690" t="s">
        <v>3600</v>
      </c>
      <c r="F690" t="s">
        <v>7</v>
      </c>
      <c r="G690" t="s">
        <v>7</v>
      </c>
      <c r="H690" t="s">
        <v>34</v>
      </c>
      <c r="I690" t="s">
        <v>336</v>
      </c>
      <c r="J690" t="s">
        <v>3599</v>
      </c>
      <c r="K690" t="s">
        <v>32</v>
      </c>
      <c r="L690" t="s">
        <v>32</v>
      </c>
      <c r="M690" t="s">
        <v>36</v>
      </c>
      <c r="N690" t="s">
        <v>37</v>
      </c>
      <c r="O690" t="s">
        <v>66</v>
      </c>
      <c r="P690" t="s">
        <v>66</v>
      </c>
      <c r="Q690" t="s">
        <v>45</v>
      </c>
      <c r="R690" t="s">
        <v>3601</v>
      </c>
      <c r="S690" t="s">
        <v>32</v>
      </c>
      <c r="T690" s="2">
        <v>117.138843</v>
      </c>
      <c r="U690" s="2">
        <v>39.102681</v>
      </c>
    </row>
    <row r="691" spans="1:21">
      <c r="A691" t="s">
        <v>3602</v>
      </c>
      <c r="B691" t="s">
        <v>3577</v>
      </c>
      <c r="C691" t="s">
        <v>3603</v>
      </c>
      <c r="D691" t="s">
        <v>3604</v>
      </c>
      <c r="E691" t="s">
        <v>3605</v>
      </c>
      <c r="F691" t="s">
        <v>7</v>
      </c>
      <c r="G691" t="s">
        <v>7</v>
      </c>
      <c r="H691" t="s">
        <v>34</v>
      </c>
      <c r="I691" t="s">
        <v>350</v>
      </c>
      <c r="J691" t="s">
        <v>3604</v>
      </c>
      <c r="K691" t="s">
        <v>32</v>
      </c>
      <c r="L691" t="s">
        <v>32</v>
      </c>
      <c r="M691" t="s">
        <v>36</v>
      </c>
      <c r="N691" t="s">
        <v>37</v>
      </c>
      <c r="O691" t="s">
        <v>66</v>
      </c>
      <c r="P691" t="s">
        <v>66</v>
      </c>
      <c r="Q691" t="s">
        <v>45</v>
      </c>
      <c r="R691" t="s">
        <v>3606</v>
      </c>
      <c r="S691" t="s">
        <v>32</v>
      </c>
      <c r="T691" s="2">
        <v>117.142733</v>
      </c>
      <c r="U691" s="2">
        <v>39.134283</v>
      </c>
    </row>
    <row r="692" spans="1:21">
      <c r="A692" t="s">
        <v>3607</v>
      </c>
      <c r="B692" t="s">
        <v>40</v>
      </c>
      <c r="C692" t="s">
        <v>3608</v>
      </c>
      <c r="D692" t="s">
        <v>32</v>
      </c>
      <c r="E692" t="s">
        <v>3609</v>
      </c>
      <c r="F692" t="s">
        <v>7</v>
      </c>
      <c r="G692" t="s">
        <v>7</v>
      </c>
      <c r="H692" t="s">
        <v>34</v>
      </c>
      <c r="I692" t="s">
        <v>336</v>
      </c>
      <c r="J692" t="s">
        <v>3610</v>
      </c>
      <c r="K692" t="s">
        <v>32</v>
      </c>
      <c r="L692" t="s">
        <v>32</v>
      </c>
      <c r="M692" t="s">
        <v>36</v>
      </c>
      <c r="N692" t="s">
        <v>37</v>
      </c>
      <c r="O692" t="s">
        <v>66</v>
      </c>
      <c r="P692" t="s">
        <v>66</v>
      </c>
      <c r="Q692" t="s">
        <v>45</v>
      </c>
      <c r="R692" t="s">
        <v>3611</v>
      </c>
      <c r="S692" t="s">
        <v>32</v>
      </c>
      <c r="T692" s="2">
        <v>117.135391</v>
      </c>
      <c r="U692" s="2">
        <v>39.133381</v>
      </c>
    </row>
    <row r="693" spans="1:21">
      <c r="A693" t="s">
        <v>3612</v>
      </c>
      <c r="B693" t="s">
        <v>3613</v>
      </c>
      <c r="C693" t="s">
        <v>3614</v>
      </c>
      <c r="D693" t="s">
        <v>3615</v>
      </c>
      <c r="E693" t="s">
        <v>3616</v>
      </c>
      <c r="F693" t="s">
        <v>7</v>
      </c>
      <c r="G693" t="s">
        <v>7</v>
      </c>
      <c r="H693" t="s">
        <v>43</v>
      </c>
      <c r="I693" t="s">
        <v>51</v>
      </c>
      <c r="J693" t="s">
        <v>3615</v>
      </c>
      <c r="K693" t="s">
        <v>32</v>
      </c>
      <c r="L693" t="s">
        <v>32</v>
      </c>
      <c r="M693" t="s">
        <v>36</v>
      </c>
      <c r="N693" t="s">
        <v>37</v>
      </c>
      <c r="O693" t="s">
        <v>66</v>
      </c>
      <c r="P693" t="s">
        <v>66</v>
      </c>
      <c r="Q693" t="s">
        <v>45</v>
      </c>
      <c r="R693" t="s">
        <v>3617</v>
      </c>
      <c r="S693" t="s">
        <v>32</v>
      </c>
      <c r="T693" s="2">
        <v>117.080094</v>
      </c>
      <c r="U693" s="2">
        <v>39.137977</v>
      </c>
    </row>
    <row r="694" spans="1:21">
      <c r="A694" t="s">
        <v>3618</v>
      </c>
      <c r="B694" t="s">
        <v>328</v>
      </c>
      <c r="C694" t="s">
        <v>3619</v>
      </c>
      <c r="D694" t="s">
        <v>32</v>
      </c>
      <c r="E694" t="s">
        <v>3620</v>
      </c>
      <c r="F694" t="s">
        <v>7</v>
      </c>
      <c r="G694" t="s">
        <v>7</v>
      </c>
      <c r="H694" t="s">
        <v>50</v>
      </c>
      <c r="I694" t="s">
        <v>100</v>
      </c>
      <c r="J694" t="s">
        <v>32</v>
      </c>
      <c r="K694" t="s">
        <v>32</v>
      </c>
      <c r="L694" t="s">
        <v>32</v>
      </c>
      <c r="M694" t="s">
        <v>36</v>
      </c>
      <c r="N694" t="s">
        <v>37</v>
      </c>
      <c r="O694" t="s">
        <v>66</v>
      </c>
      <c r="P694" t="s">
        <v>66</v>
      </c>
      <c r="Q694" t="s">
        <v>45</v>
      </c>
      <c r="R694" t="s">
        <v>3621</v>
      </c>
      <c r="S694" t="s">
        <v>32</v>
      </c>
      <c r="T694" s="2">
        <v>117.240016</v>
      </c>
      <c r="U694" s="2">
        <v>39.064591</v>
      </c>
    </row>
    <row r="695" spans="1:21">
      <c r="A695" t="s">
        <v>3622</v>
      </c>
      <c r="B695" t="s">
        <v>3623</v>
      </c>
      <c r="C695" t="s">
        <v>3624</v>
      </c>
      <c r="D695" t="s">
        <v>32</v>
      </c>
      <c r="E695" t="s">
        <v>3625</v>
      </c>
      <c r="F695" t="s">
        <v>7</v>
      </c>
      <c r="G695" t="s">
        <v>7</v>
      </c>
      <c r="H695" t="s">
        <v>43</v>
      </c>
      <c r="I695" t="s">
        <v>44</v>
      </c>
      <c r="J695" t="s">
        <v>32</v>
      </c>
      <c r="K695" t="s">
        <v>32</v>
      </c>
      <c r="L695" t="s">
        <v>32</v>
      </c>
      <c r="M695" t="s">
        <v>36</v>
      </c>
      <c r="N695" t="s">
        <v>37</v>
      </c>
      <c r="O695" t="s">
        <v>66</v>
      </c>
      <c r="P695" t="s">
        <v>66</v>
      </c>
      <c r="Q695" t="s">
        <v>45</v>
      </c>
      <c r="R695" t="s">
        <v>3626</v>
      </c>
      <c r="S695" t="s">
        <v>32</v>
      </c>
      <c r="T695" s="2">
        <v>117.033648</v>
      </c>
      <c r="U695" s="2">
        <v>39.068134</v>
      </c>
    </row>
    <row r="696" spans="1:21">
      <c r="A696" t="s">
        <v>3627</v>
      </c>
      <c r="B696" t="s">
        <v>157</v>
      </c>
      <c r="C696" t="s">
        <v>3628</v>
      </c>
      <c r="D696" t="s">
        <v>3629</v>
      </c>
      <c r="E696" t="s">
        <v>3630</v>
      </c>
      <c r="F696" t="s">
        <v>7</v>
      </c>
      <c r="G696" t="s">
        <v>7</v>
      </c>
      <c r="H696" t="s">
        <v>43</v>
      </c>
      <c r="I696" t="s">
        <v>51</v>
      </c>
      <c r="J696" t="s">
        <v>3629</v>
      </c>
      <c r="K696" t="s">
        <v>32</v>
      </c>
      <c r="L696" t="s">
        <v>32</v>
      </c>
      <c r="M696" t="s">
        <v>36</v>
      </c>
      <c r="N696" t="s">
        <v>37</v>
      </c>
      <c r="O696" t="s">
        <v>66</v>
      </c>
      <c r="P696" t="s">
        <v>66</v>
      </c>
      <c r="Q696" t="s">
        <v>45</v>
      </c>
      <c r="R696" t="s">
        <v>3631</v>
      </c>
      <c r="S696" t="s">
        <v>32</v>
      </c>
      <c r="T696" s="2">
        <v>116.992958</v>
      </c>
      <c r="U696" s="2">
        <v>39.106856</v>
      </c>
    </row>
    <row r="697" spans="1:21">
      <c r="A697" t="s">
        <v>3632</v>
      </c>
      <c r="B697" t="s">
        <v>2209</v>
      </c>
      <c r="C697" t="s">
        <v>1811</v>
      </c>
      <c r="D697" t="s">
        <v>3633</v>
      </c>
      <c r="E697" t="s">
        <v>3634</v>
      </c>
      <c r="F697" t="s">
        <v>7</v>
      </c>
      <c r="G697" t="s">
        <v>7</v>
      </c>
      <c r="H697" t="s">
        <v>56</v>
      </c>
      <c r="I697" t="s">
        <v>51</v>
      </c>
      <c r="J697" t="s">
        <v>3633</v>
      </c>
      <c r="K697" t="s">
        <v>32</v>
      </c>
      <c r="L697" t="s">
        <v>32</v>
      </c>
      <c r="M697" t="s">
        <v>36</v>
      </c>
      <c r="N697" t="s">
        <v>37</v>
      </c>
      <c r="O697" t="s">
        <v>66</v>
      </c>
      <c r="P697" t="s">
        <v>66</v>
      </c>
      <c r="Q697" t="s">
        <v>45</v>
      </c>
      <c r="R697" t="s">
        <v>3635</v>
      </c>
      <c r="S697" t="s">
        <v>32</v>
      </c>
      <c r="T697" s="2">
        <v>117.135219</v>
      </c>
      <c r="U697" s="2">
        <v>39.207046</v>
      </c>
    </row>
    <row r="698" spans="1:21">
      <c r="A698" t="s">
        <v>3636</v>
      </c>
      <c r="B698" t="s">
        <v>2209</v>
      </c>
      <c r="C698" t="s">
        <v>3637</v>
      </c>
      <c r="D698" t="s">
        <v>3638</v>
      </c>
      <c r="E698" t="s">
        <v>3639</v>
      </c>
      <c r="F698" t="s">
        <v>7</v>
      </c>
      <c r="G698" t="s">
        <v>7</v>
      </c>
      <c r="H698" t="s">
        <v>56</v>
      </c>
      <c r="I698" t="s">
        <v>1221</v>
      </c>
      <c r="J698" t="s">
        <v>3638</v>
      </c>
      <c r="K698" t="s">
        <v>32</v>
      </c>
      <c r="L698" t="s">
        <v>32</v>
      </c>
      <c r="M698" t="s">
        <v>36</v>
      </c>
      <c r="N698" t="s">
        <v>37</v>
      </c>
      <c r="O698" t="s">
        <v>66</v>
      </c>
      <c r="P698" t="s">
        <v>66</v>
      </c>
      <c r="Q698" t="s">
        <v>45</v>
      </c>
      <c r="R698" t="s">
        <v>2848</v>
      </c>
      <c r="S698" t="s">
        <v>32</v>
      </c>
      <c r="T698" s="2">
        <v>117.091276</v>
      </c>
      <c r="U698" s="2">
        <v>39.222648</v>
      </c>
    </row>
    <row r="699" spans="1:21">
      <c r="A699" t="s">
        <v>3640</v>
      </c>
      <c r="B699" t="s">
        <v>40</v>
      </c>
      <c r="C699" t="s">
        <v>3641</v>
      </c>
      <c r="D699" t="s">
        <v>32</v>
      </c>
      <c r="E699" t="s">
        <v>3642</v>
      </c>
      <c r="F699" t="s">
        <v>7</v>
      </c>
      <c r="G699" t="s">
        <v>7</v>
      </c>
      <c r="H699" t="s">
        <v>262</v>
      </c>
      <c r="I699" t="s">
        <v>44</v>
      </c>
      <c r="J699" t="s">
        <v>32</v>
      </c>
      <c r="K699" t="s">
        <v>32</v>
      </c>
      <c r="L699" t="s">
        <v>32</v>
      </c>
      <c r="M699" t="s">
        <v>36</v>
      </c>
      <c r="N699" t="s">
        <v>37</v>
      </c>
      <c r="O699" t="s">
        <v>66</v>
      </c>
      <c r="P699" t="s">
        <v>66</v>
      </c>
      <c r="Q699" t="s">
        <v>45</v>
      </c>
      <c r="R699" t="s">
        <v>3643</v>
      </c>
      <c r="S699" t="s">
        <v>32</v>
      </c>
      <c r="T699" s="2">
        <v>117.246608</v>
      </c>
      <c r="U699" s="2">
        <v>39.157561</v>
      </c>
    </row>
    <row r="700" spans="1:21">
      <c r="A700" t="s">
        <v>3644</v>
      </c>
      <c r="B700" t="s">
        <v>3577</v>
      </c>
      <c r="C700" t="s">
        <v>31</v>
      </c>
      <c r="D700" t="s">
        <v>3645</v>
      </c>
      <c r="E700" t="s">
        <v>3646</v>
      </c>
      <c r="F700" t="s">
        <v>7</v>
      </c>
      <c r="G700" t="s">
        <v>7</v>
      </c>
      <c r="H700" t="s">
        <v>34</v>
      </c>
      <c r="I700" t="s">
        <v>350</v>
      </c>
      <c r="J700" t="s">
        <v>3645</v>
      </c>
      <c r="K700" t="s">
        <v>32</v>
      </c>
      <c r="L700" t="s">
        <v>32</v>
      </c>
      <c r="M700" t="s">
        <v>36</v>
      </c>
      <c r="N700" t="s">
        <v>37</v>
      </c>
      <c r="O700" t="s">
        <v>66</v>
      </c>
      <c r="P700" t="s">
        <v>66</v>
      </c>
      <c r="Q700" t="s">
        <v>45</v>
      </c>
      <c r="R700" t="s">
        <v>3647</v>
      </c>
      <c r="S700" t="s">
        <v>32</v>
      </c>
      <c r="T700" s="2">
        <v>117.119693</v>
      </c>
      <c r="U700" s="2">
        <v>39.135882</v>
      </c>
    </row>
    <row r="701" spans="1:21">
      <c r="A701" t="s">
        <v>3648</v>
      </c>
      <c r="B701" t="s">
        <v>3649</v>
      </c>
      <c r="C701" t="s">
        <v>3650</v>
      </c>
      <c r="D701" t="s">
        <v>32</v>
      </c>
      <c r="E701" t="s">
        <v>3651</v>
      </c>
      <c r="F701" t="s">
        <v>7</v>
      </c>
      <c r="G701" t="s">
        <v>7</v>
      </c>
      <c r="H701" t="s">
        <v>262</v>
      </c>
      <c r="I701" t="s">
        <v>94</v>
      </c>
      <c r="J701" t="s">
        <v>32</v>
      </c>
      <c r="K701" t="s">
        <v>32</v>
      </c>
      <c r="L701" t="s">
        <v>32</v>
      </c>
      <c r="M701" t="s">
        <v>36</v>
      </c>
      <c r="N701" t="s">
        <v>37</v>
      </c>
      <c r="O701" t="s">
        <v>66</v>
      </c>
      <c r="P701" t="s">
        <v>66</v>
      </c>
      <c r="Q701" t="s">
        <v>74</v>
      </c>
      <c r="R701" t="s">
        <v>3652</v>
      </c>
      <c r="S701" t="s">
        <v>32</v>
      </c>
      <c r="T701" s="2">
        <v>117.238251</v>
      </c>
      <c r="U701" s="2">
        <v>39.167043</v>
      </c>
    </row>
    <row r="702" spans="1:21">
      <c r="A702" t="s">
        <v>3653</v>
      </c>
      <c r="B702" t="s">
        <v>3654</v>
      </c>
      <c r="C702" t="s">
        <v>3655</v>
      </c>
      <c r="D702" t="s">
        <v>3656</v>
      </c>
      <c r="E702" t="s">
        <v>3657</v>
      </c>
      <c r="F702" t="s">
        <v>7</v>
      </c>
      <c r="G702" t="s">
        <v>7</v>
      </c>
      <c r="H702" t="s">
        <v>56</v>
      </c>
      <c r="I702" t="s">
        <v>350</v>
      </c>
      <c r="J702" t="s">
        <v>3656</v>
      </c>
      <c r="K702" t="s">
        <v>32</v>
      </c>
      <c r="L702" t="s">
        <v>32</v>
      </c>
      <c r="M702" t="s">
        <v>36</v>
      </c>
      <c r="N702" t="s">
        <v>37</v>
      </c>
      <c r="O702" t="s">
        <v>66</v>
      </c>
      <c r="P702" t="s">
        <v>66</v>
      </c>
      <c r="Q702" t="s">
        <v>45</v>
      </c>
      <c r="R702" t="s">
        <v>3658</v>
      </c>
      <c r="S702" t="s">
        <v>32</v>
      </c>
      <c r="T702" s="2">
        <v>117.206511</v>
      </c>
      <c r="U702" s="2">
        <v>39.23502</v>
      </c>
    </row>
    <row r="703" spans="1:21">
      <c r="A703" t="s">
        <v>3659</v>
      </c>
      <c r="B703" t="s">
        <v>3660</v>
      </c>
      <c r="C703" t="s">
        <v>3661</v>
      </c>
      <c r="D703" t="s">
        <v>3662</v>
      </c>
      <c r="E703" t="s">
        <v>3663</v>
      </c>
      <c r="F703" t="s">
        <v>7</v>
      </c>
      <c r="G703" t="s">
        <v>7</v>
      </c>
      <c r="H703" t="s">
        <v>56</v>
      </c>
      <c r="I703" t="s">
        <v>154</v>
      </c>
      <c r="J703" t="s">
        <v>3662</v>
      </c>
      <c r="K703" t="s">
        <v>32</v>
      </c>
      <c r="L703" t="s">
        <v>32</v>
      </c>
      <c r="M703" t="s">
        <v>36</v>
      </c>
      <c r="N703" t="s">
        <v>37</v>
      </c>
      <c r="O703" t="s">
        <v>66</v>
      </c>
      <c r="P703" t="s">
        <v>66</v>
      </c>
      <c r="Q703" t="s">
        <v>45</v>
      </c>
      <c r="R703" t="s">
        <v>3664</v>
      </c>
      <c r="S703" t="s">
        <v>32</v>
      </c>
      <c r="T703" s="2">
        <v>117.236794</v>
      </c>
      <c r="U703" s="2">
        <v>39.250868</v>
      </c>
    </row>
    <row r="704" spans="1:21">
      <c r="A704" t="s">
        <v>3665</v>
      </c>
      <c r="B704" t="s">
        <v>3666</v>
      </c>
      <c r="C704" t="s">
        <v>3667</v>
      </c>
      <c r="D704" t="s">
        <v>3668</v>
      </c>
      <c r="E704" t="s">
        <v>3669</v>
      </c>
      <c r="F704" t="s">
        <v>7</v>
      </c>
      <c r="G704" t="s">
        <v>7</v>
      </c>
      <c r="H704" t="s">
        <v>262</v>
      </c>
      <c r="I704" t="s">
        <v>350</v>
      </c>
      <c r="J704" t="s">
        <v>3668</v>
      </c>
      <c r="K704" t="s">
        <v>32</v>
      </c>
      <c r="L704" t="s">
        <v>32</v>
      </c>
      <c r="M704" t="s">
        <v>36</v>
      </c>
      <c r="N704" t="s">
        <v>37</v>
      </c>
      <c r="O704" t="s">
        <v>66</v>
      </c>
      <c r="P704" t="s">
        <v>66</v>
      </c>
      <c r="Q704" t="s">
        <v>45</v>
      </c>
      <c r="R704" t="s">
        <v>3670</v>
      </c>
      <c r="S704" t="s">
        <v>32</v>
      </c>
      <c r="T704" s="2">
        <v>117.228242</v>
      </c>
      <c r="U704" s="2">
        <v>39.170328</v>
      </c>
    </row>
    <row r="705" spans="1:21">
      <c r="A705" t="s">
        <v>3671</v>
      </c>
      <c r="B705" t="s">
        <v>40</v>
      </c>
      <c r="C705" t="s">
        <v>3672</v>
      </c>
      <c r="D705" t="s">
        <v>32</v>
      </c>
      <c r="E705" t="s">
        <v>3673</v>
      </c>
      <c r="F705" t="s">
        <v>7</v>
      </c>
      <c r="G705" t="s">
        <v>7</v>
      </c>
      <c r="H705" t="s">
        <v>262</v>
      </c>
      <c r="I705" t="s">
        <v>94</v>
      </c>
      <c r="J705" t="s">
        <v>32</v>
      </c>
      <c r="K705" t="s">
        <v>32</v>
      </c>
      <c r="L705" t="s">
        <v>32</v>
      </c>
      <c r="M705" t="s">
        <v>36</v>
      </c>
      <c r="N705" t="s">
        <v>37</v>
      </c>
      <c r="O705" t="s">
        <v>66</v>
      </c>
      <c r="P705" t="s">
        <v>66</v>
      </c>
      <c r="Q705" t="s">
        <v>45</v>
      </c>
      <c r="R705" t="s">
        <v>3674</v>
      </c>
      <c r="S705" t="s">
        <v>32</v>
      </c>
      <c r="T705" s="2">
        <v>117.189602</v>
      </c>
      <c r="U705" s="2">
        <v>39.158204</v>
      </c>
    </row>
    <row r="706" spans="1:21">
      <c r="A706" t="s">
        <v>3675</v>
      </c>
      <c r="B706" t="s">
        <v>40</v>
      </c>
      <c r="C706" t="s">
        <v>267</v>
      </c>
      <c r="D706" t="s">
        <v>3676</v>
      </c>
      <c r="E706" t="s">
        <v>3677</v>
      </c>
      <c r="F706" t="s">
        <v>7</v>
      </c>
      <c r="G706" t="s">
        <v>7</v>
      </c>
      <c r="H706" t="s">
        <v>34</v>
      </c>
      <c r="I706" t="s">
        <v>94</v>
      </c>
      <c r="J706" t="s">
        <v>3676</v>
      </c>
      <c r="K706" t="s">
        <v>32</v>
      </c>
      <c r="L706" t="s">
        <v>32</v>
      </c>
      <c r="M706" t="s">
        <v>36</v>
      </c>
      <c r="N706" t="s">
        <v>37</v>
      </c>
      <c r="O706" t="s">
        <v>66</v>
      </c>
      <c r="P706" t="s">
        <v>66</v>
      </c>
      <c r="Q706" t="s">
        <v>45</v>
      </c>
      <c r="R706" t="s">
        <v>3678</v>
      </c>
      <c r="S706" t="s">
        <v>32</v>
      </c>
      <c r="T706" s="2">
        <v>117.143759</v>
      </c>
      <c r="U706" s="2">
        <v>39.080638</v>
      </c>
    </row>
    <row r="707" spans="1:21">
      <c r="A707" t="s">
        <v>3679</v>
      </c>
      <c r="B707" t="s">
        <v>40</v>
      </c>
      <c r="C707" t="s">
        <v>3680</v>
      </c>
      <c r="D707" t="s">
        <v>32</v>
      </c>
      <c r="E707" t="s">
        <v>3681</v>
      </c>
      <c r="F707" t="s">
        <v>7</v>
      </c>
      <c r="G707" t="s">
        <v>7</v>
      </c>
      <c r="H707" t="s">
        <v>43</v>
      </c>
      <c r="I707" t="s">
        <v>44</v>
      </c>
      <c r="J707" t="s">
        <v>32</v>
      </c>
      <c r="K707" t="s">
        <v>32</v>
      </c>
      <c r="L707" t="s">
        <v>32</v>
      </c>
      <c r="M707" t="s">
        <v>36</v>
      </c>
      <c r="N707" t="s">
        <v>37</v>
      </c>
      <c r="O707" t="s">
        <v>66</v>
      </c>
      <c r="P707" t="s">
        <v>66</v>
      </c>
      <c r="Q707" t="s">
        <v>45</v>
      </c>
      <c r="R707" t="s">
        <v>3682</v>
      </c>
      <c r="S707" t="s">
        <v>32</v>
      </c>
      <c r="T707" s="2">
        <v>117.04453</v>
      </c>
      <c r="U707" s="2">
        <v>39.13052</v>
      </c>
    </row>
    <row r="708" spans="1:21">
      <c r="A708" t="s">
        <v>3683</v>
      </c>
      <c r="B708" t="s">
        <v>3684</v>
      </c>
      <c r="C708" t="s">
        <v>3685</v>
      </c>
      <c r="D708" t="s">
        <v>3686</v>
      </c>
      <c r="E708" t="s">
        <v>3687</v>
      </c>
      <c r="F708" t="s">
        <v>7</v>
      </c>
      <c r="G708" t="s">
        <v>7</v>
      </c>
      <c r="H708" t="s">
        <v>407</v>
      </c>
      <c r="I708" t="s">
        <v>51</v>
      </c>
      <c r="J708" t="s">
        <v>3686</v>
      </c>
      <c r="K708" t="s">
        <v>32</v>
      </c>
      <c r="L708" t="s">
        <v>32</v>
      </c>
      <c r="M708" t="s">
        <v>36</v>
      </c>
      <c r="N708" t="s">
        <v>37</v>
      </c>
      <c r="O708" t="s">
        <v>66</v>
      </c>
      <c r="P708" t="s">
        <v>66</v>
      </c>
      <c r="Q708" t="s">
        <v>45</v>
      </c>
      <c r="R708" t="s">
        <v>3688</v>
      </c>
      <c r="S708" t="s">
        <v>32</v>
      </c>
      <c r="T708" s="2">
        <v>117.206262</v>
      </c>
      <c r="U708" s="2">
        <v>39.130912</v>
      </c>
    </row>
    <row r="709" spans="1:21">
      <c r="A709" t="s">
        <v>3689</v>
      </c>
      <c r="B709" t="s">
        <v>374</v>
      </c>
      <c r="C709" t="s">
        <v>3690</v>
      </c>
      <c r="D709" t="s">
        <v>32</v>
      </c>
      <c r="E709" t="s">
        <v>3691</v>
      </c>
      <c r="F709" t="s">
        <v>7</v>
      </c>
      <c r="G709" t="s">
        <v>7</v>
      </c>
      <c r="H709" t="s">
        <v>262</v>
      </c>
      <c r="I709" t="s">
        <v>44</v>
      </c>
      <c r="J709" t="s">
        <v>32</v>
      </c>
      <c r="K709" t="s">
        <v>32</v>
      </c>
      <c r="L709" t="s">
        <v>32</v>
      </c>
      <c r="M709" t="s">
        <v>36</v>
      </c>
      <c r="N709" t="s">
        <v>37</v>
      </c>
      <c r="O709" t="s">
        <v>66</v>
      </c>
      <c r="P709" t="s">
        <v>66</v>
      </c>
      <c r="Q709" t="s">
        <v>45</v>
      </c>
      <c r="R709" t="s">
        <v>3692</v>
      </c>
      <c r="S709" t="s">
        <v>32</v>
      </c>
      <c r="T709" s="2">
        <v>117.204213</v>
      </c>
      <c r="U709" s="2">
        <v>39.189422</v>
      </c>
    </row>
    <row r="710" spans="1:21">
      <c r="A710" t="s">
        <v>3693</v>
      </c>
      <c r="B710" t="s">
        <v>130</v>
      </c>
      <c r="C710" t="s">
        <v>3694</v>
      </c>
      <c r="D710" t="s">
        <v>32</v>
      </c>
      <c r="E710" t="s">
        <v>3695</v>
      </c>
      <c r="F710" t="s">
        <v>7</v>
      </c>
      <c r="G710" t="s">
        <v>7</v>
      </c>
      <c r="H710" t="s">
        <v>262</v>
      </c>
      <c r="I710" t="s">
        <v>51</v>
      </c>
      <c r="J710" t="s">
        <v>3696</v>
      </c>
      <c r="K710" t="s">
        <v>32</v>
      </c>
      <c r="L710" t="s">
        <v>32</v>
      </c>
      <c r="M710" t="s">
        <v>36</v>
      </c>
      <c r="N710" t="s">
        <v>37</v>
      </c>
      <c r="O710" t="s">
        <v>66</v>
      </c>
      <c r="P710" t="s">
        <v>66</v>
      </c>
      <c r="Q710" t="s">
        <v>45</v>
      </c>
      <c r="R710" t="s">
        <v>3697</v>
      </c>
      <c r="S710" t="s">
        <v>32</v>
      </c>
      <c r="T710" s="2">
        <v>117.209924</v>
      </c>
      <c r="U710" s="2">
        <v>39.156692</v>
      </c>
    </row>
    <row r="711" spans="1:21">
      <c r="A711" t="s">
        <v>3698</v>
      </c>
      <c r="B711" t="s">
        <v>3099</v>
      </c>
      <c r="C711" t="s">
        <v>3699</v>
      </c>
      <c r="D711" t="s">
        <v>32</v>
      </c>
      <c r="E711" t="s">
        <v>3700</v>
      </c>
      <c r="F711" t="s">
        <v>7</v>
      </c>
      <c r="G711" t="s">
        <v>7</v>
      </c>
      <c r="H711" t="s">
        <v>43</v>
      </c>
      <c r="I711" t="s">
        <v>44</v>
      </c>
      <c r="J711" t="s">
        <v>32</v>
      </c>
      <c r="K711" t="s">
        <v>32</v>
      </c>
      <c r="L711" t="s">
        <v>32</v>
      </c>
      <c r="M711" t="s">
        <v>36</v>
      </c>
      <c r="N711" t="s">
        <v>37</v>
      </c>
      <c r="O711" t="s">
        <v>66</v>
      </c>
      <c r="P711" t="s">
        <v>66</v>
      </c>
      <c r="Q711" t="s">
        <v>45</v>
      </c>
      <c r="R711" t="s">
        <v>3701</v>
      </c>
      <c r="S711" t="s">
        <v>32</v>
      </c>
      <c r="T711" s="2">
        <v>117.029274</v>
      </c>
      <c r="U711" s="2">
        <v>39.145283</v>
      </c>
    </row>
    <row r="712" spans="1:21">
      <c r="A712" t="s">
        <v>3702</v>
      </c>
      <c r="B712" t="s">
        <v>3703</v>
      </c>
      <c r="C712" t="s">
        <v>3704</v>
      </c>
      <c r="D712" t="s">
        <v>3705</v>
      </c>
      <c r="E712" t="s">
        <v>3706</v>
      </c>
      <c r="F712" t="s">
        <v>7</v>
      </c>
      <c r="G712" t="s">
        <v>7</v>
      </c>
      <c r="H712" t="s">
        <v>56</v>
      </c>
      <c r="I712" t="s">
        <v>154</v>
      </c>
      <c r="J712" t="s">
        <v>3705</v>
      </c>
      <c r="K712" t="s">
        <v>85</v>
      </c>
      <c r="L712" t="s">
        <v>1864</v>
      </c>
      <c r="M712" t="s">
        <v>36</v>
      </c>
      <c r="N712" t="s">
        <v>37</v>
      </c>
      <c r="O712" t="s">
        <v>66</v>
      </c>
      <c r="P712" t="s">
        <v>66</v>
      </c>
      <c r="Q712" t="s">
        <v>45</v>
      </c>
      <c r="R712" t="s">
        <v>3707</v>
      </c>
      <c r="S712" t="s">
        <v>32</v>
      </c>
      <c r="T712" s="2">
        <v>117.233506</v>
      </c>
      <c r="U712" s="2">
        <v>39.219445</v>
      </c>
    </row>
    <row r="713" spans="1:21">
      <c r="A713" t="s">
        <v>3708</v>
      </c>
      <c r="B713" t="s">
        <v>3709</v>
      </c>
      <c r="C713" t="s">
        <v>3710</v>
      </c>
      <c r="D713" t="s">
        <v>32</v>
      </c>
      <c r="E713" t="s">
        <v>3711</v>
      </c>
      <c r="F713" t="s">
        <v>7</v>
      </c>
      <c r="G713" t="s">
        <v>7</v>
      </c>
      <c r="H713" t="s">
        <v>105</v>
      </c>
      <c r="I713" t="s">
        <v>51</v>
      </c>
      <c r="J713" t="s">
        <v>32</v>
      </c>
      <c r="K713" t="s">
        <v>32</v>
      </c>
      <c r="L713" t="s">
        <v>32</v>
      </c>
      <c r="M713" t="s">
        <v>36</v>
      </c>
      <c r="N713" t="s">
        <v>37</v>
      </c>
      <c r="O713" t="s">
        <v>66</v>
      </c>
      <c r="P713" t="s">
        <v>66</v>
      </c>
      <c r="Q713" t="s">
        <v>45</v>
      </c>
      <c r="R713" t="s">
        <v>3712</v>
      </c>
      <c r="S713" t="s">
        <v>32</v>
      </c>
      <c r="T713" s="2">
        <v>117.259996</v>
      </c>
      <c r="U713" s="2">
        <v>39.143079</v>
      </c>
    </row>
    <row r="714" spans="1:21">
      <c r="A714" t="s">
        <v>3713</v>
      </c>
      <c r="B714" t="s">
        <v>3714</v>
      </c>
      <c r="C714" t="s">
        <v>3715</v>
      </c>
      <c r="D714" t="s">
        <v>3716</v>
      </c>
      <c r="E714" t="s">
        <v>3717</v>
      </c>
      <c r="F714" t="s">
        <v>7</v>
      </c>
      <c r="G714" t="s">
        <v>7</v>
      </c>
      <c r="H714" t="s">
        <v>262</v>
      </c>
      <c r="I714" t="s">
        <v>51</v>
      </c>
      <c r="J714" t="s">
        <v>3716</v>
      </c>
      <c r="K714" t="s">
        <v>32</v>
      </c>
      <c r="L714" t="s">
        <v>32</v>
      </c>
      <c r="M714" t="s">
        <v>36</v>
      </c>
      <c r="N714" t="s">
        <v>37</v>
      </c>
      <c r="O714" t="s">
        <v>66</v>
      </c>
      <c r="P714" t="s">
        <v>66</v>
      </c>
      <c r="Q714" t="s">
        <v>45</v>
      </c>
      <c r="R714" t="s">
        <v>3718</v>
      </c>
      <c r="S714" t="s">
        <v>32</v>
      </c>
      <c r="T714" s="2">
        <v>117.238041</v>
      </c>
      <c r="U714" s="2">
        <v>39.154026</v>
      </c>
    </row>
    <row r="715" spans="1:21">
      <c r="A715" t="s">
        <v>3719</v>
      </c>
      <c r="B715" t="s">
        <v>3720</v>
      </c>
      <c r="C715" t="s">
        <v>3721</v>
      </c>
      <c r="D715" t="s">
        <v>3722</v>
      </c>
      <c r="E715" t="s">
        <v>3723</v>
      </c>
      <c r="F715" t="s">
        <v>7</v>
      </c>
      <c r="G715" t="s">
        <v>7</v>
      </c>
      <c r="H715" t="s">
        <v>34</v>
      </c>
      <c r="I715" t="s">
        <v>44</v>
      </c>
      <c r="J715" t="s">
        <v>3722</v>
      </c>
      <c r="K715" t="s">
        <v>32</v>
      </c>
      <c r="L715" t="s">
        <v>32</v>
      </c>
      <c r="M715" t="s">
        <v>36</v>
      </c>
      <c r="N715" t="s">
        <v>37</v>
      </c>
      <c r="O715" t="s">
        <v>66</v>
      </c>
      <c r="P715" t="s">
        <v>66</v>
      </c>
      <c r="Q715" t="s">
        <v>45</v>
      </c>
      <c r="R715" t="s">
        <v>3724</v>
      </c>
      <c r="S715" t="s">
        <v>32</v>
      </c>
      <c r="T715" s="2">
        <v>117.119107</v>
      </c>
      <c r="U715" s="2">
        <v>39.136952</v>
      </c>
    </row>
    <row r="716" spans="1:21">
      <c r="A716" t="s">
        <v>3725</v>
      </c>
      <c r="B716" t="s">
        <v>3726</v>
      </c>
      <c r="C716" t="s">
        <v>3727</v>
      </c>
      <c r="D716" t="s">
        <v>3728</v>
      </c>
      <c r="E716" t="s">
        <v>3729</v>
      </c>
      <c r="F716" t="s">
        <v>7</v>
      </c>
      <c r="G716" t="s">
        <v>7</v>
      </c>
      <c r="H716" t="s">
        <v>105</v>
      </c>
      <c r="I716" t="s">
        <v>51</v>
      </c>
      <c r="J716" t="s">
        <v>3728</v>
      </c>
      <c r="K716" t="s">
        <v>32</v>
      </c>
      <c r="L716" t="s">
        <v>32</v>
      </c>
      <c r="M716" t="s">
        <v>36</v>
      </c>
      <c r="N716" t="s">
        <v>37</v>
      </c>
      <c r="O716" t="s">
        <v>66</v>
      </c>
      <c r="P716" t="s">
        <v>66</v>
      </c>
      <c r="Q716" t="s">
        <v>45</v>
      </c>
      <c r="R716" t="s">
        <v>3730</v>
      </c>
      <c r="S716" t="s">
        <v>32</v>
      </c>
      <c r="T716" s="2">
        <v>117.239141</v>
      </c>
      <c r="U716" s="2">
        <v>39.136946</v>
      </c>
    </row>
    <row r="717" spans="1:21">
      <c r="A717" t="s">
        <v>3731</v>
      </c>
      <c r="B717" t="s">
        <v>3732</v>
      </c>
      <c r="C717" t="s">
        <v>3733</v>
      </c>
      <c r="D717" t="s">
        <v>3734</v>
      </c>
      <c r="E717" t="s">
        <v>3735</v>
      </c>
      <c r="F717" t="s">
        <v>7</v>
      </c>
      <c r="G717" t="s">
        <v>7</v>
      </c>
      <c r="H717" t="s">
        <v>34</v>
      </c>
      <c r="I717" t="s">
        <v>51</v>
      </c>
      <c r="J717" t="s">
        <v>3734</v>
      </c>
      <c r="K717" t="s">
        <v>32</v>
      </c>
      <c r="L717" t="s">
        <v>32</v>
      </c>
      <c r="M717" t="s">
        <v>36</v>
      </c>
      <c r="N717" t="s">
        <v>37</v>
      </c>
      <c r="O717" t="s">
        <v>66</v>
      </c>
      <c r="P717" t="s">
        <v>66</v>
      </c>
      <c r="Q717" t="s">
        <v>45</v>
      </c>
      <c r="R717" t="s">
        <v>3736</v>
      </c>
      <c r="S717" t="s">
        <v>32</v>
      </c>
      <c r="T717" s="2">
        <v>117.115426</v>
      </c>
      <c r="U717" s="2">
        <v>39.133638</v>
      </c>
    </row>
    <row r="718" spans="1:21">
      <c r="A718" t="s">
        <v>3737</v>
      </c>
      <c r="B718" t="s">
        <v>3738</v>
      </c>
      <c r="C718" t="s">
        <v>3739</v>
      </c>
      <c r="D718" t="s">
        <v>32</v>
      </c>
      <c r="E718" t="s">
        <v>3740</v>
      </c>
      <c r="F718" t="s">
        <v>7</v>
      </c>
      <c r="G718" t="s">
        <v>7</v>
      </c>
      <c r="H718" t="s">
        <v>133</v>
      </c>
      <c r="I718" t="s">
        <v>94</v>
      </c>
      <c r="J718" t="s">
        <v>32</v>
      </c>
      <c r="K718" t="s">
        <v>32</v>
      </c>
      <c r="L718" t="s">
        <v>32</v>
      </c>
      <c r="M718" t="s">
        <v>36</v>
      </c>
      <c r="N718" t="s">
        <v>37</v>
      </c>
      <c r="O718" t="s">
        <v>66</v>
      </c>
      <c r="P718" t="s">
        <v>66</v>
      </c>
      <c r="Q718" t="s">
        <v>45</v>
      </c>
      <c r="R718" t="s">
        <v>3741</v>
      </c>
      <c r="S718" t="s">
        <v>32</v>
      </c>
      <c r="T718" s="2">
        <v>117.126776</v>
      </c>
      <c r="U718" s="2">
        <v>39.197459</v>
      </c>
    </row>
    <row r="719" spans="1:21">
      <c r="A719" t="s">
        <v>3742</v>
      </c>
      <c r="B719" t="s">
        <v>3313</v>
      </c>
      <c r="C719" t="s">
        <v>3743</v>
      </c>
      <c r="D719" t="s">
        <v>32</v>
      </c>
      <c r="E719" t="s">
        <v>3744</v>
      </c>
      <c r="F719" t="s">
        <v>7</v>
      </c>
      <c r="G719" t="s">
        <v>7</v>
      </c>
      <c r="H719" t="s">
        <v>262</v>
      </c>
      <c r="I719" t="s">
        <v>350</v>
      </c>
      <c r="J719" t="s">
        <v>32</v>
      </c>
      <c r="K719" t="s">
        <v>32</v>
      </c>
      <c r="L719" t="s">
        <v>32</v>
      </c>
      <c r="M719" t="s">
        <v>36</v>
      </c>
      <c r="N719" t="s">
        <v>37</v>
      </c>
      <c r="O719" t="s">
        <v>66</v>
      </c>
      <c r="P719" t="s">
        <v>66</v>
      </c>
      <c r="Q719" t="s">
        <v>45</v>
      </c>
      <c r="R719" t="s">
        <v>3745</v>
      </c>
      <c r="S719" t="s">
        <v>32</v>
      </c>
      <c r="T719" s="2">
        <v>117.207128</v>
      </c>
      <c r="U719" s="2">
        <v>39.20223</v>
      </c>
    </row>
    <row r="720" spans="1:21">
      <c r="A720" t="s">
        <v>3746</v>
      </c>
      <c r="B720" t="s">
        <v>40</v>
      </c>
      <c r="C720" t="s">
        <v>3747</v>
      </c>
      <c r="D720" t="s">
        <v>3748</v>
      </c>
      <c r="E720" t="s">
        <v>3749</v>
      </c>
      <c r="F720" t="s">
        <v>7</v>
      </c>
      <c r="G720" t="s">
        <v>7</v>
      </c>
      <c r="H720" t="s">
        <v>56</v>
      </c>
      <c r="I720" t="s">
        <v>350</v>
      </c>
      <c r="J720" t="s">
        <v>3748</v>
      </c>
      <c r="K720" t="s">
        <v>32</v>
      </c>
      <c r="L720" t="s">
        <v>32</v>
      </c>
      <c r="M720" t="s">
        <v>36</v>
      </c>
      <c r="N720" t="s">
        <v>37</v>
      </c>
      <c r="O720" t="s">
        <v>66</v>
      </c>
      <c r="P720" t="s">
        <v>66</v>
      </c>
      <c r="Q720" t="s">
        <v>32</v>
      </c>
      <c r="R720" t="s">
        <v>3750</v>
      </c>
      <c r="S720" t="s">
        <v>32</v>
      </c>
      <c r="T720" s="2">
        <v>117.232984</v>
      </c>
      <c r="U720" s="2">
        <v>39.241572</v>
      </c>
    </row>
    <row r="721" spans="1:21">
      <c r="A721" t="s">
        <v>3751</v>
      </c>
      <c r="B721" t="s">
        <v>3232</v>
      </c>
      <c r="C721" t="s">
        <v>3752</v>
      </c>
      <c r="D721" t="s">
        <v>32</v>
      </c>
      <c r="E721" t="s">
        <v>3753</v>
      </c>
      <c r="F721" t="s">
        <v>7</v>
      </c>
      <c r="G721" t="s">
        <v>7</v>
      </c>
      <c r="H721" t="s">
        <v>262</v>
      </c>
      <c r="I721" t="s">
        <v>44</v>
      </c>
      <c r="J721" t="s">
        <v>32</v>
      </c>
      <c r="K721" t="s">
        <v>32</v>
      </c>
      <c r="L721" t="s">
        <v>32</v>
      </c>
      <c r="M721" t="s">
        <v>36</v>
      </c>
      <c r="N721" t="s">
        <v>37</v>
      </c>
      <c r="O721" t="s">
        <v>66</v>
      </c>
      <c r="P721" t="s">
        <v>66</v>
      </c>
      <c r="Q721" t="s">
        <v>45</v>
      </c>
      <c r="R721" t="s">
        <v>3754</v>
      </c>
      <c r="S721" t="s">
        <v>32</v>
      </c>
      <c r="T721" s="2">
        <v>117.209168</v>
      </c>
      <c r="U721" s="2">
        <v>39.157838</v>
      </c>
    </row>
    <row r="722" spans="1:21">
      <c r="A722" t="s">
        <v>3755</v>
      </c>
      <c r="B722" t="s">
        <v>3756</v>
      </c>
      <c r="C722" t="s">
        <v>3757</v>
      </c>
      <c r="D722" t="s">
        <v>3758</v>
      </c>
      <c r="E722" t="s">
        <v>3759</v>
      </c>
      <c r="F722" t="s">
        <v>7</v>
      </c>
      <c r="G722" t="s">
        <v>7</v>
      </c>
      <c r="H722" t="s">
        <v>34</v>
      </c>
      <c r="I722" t="s">
        <v>3357</v>
      </c>
      <c r="J722" t="s">
        <v>3758</v>
      </c>
      <c r="K722" t="s">
        <v>32</v>
      </c>
      <c r="L722" t="s">
        <v>32</v>
      </c>
      <c r="M722" t="s">
        <v>36</v>
      </c>
      <c r="N722" t="s">
        <v>37</v>
      </c>
      <c r="O722" t="s">
        <v>66</v>
      </c>
      <c r="P722" t="s">
        <v>66</v>
      </c>
      <c r="Q722" t="s">
        <v>45</v>
      </c>
      <c r="R722" t="s">
        <v>3760</v>
      </c>
      <c r="S722" t="s">
        <v>32</v>
      </c>
      <c r="T722" s="2">
        <v>117.159973</v>
      </c>
      <c r="U722" s="2">
        <v>39.137278</v>
      </c>
    </row>
    <row r="723" spans="1:21">
      <c r="A723" t="s">
        <v>3761</v>
      </c>
      <c r="B723" t="s">
        <v>2204</v>
      </c>
      <c r="C723" t="s">
        <v>3762</v>
      </c>
      <c r="D723" t="s">
        <v>3763</v>
      </c>
      <c r="E723" t="s">
        <v>3764</v>
      </c>
      <c r="F723" t="s">
        <v>7</v>
      </c>
      <c r="G723" t="s">
        <v>7</v>
      </c>
      <c r="H723" t="s">
        <v>56</v>
      </c>
      <c r="I723" t="s">
        <v>51</v>
      </c>
      <c r="J723" t="s">
        <v>3763</v>
      </c>
      <c r="K723" t="s">
        <v>32</v>
      </c>
      <c r="L723" t="s">
        <v>32</v>
      </c>
      <c r="M723" t="s">
        <v>36</v>
      </c>
      <c r="N723" t="s">
        <v>37</v>
      </c>
      <c r="O723" t="s">
        <v>66</v>
      </c>
      <c r="P723" t="s">
        <v>66</v>
      </c>
      <c r="Q723" t="s">
        <v>45</v>
      </c>
      <c r="R723" t="s">
        <v>3765</v>
      </c>
      <c r="S723" t="s">
        <v>32</v>
      </c>
      <c r="T723" s="2">
        <v>117.254362</v>
      </c>
      <c r="U723" s="2">
        <v>39.222742</v>
      </c>
    </row>
    <row r="724" spans="1:21">
      <c r="A724" t="s">
        <v>3766</v>
      </c>
      <c r="B724" t="s">
        <v>3767</v>
      </c>
      <c r="C724" t="s">
        <v>3768</v>
      </c>
      <c r="D724" t="s">
        <v>3769</v>
      </c>
      <c r="E724" t="s">
        <v>3770</v>
      </c>
      <c r="F724" t="s">
        <v>7</v>
      </c>
      <c r="G724" t="s">
        <v>7</v>
      </c>
      <c r="H724" t="s">
        <v>43</v>
      </c>
      <c r="I724" t="s">
        <v>699</v>
      </c>
      <c r="J724" t="s">
        <v>3769</v>
      </c>
      <c r="K724" t="s">
        <v>32</v>
      </c>
      <c r="L724" t="s">
        <v>32</v>
      </c>
      <c r="M724" t="s">
        <v>36</v>
      </c>
      <c r="N724" t="s">
        <v>37</v>
      </c>
      <c r="O724" t="s">
        <v>66</v>
      </c>
      <c r="P724" t="s">
        <v>66</v>
      </c>
      <c r="Q724" t="s">
        <v>45</v>
      </c>
      <c r="R724" t="s">
        <v>3771</v>
      </c>
      <c r="S724" t="s">
        <v>32</v>
      </c>
      <c r="T724" s="2">
        <v>117.191979</v>
      </c>
      <c r="U724" s="2">
        <v>39.013527</v>
      </c>
    </row>
    <row r="725" spans="1:21">
      <c r="A725" t="s">
        <v>3772</v>
      </c>
      <c r="B725" t="s">
        <v>3773</v>
      </c>
      <c r="C725" t="s">
        <v>3774</v>
      </c>
      <c r="D725" t="s">
        <v>3775</v>
      </c>
      <c r="E725" t="s">
        <v>3776</v>
      </c>
      <c r="F725" t="s">
        <v>7</v>
      </c>
      <c r="G725" t="s">
        <v>7</v>
      </c>
      <c r="H725" t="s">
        <v>146</v>
      </c>
      <c r="I725" t="s">
        <v>154</v>
      </c>
      <c r="J725" t="s">
        <v>3775</v>
      </c>
      <c r="K725" t="s">
        <v>32</v>
      </c>
      <c r="L725" t="s">
        <v>32</v>
      </c>
      <c r="M725" t="s">
        <v>36</v>
      </c>
      <c r="N725" t="s">
        <v>37</v>
      </c>
      <c r="O725" t="s">
        <v>66</v>
      </c>
      <c r="P725" t="s">
        <v>66</v>
      </c>
      <c r="Q725" t="s">
        <v>45</v>
      </c>
      <c r="R725" t="s">
        <v>3777</v>
      </c>
      <c r="S725" t="s">
        <v>32</v>
      </c>
      <c r="T725" s="2">
        <v>117.122102</v>
      </c>
      <c r="U725" s="2">
        <v>39.08716</v>
      </c>
    </row>
    <row r="726" spans="1:21">
      <c r="A726" t="s">
        <v>3778</v>
      </c>
      <c r="B726" t="s">
        <v>2204</v>
      </c>
      <c r="C726" t="s">
        <v>3779</v>
      </c>
      <c r="D726" t="s">
        <v>3780</v>
      </c>
      <c r="E726" t="s">
        <v>3781</v>
      </c>
      <c r="F726" t="s">
        <v>7</v>
      </c>
      <c r="G726" t="s">
        <v>7</v>
      </c>
      <c r="H726" t="s">
        <v>50</v>
      </c>
      <c r="I726" t="s">
        <v>51</v>
      </c>
      <c r="J726" t="s">
        <v>3780</v>
      </c>
      <c r="K726" t="s">
        <v>32</v>
      </c>
      <c r="L726" t="s">
        <v>32</v>
      </c>
      <c r="M726" t="s">
        <v>36</v>
      </c>
      <c r="N726" t="s">
        <v>37</v>
      </c>
      <c r="O726" t="s">
        <v>66</v>
      </c>
      <c r="P726" t="s">
        <v>66</v>
      </c>
      <c r="Q726" t="s">
        <v>45</v>
      </c>
      <c r="R726" t="s">
        <v>3782</v>
      </c>
      <c r="S726" t="s">
        <v>32</v>
      </c>
      <c r="T726" s="2">
        <v>117.235313</v>
      </c>
      <c r="U726" s="2">
        <v>39.082518</v>
      </c>
    </row>
    <row r="727" spans="1:21">
      <c r="A727" t="s">
        <v>3783</v>
      </c>
      <c r="B727" t="s">
        <v>3382</v>
      </c>
      <c r="C727" t="s">
        <v>3784</v>
      </c>
      <c r="D727" t="s">
        <v>3785</v>
      </c>
      <c r="E727" t="s">
        <v>3786</v>
      </c>
      <c r="F727" t="s">
        <v>7</v>
      </c>
      <c r="G727" t="s">
        <v>7</v>
      </c>
      <c r="H727" t="s">
        <v>407</v>
      </c>
      <c r="I727" t="s">
        <v>51</v>
      </c>
      <c r="J727" t="s">
        <v>3785</v>
      </c>
      <c r="K727" t="s">
        <v>32</v>
      </c>
      <c r="L727" t="s">
        <v>32</v>
      </c>
      <c r="M727" t="s">
        <v>36</v>
      </c>
      <c r="N727" t="s">
        <v>37</v>
      </c>
      <c r="O727" t="s">
        <v>66</v>
      </c>
      <c r="P727" t="s">
        <v>66</v>
      </c>
      <c r="Q727" t="s">
        <v>45</v>
      </c>
      <c r="R727" t="s">
        <v>3787</v>
      </c>
      <c r="S727" t="s">
        <v>32</v>
      </c>
      <c r="T727" s="2">
        <v>117.18936</v>
      </c>
      <c r="U727" s="2">
        <v>39.126523</v>
      </c>
    </row>
    <row r="728" spans="1:21">
      <c r="A728" t="s">
        <v>3788</v>
      </c>
      <c r="B728" t="s">
        <v>3789</v>
      </c>
      <c r="C728" t="s">
        <v>3790</v>
      </c>
      <c r="D728" t="s">
        <v>3791</v>
      </c>
      <c r="E728" t="s">
        <v>3792</v>
      </c>
      <c r="F728" t="s">
        <v>7</v>
      </c>
      <c r="G728" t="s">
        <v>7</v>
      </c>
      <c r="H728" t="s">
        <v>262</v>
      </c>
      <c r="I728" t="s">
        <v>350</v>
      </c>
      <c r="J728" t="s">
        <v>3791</v>
      </c>
      <c r="K728" t="s">
        <v>32</v>
      </c>
      <c r="L728" t="s">
        <v>32</v>
      </c>
      <c r="M728" t="s">
        <v>36</v>
      </c>
      <c r="N728" t="s">
        <v>37</v>
      </c>
      <c r="O728" t="s">
        <v>66</v>
      </c>
      <c r="P728" t="s">
        <v>66</v>
      </c>
      <c r="Q728" t="s">
        <v>32</v>
      </c>
      <c r="R728" t="s">
        <v>3793</v>
      </c>
      <c r="S728" t="s">
        <v>32</v>
      </c>
      <c r="T728" s="2">
        <v>117.207822</v>
      </c>
      <c r="U728" s="2">
        <v>39.1608</v>
      </c>
    </row>
    <row r="729" spans="1:21">
      <c r="A729" t="s">
        <v>3794</v>
      </c>
      <c r="B729" t="s">
        <v>40</v>
      </c>
      <c r="C729" t="s">
        <v>3795</v>
      </c>
      <c r="D729" t="s">
        <v>32</v>
      </c>
      <c r="E729" t="s">
        <v>3796</v>
      </c>
      <c r="F729" t="s">
        <v>7</v>
      </c>
      <c r="G729" t="s">
        <v>7</v>
      </c>
      <c r="H729" t="s">
        <v>105</v>
      </c>
      <c r="I729" t="s">
        <v>44</v>
      </c>
      <c r="J729" t="s">
        <v>32</v>
      </c>
      <c r="K729" t="s">
        <v>32</v>
      </c>
      <c r="L729" t="s">
        <v>32</v>
      </c>
      <c r="M729" t="s">
        <v>36</v>
      </c>
      <c r="N729" t="s">
        <v>37</v>
      </c>
      <c r="O729" t="s">
        <v>66</v>
      </c>
      <c r="P729" t="s">
        <v>66</v>
      </c>
      <c r="Q729" t="s">
        <v>45</v>
      </c>
      <c r="R729" t="s">
        <v>3797</v>
      </c>
      <c r="S729" t="s">
        <v>32</v>
      </c>
      <c r="T729" s="2">
        <v>117.22657</v>
      </c>
      <c r="U729" s="2">
        <v>39.12756</v>
      </c>
    </row>
    <row r="730" spans="1:21">
      <c r="A730" t="s">
        <v>3798</v>
      </c>
      <c r="B730" t="s">
        <v>2692</v>
      </c>
      <c r="C730" t="s">
        <v>3799</v>
      </c>
      <c r="D730" t="s">
        <v>3800</v>
      </c>
      <c r="E730" t="s">
        <v>3801</v>
      </c>
      <c r="F730" t="s">
        <v>7</v>
      </c>
      <c r="G730" t="s">
        <v>7</v>
      </c>
      <c r="H730" t="s">
        <v>56</v>
      </c>
      <c r="I730" t="s">
        <v>51</v>
      </c>
      <c r="J730" t="s">
        <v>3800</v>
      </c>
      <c r="K730" t="s">
        <v>32</v>
      </c>
      <c r="L730" t="s">
        <v>32</v>
      </c>
      <c r="M730" t="s">
        <v>36</v>
      </c>
      <c r="N730" t="s">
        <v>37</v>
      </c>
      <c r="O730" t="s">
        <v>66</v>
      </c>
      <c r="P730" t="s">
        <v>66</v>
      </c>
      <c r="Q730" t="s">
        <v>45</v>
      </c>
      <c r="R730" t="s">
        <v>3802</v>
      </c>
      <c r="S730" t="s">
        <v>32</v>
      </c>
      <c r="T730" s="2">
        <v>117.084847</v>
      </c>
      <c r="U730" s="2">
        <v>39.18653</v>
      </c>
    </row>
    <row r="731" spans="1:21">
      <c r="A731" t="s">
        <v>3803</v>
      </c>
      <c r="B731" t="s">
        <v>2640</v>
      </c>
      <c r="C731" t="s">
        <v>3804</v>
      </c>
      <c r="D731" t="s">
        <v>3805</v>
      </c>
      <c r="E731" t="s">
        <v>3806</v>
      </c>
      <c r="F731" t="s">
        <v>7</v>
      </c>
      <c r="G731" t="s">
        <v>7</v>
      </c>
      <c r="H731" t="s">
        <v>50</v>
      </c>
      <c r="I731" t="s">
        <v>51</v>
      </c>
      <c r="J731" t="s">
        <v>3805</v>
      </c>
      <c r="K731" t="s">
        <v>32</v>
      </c>
      <c r="L731" t="s">
        <v>32</v>
      </c>
      <c r="M731" t="s">
        <v>36</v>
      </c>
      <c r="N731" t="s">
        <v>37</v>
      </c>
      <c r="O731" t="s">
        <v>66</v>
      </c>
      <c r="P731" t="s">
        <v>66</v>
      </c>
      <c r="Q731" t="s">
        <v>45</v>
      </c>
      <c r="R731" t="s">
        <v>3807</v>
      </c>
      <c r="S731" t="s">
        <v>32</v>
      </c>
      <c r="T731" s="2">
        <v>117.249243</v>
      </c>
      <c r="U731" s="2">
        <v>39.055085</v>
      </c>
    </row>
    <row r="732" spans="1:21">
      <c r="A732" t="s">
        <v>3808</v>
      </c>
      <c r="B732" t="s">
        <v>40</v>
      </c>
      <c r="C732" t="s">
        <v>3809</v>
      </c>
      <c r="D732" t="s">
        <v>32</v>
      </c>
      <c r="E732" t="s">
        <v>3810</v>
      </c>
      <c r="F732" t="s">
        <v>7</v>
      </c>
      <c r="G732" t="s">
        <v>7</v>
      </c>
      <c r="H732" t="s">
        <v>43</v>
      </c>
      <c r="I732" t="s">
        <v>44</v>
      </c>
      <c r="J732" t="s">
        <v>32</v>
      </c>
      <c r="K732" t="s">
        <v>32</v>
      </c>
      <c r="L732" t="s">
        <v>32</v>
      </c>
      <c r="M732" t="s">
        <v>36</v>
      </c>
      <c r="N732" t="s">
        <v>37</v>
      </c>
      <c r="O732" t="s">
        <v>66</v>
      </c>
      <c r="P732" t="s">
        <v>66</v>
      </c>
      <c r="Q732" t="s">
        <v>45</v>
      </c>
      <c r="R732" t="s">
        <v>3811</v>
      </c>
      <c r="S732" t="s">
        <v>32</v>
      </c>
      <c r="T732" s="2">
        <v>117.138351</v>
      </c>
      <c r="U732" s="2">
        <v>39.039414</v>
      </c>
    </row>
    <row r="733" spans="1:21">
      <c r="A733" t="s">
        <v>3812</v>
      </c>
      <c r="B733" t="s">
        <v>40</v>
      </c>
      <c r="C733" t="s">
        <v>3813</v>
      </c>
      <c r="D733" t="s">
        <v>32</v>
      </c>
      <c r="E733" t="s">
        <v>3814</v>
      </c>
      <c r="F733" t="s">
        <v>7</v>
      </c>
      <c r="G733" t="s">
        <v>7</v>
      </c>
      <c r="H733" t="s">
        <v>73</v>
      </c>
      <c r="I733" t="s">
        <v>51</v>
      </c>
      <c r="J733" t="s">
        <v>32</v>
      </c>
      <c r="K733" t="s">
        <v>32</v>
      </c>
      <c r="L733" t="s">
        <v>32</v>
      </c>
      <c r="M733" t="s">
        <v>36</v>
      </c>
      <c r="N733" t="s">
        <v>37</v>
      </c>
      <c r="O733" t="s">
        <v>66</v>
      </c>
      <c r="P733" t="s">
        <v>66</v>
      </c>
      <c r="Q733" t="s">
        <v>45</v>
      </c>
      <c r="R733" t="s">
        <v>3815</v>
      </c>
      <c r="S733" t="s">
        <v>32</v>
      </c>
      <c r="T733" s="2">
        <v>117.344927</v>
      </c>
      <c r="U733" s="2">
        <v>39.090562</v>
      </c>
    </row>
    <row r="734" spans="1:21">
      <c r="A734" t="s">
        <v>3816</v>
      </c>
      <c r="B734" t="s">
        <v>40</v>
      </c>
      <c r="C734" t="s">
        <v>3817</v>
      </c>
      <c r="D734" t="s">
        <v>32</v>
      </c>
      <c r="E734" t="s">
        <v>3818</v>
      </c>
      <c r="F734" t="s">
        <v>7</v>
      </c>
      <c r="G734" t="s">
        <v>7</v>
      </c>
      <c r="H734" t="s">
        <v>56</v>
      </c>
      <c r="I734" t="s">
        <v>51</v>
      </c>
      <c r="J734" t="s">
        <v>32</v>
      </c>
      <c r="K734" t="s">
        <v>32</v>
      </c>
      <c r="L734" t="s">
        <v>32</v>
      </c>
      <c r="M734" t="s">
        <v>36</v>
      </c>
      <c r="N734" t="s">
        <v>37</v>
      </c>
      <c r="O734" t="s">
        <v>66</v>
      </c>
      <c r="P734" t="s">
        <v>66</v>
      </c>
      <c r="Q734" t="s">
        <v>45</v>
      </c>
      <c r="R734" t="s">
        <v>3819</v>
      </c>
      <c r="S734" t="s">
        <v>32</v>
      </c>
      <c r="T734" s="2">
        <v>117.08305</v>
      </c>
      <c r="U734" s="2">
        <v>39.225666</v>
      </c>
    </row>
    <row r="735" spans="1:21">
      <c r="A735" t="s">
        <v>3820</v>
      </c>
      <c r="B735" t="s">
        <v>40</v>
      </c>
      <c r="C735" t="s">
        <v>3821</v>
      </c>
      <c r="D735" t="s">
        <v>32</v>
      </c>
      <c r="E735" t="s">
        <v>3822</v>
      </c>
      <c r="F735" t="s">
        <v>7</v>
      </c>
      <c r="G735" t="s">
        <v>7</v>
      </c>
      <c r="H735" t="s">
        <v>43</v>
      </c>
      <c r="I735" t="s">
        <v>44</v>
      </c>
      <c r="J735" t="s">
        <v>32</v>
      </c>
      <c r="K735" t="s">
        <v>32</v>
      </c>
      <c r="L735" t="s">
        <v>32</v>
      </c>
      <c r="M735" t="s">
        <v>36</v>
      </c>
      <c r="N735" t="s">
        <v>37</v>
      </c>
      <c r="O735" t="s">
        <v>66</v>
      </c>
      <c r="P735" t="s">
        <v>66</v>
      </c>
      <c r="Q735" t="s">
        <v>45</v>
      </c>
      <c r="R735" t="s">
        <v>3823</v>
      </c>
      <c r="S735" t="s">
        <v>32</v>
      </c>
      <c r="T735" s="2">
        <v>117.127564</v>
      </c>
      <c r="U735" s="2">
        <v>39.164023</v>
      </c>
    </row>
    <row r="736" spans="1:21">
      <c r="A736" t="s">
        <v>3824</v>
      </c>
      <c r="B736" t="s">
        <v>374</v>
      </c>
      <c r="C736" t="s">
        <v>3825</v>
      </c>
      <c r="D736" t="s">
        <v>32</v>
      </c>
      <c r="E736" t="s">
        <v>3826</v>
      </c>
      <c r="F736" t="s">
        <v>7</v>
      </c>
      <c r="G736" t="s">
        <v>7</v>
      </c>
      <c r="H736" t="s">
        <v>407</v>
      </c>
      <c r="I736" t="s">
        <v>51</v>
      </c>
      <c r="J736" t="s">
        <v>32</v>
      </c>
      <c r="K736" t="s">
        <v>32</v>
      </c>
      <c r="L736" t="s">
        <v>32</v>
      </c>
      <c r="M736" t="s">
        <v>36</v>
      </c>
      <c r="N736" t="s">
        <v>37</v>
      </c>
      <c r="O736" t="s">
        <v>66</v>
      </c>
      <c r="P736" t="s">
        <v>66</v>
      </c>
      <c r="Q736" t="s">
        <v>45</v>
      </c>
      <c r="R736" t="s">
        <v>3827</v>
      </c>
      <c r="S736" t="s">
        <v>32</v>
      </c>
      <c r="T736" s="2">
        <v>117.183792</v>
      </c>
      <c r="U736" s="2">
        <v>39.132299</v>
      </c>
    </row>
    <row r="737" spans="1:21">
      <c r="A737" t="s">
        <v>3828</v>
      </c>
      <c r="B737" t="s">
        <v>3829</v>
      </c>
      <c r="C737" t="s">
        <v>806</v>
      </c>
      <c r="D737" t="s">
        <v>3830</v>
      </c>
      <c r="E737" t="s">
        <v>3831</v>
      </c>
      <c r="F737" t="s">
        <v>7</v>
      </c>
      <c r="G737" t="s">
        <v>7</v>
      </c>
      <c r="H737" t="s">
        <v>407</v>
      </c>
      <c r="I737" t="s">
        <v>94</v>
      </c>
      <c r="J737" t="s">
        <v>3830</v>
      </c>
      <c r="K737" t="s">
        <v>32</v>
      </c>
      <c r="L737" t="s">
        <v>32</v>
      </c>
      <c r="M737" t="s">
        <v>36</v>
      </c>
      <c r="N737" t="s">
        <v>37</v>
      </c>
      <c r="O737" t="s">
        <v>66</v>
      </c>
      <c r="P737" t="s">
        <v>66</v>
      </c>
      <c r="Q737" t="s">
        <v>45</v>
      </c>
      <c r="R737" t="s">
        <v>3832</v>
      </c>
      <c r="S737" t="s">
        <v>32</v>
      </c>
      <c r="T737" s="2">
        <v>117.204149</v>
      </c>
      <c r="U737" s="2">
        <v>39.120638</v>
      </c>
    </row>
    <row r="738" spans="1:21">
      <c r="A738" t="s">
        <v>3833</v>
      </c>
      <c r="B738" t="s">
        <v>3110</v>
      </c>
      <c r="C738" t="s">
        <v>3834</v>
      </c>
      <c r="D738" t="s">
        <v>32</v>
      </c>
      <c r="E738" t="s">
        <v>3835</v>
      </c>
      <c r="F738" t="s">
        <v>7</v>
      </c>
      <c r="G738" t="s">
        <v>7</v>
      </c>
      <c r="H738" t="s">
        <v>50</v>
      </c>
      <c r="I738" t="s">
        <v>100</v>
      </c>
      <c r="J738" t="s">
        <v>32</v>
      </c>
      <c r="K738" t="s">
        <v>32</v>
      </c>
      <c r="L738" t="s">
        <v>32</v>
      </c>
      <c r="M738" t="s">
        <v>36</v>
      </c>
      <c r="N738" t="s">
        <v>37</v>
      </c>
      <c r="O738" t="s">
        <v>66</v>
      </c>
      <c r="P738" t="s">
        <v>66</v>
      </c>
      <c r="Q738" t="s">
        <v>45</v>
      </c>
      <c r="R738" t="s">
        <v>3836</v>
      </c>
      <c r="S738" t="s">
        <v>32</v>
      </c>
      <c r="T738" s="2">
        <v>117.25146</v>
      </c>
      <c r="U738" s="2">
        <v>39.07309</v>
      </c>
    </row>
    <row r="739" spans="1:21">
      <c r="A739" t="s">
        <v>3837</v>
      </c>
      <c r="B739" t="s">
        <v>3838</v>
      </c>
      <c r="C739" t="s">
        <v>3839</v>
      </c>
      <c r="D739" t="s">
        <v>3840</v>
      </c>
      <c r="E739" t="s">
        <v>3841</v>
      </c>
      <c r="F739" t="s">
        <v>7</v>
      </c>
      <c r="G739" t="s">
        <v>7</v>
      </c>
      <c r="H739" t="s">
        <v>63</v>
      </c>
      <c r="I739" t="s">
        <v>100</v>
      </c>
      <c r="J739" t="s">
        <v>3840</v>
      </c>
      <c r="K739" t="s">
        <v>32</v>
      </c>
      <c r="L739" t="s">
        <v>32</v>
      </c>
      <c r="M739" t="s">
        <v>36</v>
      </c>
      <c r="N739" t="s">
        <v>37</v>
      </c>
      <c r="O739" t="s">
        <v>66</v>
      </c>
      <c r="P739" t="s">
        <v>66</v>
      </c>
      <c r="Q739" t="s">
        <v>32</v>
      </c>
      <c r="R739" t="s">
        <v>3842</v>
      </c>
      <c r="S739" t="s">
        <v>32</v>
      </c>
      <c r="T739" s="2">
        <v>117.330963</v>
      </c>
      <c r="U739" s="2">
        <v>39.024094</v>
      </c>
    </row>
    <row r="740" spans="1:21">
      <c r="A740" t="s">
        <v>3843</v>
      </c>
      <c r="B740" t="s">
        <v>3844</v>
      </c>
      <c r="C740" t="s">
        <v>3845</v>
      </c>
      <c r="D740" t="s">
        <v>32</v>
      </c>
      <c r="E740" t="s">
        <v>3846</v>
      </c>
      <c r="F740" t="s">
        <v>7</v>
      </c>
      <c r="G740" t="s">
        <v>7</v>
      </c>
      <c r="H740" t="s">
        <v>50</v>
      </c>
      <c r="I740" t="s">
        <v>44</v>
      </c>
      <c r="J740" t="s">
        <v>32</v>
      </c>
      <c r="K740" t="s">
        <v>32</v>
      </c>
      <c r="L740" t="s">
        <v>32</v>
      </c>
      <c r="M740" t="s">
        <v>36</v>
      </c>
      <c r="N740" t="s">
        <v>37</v>
      </c>
      <c r="O740" t="s">
        <v>66</v>
      </c>
      <c r="P740" t="s">
        <v>66</v>
      </c>
      <c r="Q740" t="s">
        <v>45</v>
      </c>
      <c r="R740" t="s">
        <v>3847</v>
      </c>
      <c r="S740" t="s">
        <v>32</v>
      </c>
      <c r="T740" s="2">
        <v>117.224237</v>
      </c>
      <c r="U740" s="2">
        <v>39.073608</v>
      </c>
    </row>
    <row r="741" spans="1:21">
      <c r="A741" t="s">
        <v>3848</v>
      </c>
      <c r="B741" t="s">
        <v>3720</v>
      </c>
      <c r="C741" t="s">
        <v>3849</v>
      </c>
      <c r="D741" t="s">
        <v>3850</v>
      </c>
      <c r="E741" t="s">
        <v>3851</v>
      </c>
      <c r="F741" t="s">
        <v>7</v>
      </c>
      <c r="G741" t="s">
        <v>7</v>
      </c>
      <c r="H741" t="s">
        <v>34</v>
      </c>
      <c r="I741" t="s">
        <v>51</v>
      </c>
      <c r="J741" t="s">
        <v>3850</v>
      </c>
      <c r="K741" t="s">
        <v>32</v>
      </c>
      <c r="L741" t="s">
        <v>32</v>
      </c>
      <c r="M741" t="s">
        <v>36</v>
      </c>
      <c r="N741" t="s">
        <v>37</v>
      </c>
      <c r="O741" t="s">
        <v>66</v>
      </c>
      <c r="P741" t="s">
        <v>66</v>
      </c>
      <c r="Q741" t="s">
        <v>45</v>
      </c>
      <c r="R741" t="s">
        <v>3852</v>
      </c>
      <c r="S741" t="s">
        <v>32</v>
      </c>
      <c r="T741" s="2">
        <v>117.161406</v>
      </c>
      <c r="U741" s="2">
        <v>39.079865</v>
      </c>
    </row>
    <row r="742" spans="1:21">
      <c r="A742" t="s">
        <v>3853</v>
      </c>
      <c r="B742" t="s">
        <v>3577</v>
      </c>
      <c r="C742" t="s">
        <v>3854</v>
      </c>
      <c r="D742" t="s">
        <v>3855</v>
      </c>
      <c r="E742" t="s">
        <v>3856</v>
      </c>
      <c r="F742" t="s">
        <v>7</v>
      </c>
      <c r="G742" t="s">
        <v>7</v>
      </c>
      <c r="H742" t="s">
        <v>262</v>
      </c>
      <c r="I742" t="s">
        <v>51</v>
      </c>
      <c r="J742" t="s">
        <v>3855</v>
      </c>
      <c r="K742" t="s">
        <v>32</v>
      </c>
      <c r="L742" t="s">
        <v>32</v>
      </c>
      <c r="M742" t="s">
        <v>36</v>
      </c>
      <c r="N742" t="s">
        <v>37</v>
      </c>
      <c r="O742" t="s">
        <v>66</v>
      </c>
      <c r="P742" t="s">
        <v>66</v>
      </c>
      <c r="Q742" t="s">
        <v>45</v>
      </c>
      <c r="R742" t="s">
        <v>3857</v>
      </c>
      <c r="S742" t="s">
        <v>32</v>
      </c>
      <c r="T742" s="2">
        <v>117.207068</v>
      </c>
      <c r="U742" s="2">
        <v>39.178829</v>
      </c>
    </row>
    <row r="743" spans="1:21">
      <c r="A743" t="s">
        <v>3858</v>
      </c>
      <c r="B743" t="s">
        <v>3859</v>
      </c>
      <c r="C743" t="s">
        <v>3860</v>
      </c>
      <c r="D743" t="s">
        <v>3861</v>
      </c>
      <c r="E743" t="s">
        <v>3862</v>
      </c>
      <c r="F743" t="s">
        <v>7</v>
      </c>
      <c r="G743" t="s">
        <v>7</v>
      </c>
      <c r="H743" t="s">
        <v>50</v>
      </c>
      <c r="I743" t="s">
        <v>44</v>
      </c>
      <c r="J743" t="s">
        <v>3861</v>
      </c>
      <c r="K743" t="s">
        <v>32</v>
      </c>
      <c r="L743" t="s">
        <v>32</v>
      </c>
      <c r="M743" t="s">
        <v>36</v>
      </c>
      <c r="N743" t="s">
        <v>37</v>
      </c>
      <c r="O743" t="s">
        <v>66</v>
      </c>
      <c r="P743" t="s">
        <v>66</v>
      </c>
      <c r="Q743" t="s">
        <v>45</v>
      </c>
      <c r="R743" t="s">
        <v>3863</v>
      </c>
      <c r="S743" t="s">
        <v>32</v>
      </c>
      <c r="T743" s="2">
        <v>117.191226</v>
      </c>
      <c r="U743" s="2">
        <v>39.098266</v>
      </c>
    </row>
    <row r="744" spans="1:21">
      <c r="A744" t="s">
        <v>3864</v>
      </c>
      <c r="B744" t="s">
        <v>374</v>
      </c>
      <c r="C744" t="s">
        <v>3865</v>
      </c>
      <c r="D744" t="s">
        <v>32</v>
      </c>
      <c r="E744" t="s">
        <v>3866</v>
      </c>
      <c r="F744" t="s">
        <v>7</v>
      </c>
      <c r="G744" t="s">
        <v>7</v>
      </c>
      <c r="H744" t="s">
        <v>105</v>
      </c>
      <c r="I744" t="s">
        <v>336</v>
      </c>
      <c r="J744" t="s">
        <v>32</v>
      </c>
      <c r="K744" t="s">
        <v>32</v>
      </c>
      <c r="L744" t="s">
        <v>32</v>
      </c>
      <c r="M744" t="s">
        <v>36</v>
      </c>
      <c r="N744" t="s">
        <v>37</v>
      </c>
      <c r="O744" t="s">
        <v>66</v>
      </c>
      <c r="P744" t="s">
        <v>66</v>
      </c>
      <c r="Q744" t="s">
        <v>45</v>
      </c>
      <c r="R744" t="s">
        <v>3867</v>
      </c>
      <c r="S744" t="s">
        <v>32</v>
      </c>
      <c r="T744" s="2">
        <v>117.222938</v>
      </c>
      <c r="U744" s="2">
        <v>39.124552</v>
      </c>
    </row>
    <row r="745" spans="1:21">
      <c r="A745" t="s">
        <v>3868</v>
      </c>
      <c r="B745" t="s">
        <v>157</v>
      </c>
      <c r="C745" t="s">
        <v>3869</v>
      </c>
      <c r="D745" t="s">
        <v>3870</v>
      </c>
      <c r="E745" t="s">
        <v>3871</v>
      </c>
      <c r="F745" t="s">
        <v>7</v>
      </c>
      <c r="G745" t="s">
        <v>7</v>
      </c>
      <c r="H745" t="s">
        <v>43</v>
      </c>
      <c r="I745" t="s">
        <v>51</v>
      </c>
      <c r="J745" t="s">
        <v>3870</v>
      </c>
      <c r="K745" t="s">
        <v>32</v>
      </c>
      <c r="L745" t="s">
        <v>32</v>
      </c>
      <c r="M745" t="s">
        <v>36</v>
      </c>
      <c r="N745" t="s">
        <v>37</v>
      </c>
      <c r="O745" t="s">
        <v>66</v>
      </c>
      <c r="P745" t="s">
        <v>66</v>
      </c>
      <c r="Q745" t="s">
        <v>45</v>
      </c>
      <c r="R745" t="s">
        <v>3872</v>
      </c>
      <c r="S745" t="s">
        <v>32</v>
      </c>
      <c r="T745" s="2">
        <v>116.971866</v>
      </c>
      <c r="U745" s="2">
        <v>39.08936</v>
      </c>
    </row>
    <row r="746" spans="1:21">
      <c r="A746" t="s">
        <v>3873</v>
      </c>
      <c r="B746" t="s">
        <v>3577</v>
      </c>
      <c r="C746" t="s">
        <v>3874</v>
      </c>
      <c r="D746" t="s">
        <v>3875</v>
      </c>
      <c r="E746" t="s">
        <v>3876</v>
      </c>
      <c r="F746" t="s">
        <v>7</v>
      </c>
      <c r="G746" t="s">
        <v>7</v>
      </c>
      <c r="H746" t="s">
        <v>34</v>
      </c>
      <c r="I746" t="s">
        <v>350</v>
      </c>
      <c r="J746" t="s">
        <v>3875</v>
      </c>
      <c r="K746" t="s">
        <v>32</v>
      </c>
      <c r="L746" t="s">
        <v>32</v>
      </c>
      <c r="M746" t="s">
        <v>36</v>
      </c>
      <c r="N746" t="s">
        <v>37</v>
      </c>
      <c r="O746" t="s">
        <v>66</v>
      </c>
      <c r="P746" t="s">
        <v>66</v>
      </c>
      <c r="Q746" t="s">
        <v>32</v>
      </c>
      <c r="R746" t="s">
        <v>3877</v>
      </c>
      <c r="S746" t="s">
        <v>32</v>
      </c>
      <c r="T746" s="2">
        <v>117.144096</v>
      </c>
      <c r="U746" s="2">
        <v>39.114175</v>
      </c>
    </row>
    <row r="747" spans="1:21">
      <c r="A747" t="s">
        <v>3878</v>
      </c>
      <c r="B747" t="s">
        <v>40</v>
      </c>
      <c r="C747" t="s">
        <v>3879</v>
      </c>
      <c r="D747" t="s">
        <v>32</v>
      </c>
      <c r="E747" t="s">
        <v>3880</v>
      </c>
      <c r="F747" t="s">
        <v>7</v>
      </c>
      <c r="G747" t="s">
        <v>7</v>
      </c>
      <c r="H747" t="s">
        <v>43</v>
      </c>
      <c r="I747" t="s">
        <v>350</v>
      </c>
      <c r="J747" t="s">
        <v>32</v>
      </c>
      <c r="K747" t="s">
        <v>32</v>
      </c>
      <c r="L747" t="s">
        <v>32</v>
      </c>
      <c r="M747" t="s">
        <v>36</v>
      </c>
      <c r="N747" t="s">
        <v>37</v>
      </c>
      <c r="O747" t="s">
        <v>66</v>
      </c>
      <c r="P747" t="s">
        <v>66</v>
      </c>
      <c r="Q747" t="s">
        <v>45</v>
      </c>
      <c r="R747" t="s">
        <v>3881</v>
      </c>
      <c r="S747" t="s">
        <v>32</v>
      </c>
      <c r="T747" s="2">
        <v>117.006588</v>
      </c>
      <c r="U747" s="2">
        <v>39.080207</v>
      </c>
    </row>
    <row r="748" spans="1:21">
      <c r="A748" t="s">
        <v>3882</v>
      </c>
      <c r="B748" t="s">
        <v>3130</v>
      </c>
      <c r="C748" t="s">
        <v>3883</v>
      </c>
      <c r="D748" t="s">
        <v>32</v>
      </c>
      <c r="E748" t="s">
        <v>3884</v>
      </c>
      <c r="F748" t="s">
        <v>7</v>
      </c>
      <c r="G748" t="s">
        <v>7</v>
      </c>
      <c r="H748" t="s">
        <v>50</v>
      </c>
      <c r="I748" t="s">
        <v>51</v>
      </c>
      <c r="J748" t="s">
        <v>32</v>
      </c>
      <c r="K748" t="s">
        <v>32</v>
      </c>
      <c r="L748" t="s">
        <v>32</v>
      </c>
      <c r="M748" t="s">
        <v>36</v>
      </c>
      <c r="N748" t="s">
        <v>37</v>
      </c>
      <c r="O748" t="s">
        <v>66</v>
      </c>
      <c r="P748" t="s">
        <v>66</v>
      </c>
      <c r="Q748" t="s">
        <v>45</v>
      </c>
      <c r="R748" t="s">
        <v>3885</v>
      </c>
      <c r="S748" t="s">
        <v>32</v>
      </c>
      <c r="T748" s="2">
        <v>117.235763</v>
      </c>
      <c r="U748" s="2">
        <v>39.080192</v>
      </c>
    </row>
    <row r="749" spans="1:21">
      <c r="A749" t="s">
        <v>3886</v>
      </c>
      <c r="B749" t="s">
        <v>374</v>
      </c>
      <c r="C749" t="s">
        <v>3887</v>
      </c>
      <c r="D749" t="s">
        <v>32</v>
      </c>
      <c r="E749" t="s">
        <v>3888</v>
      </c>
      <c r="F749" t="s">
        <v>7</v>
      </c>
      <c r="G749" t="s">
        <v>7</v>
      </c>
      <c r="H749" t="s">
        <v>43</v>
      </c>
      <c r="I749" t="s">
        <v>336</v>
      </c>
      <c r="J749" t="s">
        <v>3889</v>
      </c>
      <c r="K749" t="s">
        <v>32</v>
      </c>
      <c r="L749" t="s">
        <v>32</v>
      </c>
      <c r="M749" t="s">
        <v>36</v>
      </c>
      <c r="N749" t="s">
        <v>37</v>
      </c>
      <c r="O749" t="s">
        <v>66</v>
      </c>
      <c r="P749" t="s">
        <v>66</v>
      </c>
      <c r="Q749" t="s">
        <v>45</v>
      </c>
      <c r="R749" t="s">
        <v>3890</v>
      </c>
      <c r="S749" t="s">
        <v>32</v>
      </c>
      <c r="T749" s="2">
        <v>117.04248</v>
      </c>
      <c r="U749" s="2">
        <v>39.157714</v>
      </c>
    </row>
    <row r="750" spans="1:21">
      <c r="A750" t="s">
        <v>3891</v>
      </c>
      <c r="B750" t="s">
        <v>3892</v>
      </c>
      <c r="C750" t="s">
        <v>3893</v>
      </c>
      <c r="D750" t="s">
        <v>3894</v>
      </c>
      <c r="E750" t="s">
        <v>3895</v>
      </c>
      <c r="F750" t="s">
        <v>7</v>
      </c>
      <c r="G750" t="s">
        <v>7</v>
      </c>
      <c r="H750" t="s">
        <v>56</v>
      </c>
      <c r="I750" t="s">
        <v>51</v>
      </c>
      <c r="J750" t="s">
        <v>3894</v>
      </c>
      <c r="K750" t="s">
        <v>85</v>
      </c>
      <c r="L750" t="s">
        <v>595</v>
      </c>
      <c r="M750" t="s">
        <v>36</v>
      </c>
      <c r="N750" t="s">
        <v>37</v>
      </c>
      <c r="O750" t="s">
        <v>66</v>
      </c>
      <c r="P750" t="s">
        <v>66</v>
      </c>
      <c r="Q750" t="s">
        <v>45</v>
      </c>
      <c r="R750" t="s">
        <v>3896</v>
      </c>
      <c r="S750" t="s">
        <v>32</v>
      </c>
      <c r="T750" s="2">
        <v>117.135474</v>
      </c>
      <c r="U750" s="2">
        <v>39.275139</v>
      </c>
    </row>
    <row r="751" spans="1:21">
      <c r="A751" t="s">
        <v>3897</v>
      </c>
      <c r="B751" t="s">
        <v>40</v>
      </c>
      <c r="C751" t="s">
        <v>41</v>
      </c>
      <c r="D751" t="s">
        <v>32</v>
      </c>
      <c r="E751" t="s">
        <v>3898</v>
      </c>
      <c r="F751" t="s">
        <v>7</v>
      </c>
      <c r="G751" t="s">
        <v>7</v>
      </c>
      <c r="H751" t="s">
        <v>133</v>
      </c>
      <c r="I751" t="s">
        <v>44</v>
      </c>
      <c r="J751" t="s">
        <v>32</v>
      </c>
      <c r="K751" t="s">
        <v>32</v>
      </c>
      <c r="L751" t="s">
        <v>32</v>
      </c>
      <c r="M751" t="s">
        <v>36</v>
      </c>
      <c r="N751" t="s">
        <v>37</v>
      </c>
      <c r="O751" t="s">
        <v>66</v>
      </c>
      <c r="P751" t="s">
        <v>66</v>
      </c>
      <c r="Q751" t="s">
        <v>45</v>
      </c>
      <c r="R751" t="s">
        <v>3899</v>
      </c>
      <c r="S751" t="s">
        <v>32</v>
      </c>
      <c r="T751" s="2">
        <v>117.170289</v>
      </c>
      <c r="U751" s="2">
        <v>39.161198</v>
      </c>
    </row>
    <row r="752" spans="1:21">
      <c r="A752" t="s">
        <v>3900</v>
      </c>
      <c r="B752" t="s">
        <v>130</v>
      </c>
      <c r="C752" t="s">
        <v>3901</v>
      </c>
      <c r="D752" t="s">
        <v>32</v>
      </c>
      <c r="E752" t="s">
        <v>3902</v>
      </c>
      <c r="F752" t="s">
        <v>7</v>
      </c>
      <c r="G752" t="s">
        <v>7</v>
      </c>
      <c r="H752" t="s">
        <v>105</v>
      </c>
      <c r="I752" t="s">
        <v>100</v>
      </c>
      <c r="J752" t="s">
        <v>32</v>
      </c>
      <c r="K752" t="s">
        <v>32</v>
      </c>
      <c r="L752" t="s">
        <v>32</v>
      </c>
      <c r="M752" t="s">
        <v>36</v>
      </c>
      <c r="N752" t="s">
        <v>37</v>
      </c>
      <c r="O752" t="s">
        <v>66</v>
      </c>
      <c r="P752" t="s">
        <v>66</v>
      </c>
      <c r="Q752" t="s">
        <v>45</v>
      </c>
      <c r="R752" t="s">
        <v>3903</v>
      </c>
      <c r="S752" t="s">
        <v>32</v>
      </c>
      <c r="T752" s="2">
        <v>117.279992</v>
      </c>
      <c r="U752" s="2">
        <v>39.13187</v>
      </c>
    </row>
    <row r="753" spans="1:21">
      <c r="A753" t="s">
        <v>3904</v>
      </c>
      <c r="B753" t="s">
        <v>2579</v>
      </c>
      <c r="C753" t="s">
        <v>3905</v>
      </c>
      <c r="D753" t="s">
        <v>3906</v>
      </c>
      <c r="E753" t="s">
        <v>3907</v>
      </c>
      <c r="F753" t="s">
        <v>7</v>
      </c>
      <c r="G753" t="s">
        <v>7</v>
      </c>
      <c r="H753" t="s">
        <v>34</v>
      </c>
      <c r="I753" t="s">
        <v>44</v>
      </c>
      <c r="J753" t="s">
        <v>3906</v>
      </c>
      <c r="K753" t="s">
        <v>32</v>
      </c>
      <c r="L753" t="s">
        <v>32</v>
      </c>
      <c r="M753" t="s">
        <v>36</v>
      </c>
      <c r="N753" t="s">
        <v>37</v>
      </c>
      <c r="O753" t="s">
        <v>66</v>
      </c>
      <c r="P753" t="s">
        <v>66</v>
      </c>
      <c r="Q753" t="s">
        <v>45</v>
      </c>
      <c r="R753" t="s">
        <v>3908</v>
      </c>
      <c r="S753" t="s">
        <v>32</v>
      </c>
      <c r="T753" s="2">
        <v>117.169547</v>
      </c>
      <c r="U753" s="2">
        <v>39.12466</v>
      </c>
    </row>
    <row r="754" spans="1:21">
      <c r="A754" t="s">
        <v>3909</v>
      </c>
      <c r="B754" t="s">
        <v>40</v>
      </c>
      <c r="C754" t="s">
        <v>3910</v>
      </c>
      <c r="D754" t="s">
        <v>32</v>
      </c>
      <c r="E754" t="s">
        <v>3911</v>
      </c>
      <c r="F754" t="s">
        <v>7</v>
      </c>
      <c r="G754" t="s">
        <v>7</v>
      </c>
      <c r="H754" t="s">
        <v>34</v>
      </c>
      <c r="I754" t="s">
        <v>94</v>
      </c>
      <c r="J754" t="s">
        <v>32</v>
      </c>
      <c r="K754" t="s">
        <v>32</v>
      </c>
      <c r="L754" t="s">
        <v>32</v>
      </c>
      <c r="M754" t="s">
        <v>36</v>
      </c>
      <c r="N754" t="s">
        <v>37</v>
      </c>
      <c r="O754" t="s">
        <v>66</v>
      </c>
      <c r="P754" t="s">
        <v>66</v>
      </c>
      <c r="Q754" t="s">
        <v>45</v>
      </c>
      <c r="R754" t="s">
        <v>3912</v>
      </c>
      <c r="S754" t="s">
        <v>32</v>
      </c>
      <c r="T754" s="2">
        <v>117.144354</v>
      </c>
      <c r="U754" s="2">
        <v>39.136341</v>
      </c>
    </row>
    <row r="755" spans="1:21">
      <c r="A755" t="s">
        <v>3913</v>
      </c>
      <c r="B755" t="s">
        <v>3914</v>
      </c>
      <c r="C755" t="s">
        <v>3915</v>
      </c>
      <c r="D755" t="s">
        <v>32</v>
      </c>
      <c r="E755" t="s">
        <v>3916</v>
      </c>
      <c r="F755" t="s">
        <v>7</v>
      </c>
      <c r="G755" t="s">
        <v>7</v>
      </c>
      <c r="H755" t="s">
        <v>73</v>
      </c>
      <c r="I755" t="s">
        <v>44</v>
      </c>
      <c r="J755" t="s">
        <v>32</v>
      </c>
      <c r="K755" t="s">
        <v>32</v>
      </c>
      <c r="L755" t="s">
        <v>32</v>
      </c>
      <c r="M755" t="s">
        <v>36</v>
      </c>
      <c r="N755" t="s">
        <v>37</v>
      </c>
      <c r="O755" t="s">
        <v>66</v>
      </c>
      <c r="P755" t="s">
        <v>66</v>
      </c>
      <c r="Q755" t="s">
        <v>45</v>
      </c>
      <c r="R755" t="s">
        <v>3917</v>
      </c>
      <c r="S755" t="s">
        <v>32</v>
      </c>
      <c r="T755" s="2">
        <v>117.342745</v>
      </c>
      <c r="U755" s="2">
        <v>39.076848</v>
      </c>
    </row>
    <row r="756" spans="1:21">
      <c r="A756" t="s">
        <v>3918</v>
      </c>
      <c r="B756" t="s">
        <v>3919</v>
      </c>
      <c r="C756" t="s">
        <v>3920</v>
      </c>
      <c r="D756" t="s">
        <v>32</v>
      </c>
      <c r="E756" t="s">
        <v>3921</v>
      </c>
      <c r="F756" t="s">
        <v>7</v>
      </c>
      <c r="G756" t="s">
        <v>7</v>
      </c>
      <c r="H756" t="s">
        <v>63</v>
      </c>
      <c r="I756" t="s">
        <v>51</v>
      </c>
      <c r="J756" t="s">
        <v>32</v>
      </c>
      <c r="K756" t="s">
        <v>32</v>
      </c>
      <c r="L756" t="s">
        <v>32</v>
      </c>
      <c r="M756" t="s">
        <v>36</v>
      </c>
      <c r="N756" t="s">
        <v>37</v>
      </c>
      <c r="O756" t="s">
        <v>66</v>
      </c>
      <c r="P756" t="s">
        <v>66</v>
      </c>
      <c r="Q756" t="s">
        <v>45</v>
      </c>
      <c r="R756" t="s">
        <v>3922</v>
      </c>
      <c r="S756" t="s">
        <v>32</v>
      </c>
      <c r="T756" s="2">
        <v>117.355076</v>
      </c>
      <c r="U756" s="2">
        <v>39.03574</v>
      </c>
    </row>
    <row r="757" spans="1:21">
      <c r="A757" t="s">
        <v>3923</v>
      </c>
      <c r="B757" t="s">
        <v>2209</v>
      </c>
      <c r="C757" t="s">
        <v>3924</v>
      </c>
      <c r="D757" t="s">
        <v>3925</v>
      </c>
      <c r="E757" t="s">
        <v>3926</v>
      </c>
      <c r="F757" t="s">
        <v>7</v>
      </c>
      <c r="G757" t="s">
        <v>7</v>
      </c>
      <c r="H757" t="s">
        <v>56</v>
      </c>
      <c r="I757" t="s">
        <v>51</v>
      </c>
      <c r="J757" t="s">
        <v>3925</v>
      </c>
      <c r="K757" t="s">
        <v>32</v>
      </c>
      <c r="L757" t="s">
        <v>32</v>
      </c>
      <c r="M757" t="s">
        <v>36</v>
      </c>
      <c r="N757" t="s">
        <v>37</v>
      </c>
      <c r="O757" t="s">
        <v>66</v>
      </c>
      <c r="P757" t="s">
        <v>66</v>
      </c>
      <c r="Q757" t="s">
        <v>74</v>
      </c>
      <c r="R757" t="s">
        <v>3927</v>
      </c>
      <c r="S757" t="s">
        <v>32</v>
      </c>
      <c r="T757" s="2">
        <v>117.129176</v>
      </c>
      <c r="U757" s="2">
        <v>39.224634</v>
      </c>
    </row>
    <row r="758" spans="1:21">
      <c r="A758" t="s">
        <v>3928</v>
      </c>
      <c r="B758" t="s">
        <v>40</v>
      </c>
      <c r="C758" t="s">
        <v>3929</v>
      </c>
      <c r="D758" t="s">
        <v>32</v>
      </c>
      <c r="E758" t="s">
        <v>3930</v>
      </c>
      <c r="F758" t="s">
        <v>7</v>
      </c>
      <c r="G758" t="s">
        <v>7</v>
      </c>
      <c r="H758" t="s">
        <v>56</v>
      </c>
      <c r="I758" t="s">
        <v>51</v>
      </c>
      <c r="J758" t="s">
        <v>32</v>
      </c>
      <c r="K758" t="s">
        <v>32</v>
      </c>
      <c r="L758" t="s">
        <v>32</v>
      </c>
      <c r="M758" t="s">
        <v>36</v>
      </c>
      <c r="N758" t="s">
        <v>37</v>
      </c>
      <c r="O758" t="s">
        <v>66</v>
      </c>
      <c r="P758" t="s">
        <v>66</v>
      </c>
      <c r="Q758" t="s">
        <v>45</v>
      </c>
      <c r="R758" t="s">
        <v>3931</v>
      </c>
      <c r="S758" t="s">
        <v>32</v>
      </c>
      <c r="T758" s="2">
        <v>117.122248</v>
      </c>
      <c r="U758" s="2">
        <v>39.251745</v>
      </c>
    </row>
    <row r="759" spans="1:21">
      <c r="A759" t="s">
        <v>3932</v>
      </c>
      <c r="B759" t="s">
        <v>3933</v>
      </c>
      <c r="C759" t="s">
        <v>3934</v>
      </c>
      <c r="D759" t="s">
        <v>3935</v>
      </c>
      <c r="E759" t="s">
        <v>3936</v>
      </c>
      <c r="F759" t="s">
        <v>7</v>
      </c>
      <c r="G759" t="s">
        <v>7</v>
      </c>
      <c r="H759" t="s">
        <v>43</v>
      </c>
      <c r="I759" t="s">
        <v>336</v>
      </c>
      <c r="J759" t="s">
        <v>3935</v>
      </c>
      <c r="K759" t="s">
        <v>32</v>
      </c>
      <c r="L759" t="s">
        <v>32</v>
      </c>
      <c r="M759" t="s">
        <v>36</v>
      </c>
      <c r="N759" t="s">
        <v>37</v>
      </c>
      <c r="O759" t="s">
        <v>66</v>
      </c>
      <c r="P759" t="s">
        <v>66</v>
      </c>
      <c r="Q759" t="s">
        <v>45</v>
      </c>
      <c r="R759" t="s">
        <v>3937</v>
      </c>
      <c r="S759" t="s">
        <v>32</v>
      </c>
      <c r="T759" s="2">
        <v>117.057944</v>
      </c>
      <c r="U759" s="2">
        <v>39.134545</v>
      </c>
    </row>
    <row r="760" spans="1:21">
      <c r="A760" t="s">
        <v>3938</v>
      </c>
      <c r="B760" t="s">
        <v>40</v>
      </c>
      <c r="C760" t="s">
        <v>3939</v>
      </c>
      <c r="D760" t="s">
        <v>32</v>
      </c>
      <c r="E760" t="s">
        <v>3940</v>
      </c>
      <c r="F760" t="s">
        <v>7</v>
      </c>
      <c r="G760" t="s">
        <v>7</v>
      </c>
      <c r="H760" t="s">
        <v>262</v>
      </c>
      <c r="I760" t="s">
        <v>94</v>
      </c>
      <c r="J760" t="s">
        <v>32</v>
      </c>
      <c r="K760" t="s">
        <v>32</v>
      </c>
      <c r="L760" t="s">
        <v>32</v>
      </c>
      <c r="M760" t="s">
        <v>36</v>
      </c>
      <c r="N760" t="s">
        <v>37</v>
      </c>
      <c r="O760" t="s">
        <v>66</v>
      </c>
      <c r="P760" t="s">
        <v>66</v>
      </c>
      <c r="Q760" t="s">
        <v>45</v>
      </c>
      <c r="R760" t="s">
        <v>3941</v>
      </c>
      <c r="S760" t="s">
        <v>32</v>
      </c>
      <c r="T760" s="2">
        <v>117.220928</v>
      </c>
      <c r="U760" s="2">
        <v>39.164269</v>
      </c>
    </row>
    <row r="761" spans="1:21">
      <c r="A761" t="s">
        <v>3942</v>
      </c>
      <c r="B761" t="s">
        <v>40</v>
      </c>
      <c r="C761" t="s">
        <v>3943</v>
      </c>
      <c r="D761" t="s">
        <v>32</v>
      </c>
      <c r="E761" t="s">
        <v>3944</v>
      </c>
      <c r="F761" t="s">
        <v>7</v>
      </c>
      <c r="G761" t="s">
        <v>7</v>
      </c>
      <c r="H761" t="s">
        <v>43</v>
      </c>
      <c r="I761" t="s">
        <v>44</v>
      </c>
      <c r="J761" t="s">
        <v>32</v>
      </c>
      <c r="K761" t="s">
        <v>32</v>
      </c>
      <c r="L761" t="s">
        <v>32</v>
      </c>
      <c r="M761" t="s">
        <v>36</v>
      </c>
      <c r="N761" t="s">
        <v>37</v>
      </c>
      <c r="O761" t="s">
        <v>66</v>
      </c>
      <c r="P761" t="s">
        <v>66</v>
      </c>
      <c r="Q761" t="s">
        <v>45</v>
      </c>
      <c r="R761" t="s">
        <v>3945</v>
      </c>
      <c r="S761" t="s">
        <v>32</v>
      </c>
      <c r="T761" s="2">
        <v>117.018743</v>
      </c>
      <c r="U761" s="2">
        <v>39.122804</v>
      </c>
    </row>
    <row r="762" spans="1:21">
      <c r="A762" t="s">
        <v>3946</v>
      </c>
      <c r="B762" t="s">
        <v>3382</v>
      </c>
      <c r="C762" t="s">
        <v>3947</v>
      </c>
      <c r="D762" t="s">
        <v>3948</v>
      </c>
      <c r="E762" t="s">
        <v>3949</v>
      </c>
      <c r="F762" t="s">
        <v>7</v>
      </c>
      <c r="G762" t="s">
        <v>7</v>
      </c>
      <c r="H762" t="s">
        <v>34</v>
      </c>
      <c r="I762" t="s">
        <v>51</v>
      </c>
      <c r="J762" t="s">
        <v>3948</v>
      </c>
      <c r="K762" t="s">
        <v>32</v>
      </c>
      <c r="L762" t="s">
        <v>32</v>
      </c>
      <c r="M762" t="s">
        <v>36</v>
      </c>
      <c r="N762" t="s">
        <v>37</v>
      </c>
      <c r="O762" t="s">
        <v>66</v>
      </c>
      <c r="P762" t="s">
        <v>66</v>
      </c>
      <c r="Q762" t="s">
        <v>45</v>
      </c>
      <c r="R762" t="s">
        <v>3950</v>
      </c>
      <c r="S762" t="s">
        <v>32</v>
      </c>
      <c r="T762" s="2">
        <v>117.132195</v>
      </c>
      <c r="U762" s="2">
        <v>39.123011</v>
      </c>
    </row>
    <row r="763" spans="1:21">
      <c r="A763" t="s">
        <v>3951</v>
      </c>
      <c r="B763" t="s">
        <v>157</v>
      </c>
      <c r="C763" t="s">
        <v>3952</v>
      </c>
      <c r="D763" t="s">
        <v>3953</v>
      </c>
      <c r="E763" t="s">
        <v>3954</v>
      </c>
      <c r="F763" t="s">
        <v>7</v>
      </c>
      <c r="G763" t="s">
        <v>7</v>
      </c>
      <c r="H763" t="s">
        <v>43</v>
      </c>
      <c r="I763" t="s">
        <v>51</v>
      </c>
      <c r="J763" t="s">
        <v>3953</v>
      </c>
      <c r="K763" t="s">
        <v>32</v>
      </c>
      <c r="L763" t="s">
        <v>32</v>
      </c>
      <c r="M763" t="s">
        <v>36</v>
      </c>
      <c r="N763" t="s">
        <v>37</v>
      </c>
      <c r="O763" t="s">
        <v>66</v>
      </c>
      <c r="P763" t="s">
        <v>66</v>
      </c>
      <c r="Q763" t="s">
        <v>45</v>
      </c>
      <c r="R763" t="s">
        <v>3955</v>
      </c>
      <c r="S763" t="s">
        <v>32</v>
      </c>
      <c r="T763" s="2">
        <v>117.231559</v>
      </c>
      <c r="U763" s="2">
        <v>38.990507</v>
      </c>
    </row>
    <row r="764" spans="1:21">
      <c r="A764" t="s">
        <v>3956</v>
      </c>
      <c r="B764" t="s">
        <v>40</v>
      </c>
      <c r="C764" t="s">
        <v>855</v>
      </c>
      <c r="D764" t="s">
        <v>32</v>
      </c>
      <c r="E764" t="s">
        <v>3957</v>
      </c>
      <c r="F764" t="s">
        <v>7</v>
      </c>
      <c r="G764" t="s">
        <v>7</v>
      </c>
      <c r="H764" t="s">
        <v>56</v>
      </c>
      <c r="I764" t="s">
        <v>336</v>
      </c>
      <c r="J764" t="s">
        <v>3958</v>
      </c>
      <c r="K764" t="s">
        <v>32</v>
      </c>
      <c r="L764" t="s">
        <v>32</v>
      </c>
      <c r="M764" t="s">
        <v>36</v>
      </c>
      <c r="N764" t="s">
        <v>37</v>
      </c>
      <c r="O764" t="s">
        <v>66</v>
      </c>
      <c r="P764" t="s">
        <v>66</v>
      </c>
      <c r="Q764" t="s">
        <v>45</v>
      </c>
      <c r="R764" t="s">
        <v>3959</v>
      </c>
      <c r="S764" t="s">
        <v>32</v>
      </c>
      <c r="T764" s="2">
        <v>117.203626</v>
      </c>
      <c r="U764" s="2">
        <v>39.184037</v>
      </c>
    </row>
    <row r="765" spans="1:21">
      <c r="A765" t="s">
        <v>3960</v>
      </c>
      <c r="B765" t="s">
        <v>3961</v>
      </c>
      <c r="C765" t="s">
        <v>3962</v>
      </c>
      <c r="D765" t="s">
        <v>3963</v>
      </c>
      <c r="E765" t="s">
        <v>3964</v>
      </c>
      <c r="F765" t="s">
        <v>7</v>
      </c>
      <c r="G765" t="s">
        <v>7</v>
      </c>
      <c r="H765" t="s">
        <v>56</v>
      </c>
      <c r="I765" t="s">
        <v>245</v>
      </c>
      <c r="J765" t="s">
        <v>3963</v>
      </c>
      <c r="K765" t="s">
        <v>657</v>
      </c>
      <c r="L765" t="s">
        <v>1864</v>
      </c>
      <c r="M765" t="s">
        <v>36</v>
      </c>
      <c r="N765" t="s">
        <v>37</v>
      </c>
      <c r="O765" t="s">
        <v>66</v>
      </c>
      <c r="P765" t="s">
        <v>66</v>
      </c>
      <c r="Q765" t="s">
        <v>45</v>
      </c>
      <c r="R765" t="s">
        <v>3965</v>
      </c>
      <c r="S765" t="s">
        <v>32</v>
      </c>
      <c r="T765" s="2">
        <v>117.232073</v>
      </c>
      <c r="U765" s="2">
        <v>39.220422</v>
      </c>
    </row>
    <row r="766" spans="1:21">
      <c r="A766" t="s">
        <v>3966</v>
      </c>
      <c r="B766" t="s">
        <v>3967</v>
      </c>
      <c r="C766" t="s">
        <v>3968</v>
      </c>
      <c r="D766" t="s">
        <v>3969</v>
      </c>
      <c r="E766" t="s">
        <v>3970</v>
      </c>
      <c r="F766" t="s">
        <v>7</v>
      </c>
      <c r="G766" t="s">
        <v>7</v>
      </c>
      <c r="H766" t="s">
        <v>43</v>
      </c>
      <c r="I766" t="s">
        <v>51</v>
      </c>
      <c r="J766" t="s">
        <v>3969</v>
      </c>
      <c r="K766" t="s">
        <v>32</v>
      </c>
      <c r="L766" t="s">
        <v>32</v>
      </c>
      <c r="M766" t="s">
        <v>36</v>
      </c>
      <c r="N766" t="s">
        <v>37</v>
      </c>
      <c r="O766" t="s">
        <v>66</v>
      </c>
      <c r="P766" t="s">
        <v>66</v>
      </c>
      <c r="Q766" t="s">
        <v>45</v>
      </c>
      <c r="R766" t="s">
        <v>3971</v>
      </c>
      <c r="S766" t="s">
        <v>32</v>
      </c>
      <c r="T766" s="2">
        <v>116.972351</v>
      </c>
      <c r="U766" s="2">
        <v>39.126312</v>
      </c>
    </row>
    <row r="767" spans="1:21">
      <c r="A767" t="s">
        <v>3972</v>
      </c>
      <c r="B767" t="s">
        <v>130</v>
      </c>
      <c r="C767" t="s">
        <v>3973</v>
      </c>
      <c r="D767" t="s">
        <v>32</v>
      </c>
      <c r="E767" t="s">
        <v>3974</v>
      </c>
      <c r="F767" t="s">
        <v>7</v>
      </c>
      <c r="G767" t="s">
        <v>7</v>
      </c>
      <c r="H767" t="s">
        <v>133</v>
      </c>
      <c r="I767" t="s">
        <v>51</v>
      </c>
      <c r="J767" t="s">
        <v>32</v>
      </c>
      <c r="K767" t="s">
        <v>32</v>
      </c>
      <c r="L767" t="s">
        <v>32</v>
      </c>
      <c r="M767" t="s">
        <v>36</v>
      </c>
      <c r="N767" t="s">
        <v>37</v>
      </c>
      <c r="O767" t="s">
        <v>66</v>
      </c>
      <c r="P767" t="s">
        <v>66</v>
      </c>
      <c r="Q767" t="s">
        <v>45</v>
      </c>
      <c r="R767" t="s">
        <v>3975</v>
      </c>
      <c r="S767" t="s">
        <v>32</v>
      </c>
      <c r="T767" s="2">
        <v>117.162599</v>
      </c>
      <c r="U767" s="2">
        <v>39.163607</v>
      </c>
    </row>
    <row r="768" spans="1:21">
      <c r="A768" t="s">
        <v>3976</v>
      </c>
      <c r="B768" t="s">
        <v>2056</v>
      </c>
      <c r="C768" t="s">
        <v>3977</v>
      </c>
      <c r="D768" t="s">
        <v>32</v>
      </c>
      <c r="E768" t="s">
        <v>3978</v>
      </c>
      <c r="F768" t="s">
        <v>7</v>
      </c>
      <c r="G768" t="s">
        <v>7</v>
      </c>
      <c r="H768" t="s">
        <v>43</v>
      </c>
      <c r="I768" t="s">
        <v>51</v>
      </c>
      <c r="J768" t="s">
        <v>32</v>
      </c>
      <c r="K768" t="s">
        <v>32</v>
      </c>
      <c r="L768" t="s">
        <v>32</v>
      </c>
      <c r="M768" t="s">
        <v>36</v>
      </c>
      <c r="N768" t="s">
        <v>37</v>
      </c>
      <c r="O768" t="s">
        <v>66</v>
      </c>
      <c r="P768" t="s">
        <v>66</v>
      </c>
      <c r="Q768" t="s">
        <v>45</v>
      </c>
      <c r="R768" t="s">
        <v>3979</v>
      </c>
      <c r="S768" t="s">
        <v>32</v>
      </c>
      <c r="T768" s="2">
        <v>117.001497</v>
      </c>
      <c r="U768" s="2">
        <v>39.13207</v>
      </c>
    </row>
    <row r="769" spans="1:21">
      <c r="A769" t="s">
        <v>3980</v>
      </c>
      <c r="B769" t="s">
        <v>3981</v>
      </c>
      <c r="C769" t="s">
        <v>3982</v>
      </c>
      <c r="D769" t="s">
        <v>3983</v>
      </c>
      <c r="E769" t="s">
        <v>3984</v>
      </c>
      <c r="F769" t="s">
        <v>7</v>
      </c>
      <c r="G769" t="s">
        <v>7</v>
      </c>
      <c r="H769" t="s">
        <v>73</v>
      </c>
      <c r="I769" t="s">
        <v>51</v>
      </c>
      <c r="J769" t="s">
        <v>3983</v>
      </c>
      <c r="K769" t="s">
        <v>32</v>
      </c>
      <c r="L769" t="s">
        <v>32</v>
      </c>
      <c r="M769" t="s">
        <v>36</v>
      </c>
      <c r="N769" t="s">
        <v>37</v>
      </c>
      <c r="O769" t="s">
        <v>66</v>
      </c>
      <c r="P769" t="s">
        <v>66</v>
      </c>
      <c r="Q769" t="s">
        <v>45</v>
      </c>
      <c r="R769" t="s">
        <v>3985</v>
      </c>
      <c r="S769" t="s">
        <v>32</v>
      </c>
      <c r="T769" s="2">
        <v>117.309922</v>
      </c>
      <c r="U769" s="2">
        <v>39.141657</v>
      </c>
    </row>
    <row r="770" spans="1:21">
      <c r="A770" t="s">
        <v>3986</v>
      </c>
      <c r="B770" t="s">
        <v>3987</v>
      </c>
      <c r="C770" t="s">
        <v>3988</v>
      </c>
      <c r="D770" t="s">
        <v>3989</v>
      </c>
      <c r="E770" t="s">
        <v>3990</v>
      </c>
      <c r="F770" t="s">
        <v>7</v>
      </c>
      <c r="G770" t="s">
        <v>7</v>
      </c>
      <c r="H770" t="s">
        <v>262</v>
      </c>
      <c r="I770" t="s">
        <v>51</v>
      </c>
      <c r="J770" t="s">
        <v>3989</v>
      </c>
      <c r="K770" t="s">
        <v>32</v>
      </c>
      <c r="L770" t="s">
        <v>32</v>
      </c>
      <c r="M770" t="s">
        <v>36</v>
      </c>
      <c r="N770" t="s">
        <v>37</v>
      </c>
      <c r="O770" t="s">
        <v>66</v>
      </c>
      <c r="P770" t="s">
        <v>66</v>
      </c>
      <c r="Q770" t="s">
        <v>45</v>
      </c>
      <c r="R770" t="s">
        <v>3991</v>
      </c>
      <c r="S770" t="s">
        <v>32</v>
      </c>
      <c r="T770" s="2">
        <v>117.200014</v>
      </c>
      <c r="U770" s="2">
        <v>39.159396</v>
      </c>
    </row>
    <row r="771" spans="1:21">
      <c r="A771" t="s">
        <v>3992</v>
      </c>
      <c r="B771" t="s">
        <v>3993</v>
      </c>
      <c r="C771" t="s">
        <v>210</v>
      </c>
      <c r="D771" t="s">
        <v>3994</v>
      </c>
      <c r="E771" t="s">
        <v>3995</v>
      </c>
      <c r="F771" t="s">
        <v>7</v>
      </c>
      <c r="G771" t="s">
        <v>7</v>
      </c>
      <c r="H771" t="s">
        <v>56</v>
      </c>
      <c r="I771" t="s">
        <v>51</v>
      </c>
      <c r="J771" t="s">
        <v>3994</v>
      </c>
      <c r="K771" t="s">
        <v>32</v>
      </c>
      <c r="L771" t="s">
        <v>32</v>
      </c>
      <c r="M771" t="s">
        <v>36</v>
      </c>
      <c r="N771" t="s">
        <v>37</v>
      </c>
      <c r="O771" t="s">
        <v>66</v>
      </c>
      <c r="P771" t="s">
        <v>66</v>
      </c>
      <c r="Q771" t="s">
        <v>45</v>
      </c>
      <c r="R771" t="s">
        <v>3996</v>
      </c>
      <c r="S771" t="s">
        <v>32</v>
      </c>
      <c r="T771" s="2">
        <v>117.205425</v>
      </c>
      <c r="U771" s="2">
        <v>39.203038</v>
      </c>
    </row>
    <row r="772" spans="1:21">
      <c r="A772" t="s">
        <v>3997</v>
      </c>
      <c r="B772" t="s">
        <v>2650</v>
      </c>
      <c r="C772" t="s">
        <v>3237</v>
      </c>
      <c r="D772" t="s">
        <v>3998</v>
      </c>
      <c r="E772" t="s">
        <v>3999</v>
      </c>
      <c r="F772" t="s">
        <v>7</v>
      </c>
      <c r="G772" t="s">
        <v>7</v>
      </c>
      <c r="H772" t="s">
        <v>56</v>
      </c>
      <c r="I772" t="s">
        <v>51</v>
      </c>
      <c r="J772" t="s">
        <v>3998</v>
      </c>
      <c r="K772" t="s">
        <v>32</v>
      </c>
      <c r="L772" t="s">
        <v>32</v>
      </c>
      <c r="M772" t="s">
        <v>36</v>
      </c>
      <c r="N772" t="s">
        <v>37</v>
      </c>
      <c r="O772" t="s">
        <v>66</v>
      </c>
      <c r="P772" t="s">
        <v>66</v>
      </c>
      <c r="Q772" t="s">
        <v>45</v>
      </c>
      <c r="R772" t="s">
        <v>4000</v>
      </c>
      <c r="S772" t="s">
        <v>32</v>
      </c>
      <c r="T772" s="2">
        <v>117.066451</v>
      </c>
      <c r="U772" s="2">
        <v>39.234791</v>
      </c>
    </row>
    <row r="773" spans="1:21">
      <c r="A773" t="s">
        <v>4001</v>
      </c>
      <c r="B773" t="s">
        <v>4002</v>
      </c>
      <c r="C773" t="s">
        <v>4003</v>
      </c>
      <c r="D773" t="s">
        <v>4004</v>
      </c>
      <c r="E773" t="s">
        <v>4005</v>
      </c>
      <c r="F773" t="s">
        <v>7</v>
      </c>
      <c r="G773" t="s">
        <v>7</v>
      </c>
      <c r="H773" t="s">
        <v>133</v>
      </c>
      <c r="I773" t="s">
        <v>51</v>
      </c>
      <c r="J773" t="s">
        <v>4004</v>
      </c>
      <c r="K773" t="s">
        <v>32</v>
      </c>
      <c r="L773" t="s">
        <v>32</v>
      </c>
      <c r="M773" t="s">
        <v>36</v>
      </c>
      <c r="N773" t="s">
        <v>37</v>
      </c>
      <c r="O773" t="s">
        <v>66</v>
      </c>
      <c r="P773" t="s">
        <v>66</v>
      </c>
      <c r="Q773" t="s">
        <v>45</v>
      </c>
      <c r="R773" t="s">
        <v>4006</v>
      </c>
      <c r="S773" t="s">
        <v>32</v>
      </c>
      <c r="T773" s="2">
        <v>117.137343</v>
      </c>
      <c r="U773" s="2">
        <v>39.154472</v>
      </c>
    </row>
    <row r="774" spans="1:21">
      <c r="A774" t="s">
        <v>4007</v>
      </c>
      <c r="B774" t="s">
        <v>2204</v>
      </c>
      <c r="C774" t="s">
        <v>4008</v>
      </c>
      <c r="D774" t="s">
        <v>4009</v>
      </c>
      <c r="E774" t="s">
        <v>4010</v>
      </c>
      <c r="F774" t="s">
        <v>7</v>
      </c>
      <c r="G774" t="s">
        <v>7</v>
      </c>
      <c r="H774" t="s">
        <v>56</v>
      </c>
      <c r="I774" t="s">
        <v>51</v>
      </c>
      <c r="J774" t="s">
        <v>4009</v>
      </c>
      <c r="K774" t="s">
        <v>32</v>
      </c>
      <c r="L774" t="s">
        <v>32</v>
      </c>
      <c r="M774" t="s">
        <v>36</v>
      </c>
      <c r="N774" t="s">
        <v>37</v>
      </c>
      <c r="O774" t="s">
        <v>66</v>
      </c>
      <c r="P774" t="s">
        <v>66</v>
      </c>
      <c r="Q774" t="s">
        <v>45</v>
      </c>
      <c r="R774" t="s">
        <v>4011</v>
      </c>
      <c r="S774" t="s">
        <v>32</v>
      </c>
      <c r="T774" s="2">
        <v>117.168027</v>
      </c>
      <c r="U774" s="2">
        <v>39.249381</v>
      </c>
    </row>
    <row r="775" spans="1:21">
      <c r="A775" t="s">
        <v>4012</v>
      </c>
      <c r="B775" t="s">
        <v>4013</v>
      </c>
      <c r="C775" t="s">
        <v>4014</v>
      </c>
      <c r="D775" t="s">
        <v>4015</v>
      </c>
      <c r="E775" t="s">
        <v>4016</v>
      </c>
      <c r="F775" t="s">
        <v>7</v>
      </c>
      <c r="G775" t="s">
        <v>7</v>
      </c>
      <c r="H775" t="s">
        <v>43</v>
      </c>
      <c r="I775" t="s">
        <v>51</v>
      </c>
      <c r="J775" t="s">
        <v>4015</v>
      </c>
      <c r="K775" t="s">
        <v>32</v>
      </c>
      <c r="L775" t="s">
        <v>32</v>
      </c>
      <c r="M775" t="s">
        <v>36</v>
      </c>
      <c r="N775" t="s">
        <v>37</v>
      </c>
      <c r="O775" t="s">
        <v>66</v>
      </c>
      <c r="P775" t="s">
        <v>66</v>
      </c>
      <c r="Q775" t="s">
        <v>45</v>
      </c>
      <c r="R775" t="s">
        <v>4017</v>
      </c>
      <c r="S775" t="s">
        <v>32</v>
      </c>
      <c r="T775" s="2">
        <v>117.081623</v>
      </c>
      <c r="U775" s="2">
        <v>39.143683</v>
      </c>
    </row>
    <row r="776" spans="1:21">
      <c r="A776" t="s">
        <v>4018</v>
      </c>
      <c r="B776" t="s">
        <v>4019</v>
      </c>
      <c r="C776" t="s">
        <v>4020</v>
      </c>
      <c r="D776" t="s">
        <v>32</v>
      </c>
      <c r="E776" t="s">
        <v>4021</v>
      </c>
      <c r="F776" t="s">
        <v>7</v>
      </c>
      <c r="G776" t="s">
        <v>7</v>
      </c>
      <c r="H776" t="s">
        <v>105</v>
      </c>
      <c r="I776" t="s">
        <v>189</v>
      </c>
      <c r="J776" t="s">
        <v>32</v>
      </c>
      <c r="K776" t="s">
        <v>32</v>
      </c>
      <c r="L776" t="s">
        <v>32</v>
      </c>
      <c r="M776" t="s">
        <v>36</v>
      </c>
      <c r="N776" t="s">
        <v>37</v>
      </c>
      <c r="O776" t="s">
        <v>66</v>
      </c>
      <c r="P776" t="s">
        <v>66</v>
      </c>
      <c r="Q776" t="s">
        <v>74</v>
      </c>
      <c r="R776" t="s">
        <v>4022</v>
      </c>
      <c r="S776" t="s">
        <v>32</v>
      </c>
      <c r="T776" s="2">
        <v>117.258286</v>
      </c>
      <c r="U776" s="2">
        <v>39.121923</v>
      </c>
    </row>
    <row r="777" spans="1:21">
      <c r="A777" t="s">
        <v>4023</v>
      </c>
      <c r="B777" t="s">
        <v>328</v>
      </c>
      <c r="C777" t="s">
        <v>4024</v>
      </c>
      <c r="D777" t="s">
        <v>32</v>
      </c>
      <c r="E777" t="s">
        <v>4025</v>
      </c>
      <c r="F777" t="s">
        <v>7</v>
      </c>
      <c r="G777" t="s">
        <v>7</v>
      </c>
      <c r="H777" t="s">
        <v>43</v>
      </c>
      <c r="I777" t="s">
        <v>245</v>
      </c>
      <c r="J777" t="s">
        <v>32</v>
      </c>
      <c r="K777" t="s">
        <v>32</v>
      </c>
      <c r="L777" t="s">
        <v>32</v>
      </c>
      <c r="M777" t="s">
        <v>36</v>
      </c>
      <c r="N777" t="s">
        <v>37</v>
      </c>
      <c r="O777" t="s">
        <v>66</v>
      </c>
      <c r="P777" t="s">
        <v>66</v>
      </c>
      <c r="Q777" t="s">
        <v>74</v>
      </c>
      <c r="R777" t="s">
        <v>4026</v>
      </c>
      <c r="S777" t="s">
        <v>32</v>
      </c>
      <c r="T777" s="2">
        <v>117.081001</v>
      </c>
      <c r="U777" s="2">
        <v>39.07505</v>
      </c>
    </row>
    <row r="778" spans="1:21">
      <c r="A778" t="s">
        <v>4027</v>
      </c>
      <c r="B778" t="s">
        <v>293</v>
      </c>
      <c r="C778" t="s">
        <v>4028</v>
      </c>
      <c r="D778" t="s">
        <v>32</v>
      </c>
      <c r="E778" t="s">
        <v>4029</v>
      </c>
      <c r="F778" t="s">
        <v>7</v>
      </c>
      <c r="G778" t="s">
        <v>7</v>
      </c>
      <c r="H778" t="s">
        <v>43</v>
      </c>
      <c r="I778" t="s">
        <v>189</v>
      </c>
      <c r="J778" t="s">
        <v>32</v>
      </c>
      <c r="K778" t="s">
        <v>32</v>
      </c>
      <c r="L778" t="s">
        <v>32</v>
      </c>
      <c r="M778" t="s">
        <v>36</v>
      </c>
      <c r="N778" t="s">
        <v>37</v>
      </c>
      <c r="O778" t="s">
        <v>66</v>
      </c>
      <c r="P778" t="s">
        <v>66</v>
      </c>
      <c r="Q778" t="s">
        <v>74</v>
      </c>
      <c r="R778" t="s">
        <v>4030</v>
      </c>
      <c r="S778" t="s">
        <v>32</v>
      </c>
      <c r="T778" s="2">
        <v>117.095265</v>
      </c>
      <c r="U778" s="2">
        <v>39.080934</v>
      </c>
    </row>
    <row r="779" spans="1:21">
      <c r="A779" t="s">
        <v>4031</v>
      </c>
      <c r="B779" t="s">
        <v>40</v>
      </c>
      <c r="C779" t="s">
        <v>4032</v>
      </c>
      <c r="D779" t="s">
        <v>32</v>
      </c>
      <c r="E779" t="s">
        <v>4033</v>
      </c>
      <c r="F779" t="s">
        <v>7</v>
      </c>
      <c r="G779" t="s">
        <v>7</v>
      </c>
      <c r="H779" t="s">
        <v>56</v>
      </c>
      <c r="I779" t="s">
        <v>44</v>
      </c>
      <c r="J779" t="s">
        <v>32</v>
      </c>
      <c r="K779" t="s">
        <v>32</v>
      </c>
      <c r="L779" t="s">
        <v>32</v>
      </c>
      <c r="M779" t="s">
        <v>36</v>
      </c>
      <c r="N779" t="s">
        <v>37</v>
      </c>
      <c r="O779" t="s">
        <v>66</v>
      </c>
      <c r="P779" t="s">
        <v>66</v>
      </c>
      <c r="Q779" t="s">
        <v>45</v>
      </c>
      <c r="R779" t="s">
        <v>4034</v>
      </c>
      <c r="S779" t="s">
        <v>32</v>
      </c>
      <c r="T779" s="2">
        <v>117.119658</v>
      </c>
      <c r="U779" s="2">
        <v>39.233004</v>
      </c>
    </row>
    <row r="780" spans="1:21">
      <c r="A780" t="s">
        <v>4035</v>
      </c>
      <c r="B780" t="s">
        <v>40</v>
      </c>
      <c r="C780" t="s">
        <v>4036</v>
      </c>
      <c r="D780" t="s">
        <v>32</v>
      </c>
      <c r="E780" t="s">
        <v>4037</v>
      </c>
      <c r="F780" t="s">
        <v>7</v>
      </c>
      <c r="G780" t="s">
        <v>7</v>
      </c>
      <c r="H780" t="s">
        <v>34</v>
      </c>
      <c r="I780" t="s">
        <v>44</v>
      </c>
      <c r="J780" t="s">
        <v>32</v>
      </c>
      <c r="K780" t="s">
        <v>32</v>
      </c>
      <c r="L780" t="s">
        <v>32</v>
      </c>
      <c r="M780" t="s">
        <v>36</v>
      </c>
      <c r="N780" t="s">
        <v>37</v>
      </c>
      <c r="O780" t="s">
        <v>66</v>
      </c>
      <c r="P780" t="s">
        <v>66</v>
      </c>
      <c r="Q780" t="s">
        <v>45</v>
      </c>
      <c r="R780" t="s">
        <v>4038</v>
      </c>
      <c r="S780" t="s">
        <v>32</v>
      </c>
      <c r="T780" s="2">
        <v>117.128138</v>
      </c>
      <c r="U780" s="2">
        <v>39.12955</v>
      </c>
    </row>
    <row r="781" spans="1:21">
      <c r="A781" t="s">
        <v>4039</v>
      </c>
      <c r="B781" t="s">
        <v>173</v>
      </c>
      <c r="C781" t="s">
        <v>4040</v>
      </c>
      <c r="D781" t="s">
        <v>32</v>
      </c>
      <c r="E781" t="s">
        <v>4041</v>
      </c>
      <c r="F781" t="s">
        <v>7</v>
      </c>
      <c r="G781" t="s">
        <v>7</v>
      </c>
      <c r="H781" t="s">
        <v>73</v>
      </c>
      <c r="I781" t="s">
        <v>561</v>
      </c>
      <c r="J781" t="s">
        <v>32</v>
      </c>
      <c r="K781" t="s">
        <v>32</v>
      </c>
      <c r="L781" t="s">
        <v>32</v>
      </c>
      <c r="M781" t="s">
        <v>36</v>
      </c>
      <c r="N781" t="s">
        <v>37</v>
      </c>
      <c r="O781" t="s">
        <v>66</v>
      </c>
      <c r="P781" t="s">
        <v>66</v>
      </c>
      <c r="Q781" t="s">
        <v>32</v>
      </c>
      <c r="R781" t="s">
        <v>4042</v>
      </c>
      <c r="S781" t="s">
        <v>32</v>
      </c>
      <c r="T781" s="2">
        <v>117.313567</v>
      </c>
      <c r="U781" s="2">
        <v>39.086789</v>
      </c>
    </row>
    <row r="782" spans="1:21">
      <c r="A782" t="s">
        <v>4043</v>
      </c>
      <c r="B782" t="s">
        <v>374</v>
      </c>
      <c r="C782" t="s">
        <v>4044</v>
      </c>
      <c r="D782" t="s">
        <v>32</v>
      </c>
      <c r="E782" t="s">
        <v>4045</v>
      </c>
      <c r="F782" t="s">
        <v>7</v>
      </c>
      <c r="G782" t="s">
        <v>7</v>
      </c>
      <c r="H782" t="s">
        <v>56</v>
      </c>
      <c r="I782" t="s">
        <v>44</v>
      </c>
      <c r="J782" t="s">
        <v>32</v>
      </c>
      <c r="K782" t="s">
        <v>32</v>
      </c>
      <c r="L782" t="s">
        <v>32</v>
      </c>
      <c r="M782" t="s">
        <v>36</v>
      </c>
      <c r="N782" t="s">
        <v>37</v>
      </c>
      <c r="O782" t="s">
        <v>66</v>
      </c>
      <c r="P782" t="s">
        <v>66</v>
      </c>
      <c r="Q782" t="s">
        <v>45</v>
      </c>
      <c r="R782" t="s">
        <v>4046</v>
      </c>
      <c r="S782" t="s">
        <v>32</v>
      </c>
      <c r="T782" s="2">
        <v>117.111303</v>
      </c>
      <c r="U782" s="2">
        <v>39.227521</v>
      </c>
    </row>
    <row r="783" spans="1:21">
      <c r="A783" t="s">
        <v>4047</v>
      </c>
      <c r="B783" t="s">
        <v>40</v>
      </c>
      <c r="C783" t="s">
        <v>4048</v>
      </c>
      <c r="D783" t="s">
        <v>32</v>
      </c>
      <c r="E783" t="s">
        <v>4049</v>
      </c>
      <c r="F783" t="s">
        <v>7</v>
      </c>
      <c r="G783" t="s">
        <v>7</v>
      </c>
      <c r="H783" t="s">
        <v>43</v>
      </c>
      <c r="I783" t="s">
        <v>44</v>
      </c>
      <c r="J783" t="s">
        <v>32</v>
      </c>
      <c r="K783" t="s">
        <v>32</v>
      </c>
      <c r="L783" t="s">
        <v>32</v>
      </c>
      <c r="M783" t="s">
        <v>36</v>
      </c>
      <c r="N783" t="s">
        <v>37</v>
      </c>
      <c r="O783" t="s">
        <v>66</v>
      </c>
      <c r="P783" t="s">
        <v>66</v>
      </c>
      <c r="Q783" t="s">
        <v>45</v>
      </c>
      <c r="R783" t="s">
        <v>4050</v>
      </c>
      <c r="S783" t="s">
        <v>32</v>
      </c>
      <c r="T783" s="2">
        <v>117.15744</v>
      </c>
      <c r="U783" s="2">
        <v>39.055237</v>
      </c>
    </row>
    <row r="784" spans="1:21">
      <c r="A784" t="s">
        <v>4051</v>
      </c>
      <c r="B784" t="s">
        <v>40</v>
      </c>
      <c r="C784" t="s">
        <v>4052</v>
      </c>
      <c r="D784" t="s">
        <v>32</v>
      </c>
      <c r="E784" t="s">
        <v>4053</v>
      </c>
      <c r="F784" t="s">
        <v>7</v>
      </c>
      <c r="G784" t="s">
        <v>7</v>
      </c>
      <c r="H784" t="s">
        <v>262</v>
      </c>
      <c r="I784" t="s">
        <v>44</v>
      </c>
      <c r="J784" t="s">
        <v>32</v>
      </c>
      <c r="K784" t="s">
        <v>32</v>
      </c>
      <c r="L784" t="s">
        <v>32</v>
      </c>
      <c r="M784" t="s">
        <v>36</v>
      </c>
      <c r="N784" t="s">
        <v>37</v>
      </c>
      <c r="O784" t="s">
        <v>66</v>
      </c>
      <c r="P784" t="s">
        <v>66</v>
      </c>
      <c r="Q784" t="s">
        <v>45</v>
      </c>
      <c r="R784" t="s">
        <v>4054</v>
      </c>
      <c r="S784" t="s">
        <v>32</v>
      </c>
      <c r="T784" s="2">
        <v>117.202049</v>
      </c>
      <c r="U784" s="2">
        <v>39.167439</v>
      </c>
    </row>
    <row r="785" spans="1:21">
      <c r="A785" t="s">
        <v>4055</v>
      </c>
      <c r="B785" t="s">
        <v>40</v>
      </c>
      <c r="C785" t="s">
        <v>4056</v>
      </c>
      <c r="D785" t="s">
        <v>32</v>
      </c>
      <c r="E785" t="s">
        <v>4057</v>
      </c>
      <c r="F785" t="s">
        <v>7</v>
      </c>
      <c r="G785" t="s">
        <v>7</v>
      </c>
      <c r="H785" t="s">
        <v>63</v>
      </c>
      <c r="I785" t="s">
        <v>44</v>
      </c>
      <c r="J785" t="s">
        <v>32</v>
      </c>
      <c r="K785" t="s">
        <v>32</v>
      </c>
      <c r="L785" t="s">
        <v>32</v>
      </c>
      <c r="M785" t="s">
        <v>36</v>
      </c>
      <c r="N785" t="s">
        <v>37</v>
      </c>
      <c r="O785" t="s">
        <v>66</v>
      </c>
      <c r="P785" t="s">
        <v>66</v>
      </c>
      <c r="Q785" t="s">
        <v>45</v>
      </c>
      <c r="R785" t="s">
        <v>4058</v>
      </c>
      <c r="S785" t="s">
        <v>32</v>
      </c>
      <c r="T785" s="2">
        <v>117.318859</v>
      </c>
      <c r="U785" s="2">
        <v>39.042825</v>
      </c>
    </row>
    <row r="786" spans="1:21">
      <c r="A786" t="s">
        <v>4059</v>
      </c>
      <c r="B786" t="s">
        <v>40</v>
      </c>
      <c r="C786" t="s">
        <v>4060</v>
      </c>
      <c r="D786" t="s">
        <v>32</v>
      </c>
      <c r="E786" t="s">
        <v>4061</v>
      </c>
      <c r="F786" t="s">
        <v>7</v>
      </c>
      <c r="G786" t="s">
        <v>7</v>
      </c>
      <c r="H786" t="s">
        <v>50</v>
      </c>
      <c r="I786" t="s">
        <v>106</v>
      </c>
      <c r="J786" t="s">
        <v>32</v>
      </c>
      <c r="K786" t="s">
        <v>32</v>
      </c>
      <c r="L786" t="s">
        <v>32</v>
      </c>
      <c r="M786" t="s">
        <v>36</v>
      </c>
      <c r="N786" t="s">
        <v>37</v>
      </c>
      <c r="O786" t="s">
        <v>66</v>
      </c>
      <c r="P786" t="s">
        <v>66</v>
      </c>
      <c r="Q786" t="s">
        <v>32</v>
      </c>
      <c r="R786" t="s">
        <v>4062</v>
      </c>
      <c r="S786" t="s">
        <v>32</v>
      </c>
      <c r="T786" s="2">
        <v>117.218584</v>
      </c>
      <c r="U786" s="2">
        <v>39.113562</v>
      </c>
    </row>
    <row r="787" spans="1:21">
      <c r="A787" t="s">
        <v>4063</v>
      </c>
      <c r="B787" t="s">
        <v>40</v>
      </c>
      <c r="C787" t="s">
        <v>4064</v>
      </c>
      <c r="D787" t="s">
        <v>32</v>
      </c>
      <c r="E787" t="s">
        <v>4065</v>
      </c>
      <c r="F787" t="s">
        <v>7</v>
      </c>
      <c r="G787" t="s">
        <v>7</v>
      </c>
      <c r="H787" t="s">
        <v>105</v>
      </c>
      <c r="I787" t="s">
        <v>100</v>
      </c>
      <c r="J787" t="s">
        <v>32</v>
      </c>
      <c r="K787" t="s">
        <v>32</v>
      </c>
      <c r="L787" t="s">
        <v>32</v>
      </c>
      <c r="M787" t="s">
        <v>36</v>
      </c>
      <c r="N787" t="s">
        <v>37</v>
      </c>
      <c r="O787" t="s">
        <v>66</v>
      </c>
      <c r="P787" t="s">
        <v>66</v>
      </c>
      <c r="Q787" t="s">
        <v>32</v>
      </c>
      <c r="R787" t="s">
        <v>4066</v>
      </c>
      <c r="S787" t="s">
        <v>32</v>
      </c>
      <c r="T787" s="2">
        <v>117.304893</v>
      </c>
      <c r="U787" s="2">
        <v>39.097736</v>
      </c>
    </row>
    <row r="788" spans="1:21">
      <c r="A788" t="s">
        <v>4067</v>
      </c>
      <c r="B788" t="s">
        <v>40</v>
      </c>
      <c r="C788" t="s">
        <v>4068</v>
      </c>
      <c r="D788" t="s">
        <v>4069</v>
      </c>
      <c r="E788" t="s">
        <v>4070</v>
      </c>
      <c r="F788" t="s">
        <v>7</v>
      </c>
      <c r="G788" t="s">
        <v>7</v>
      </c>
      <c r="H788" t="s">
        <v>133</v>
      </c>
      <c r="I788" t="s">
        <v>106</v>
      </c>
      <c r="J788" t="s">
        <v>4069</v>
      </c>
      <c r="K788" t="s">
        <v>32</v>
      </c>
      <c r="L788" t="s">
        <v>32</v>
      </c>
      <c r="M788" t="s">
        <v>36</v>
      </c>
      <c r="N788" t="s">
        <v>37</v>
      </c>
      <c r="O788" t="s">
        <v>66</v>
      </c>
      <c r="P788" t="s">
        <v>66</v>
      </c>
      <c r="Q788" t="s">
        <v>32</v>
      </c>
      <c r="R788" t="s">
        <v>4071</v>
      </c>
      <c r="S788" t="s">
        <v>32</v>
      </c>
      <c r="T788" s="2">
        <v>117.16718</v>
      </c>
      <c r="U788" s="2">
        <v>39.180183</v>
      </c>
    </row>
    <row r="789" spans="1:21">
      <c r="A789" t="s">
        <v>4072</v>
      </c>
      <c r="B789" t="s">
        <v>40</v>
      </c>
      <c r="C789" t="s">
        <v>4073</v>
      </c>
      <c r="D789" t="s">
        <v>32</v>
      </c>
      <c r="E789" t="s">
        <v>4074</v>
      </c>
      <c r="F789" t="s">
        <v>7</v>
      </c>
      <c r="G789" t="s">
        <v>7</v>
      </c>
      <c r="H789" t="s">
        <v>34</v>
      </c>
      <c r="I789" t="s">
        <v>44</v>
      </c>
      <c r="J789" t="s">
        <v>32</v>
      </c>
      <c r="K789" t="s">
        <v>32</v>
      </c>
      <c r="L789" t="s">
        <v>32</v>
      </c>
      <c r="M789" t="s">
        <v>36</v>
      </c>
      <c r="N789" t="s">
        <v>37</v>
      </c>
      <c r="O789" t="s">
        <v>66</v>
      </c>
      <c r="P789" t="s">
        <v>66</v>
      </c>
      <c r="Q789" t="s">
        <v>45</v>
      </c>
      <c r="R789" t="s">
        <v>4075</v>
      </c>
      <c r="S789" t="s">
        <v>32</v>
      </c>
      <c r="T789" s="2">
        <v>117.15552</v>
      </c>
      <c r="U789" s="2">
        <v>39.127481</v>
      </c>
    </row>
    <row r="790" spans="1:21">
      <c r="A790" t="s">
        <v>4076</v>
      </c>
      <c r="B790" t="s">
        <v>40</v>
      </c>
      <c r="C790" t="s">
        <v>4077</v>
      </c>
      <c r="D790" t="s">
        <v>32</v>
      </c>
      <c r="E790" t="s">
        <v>4078</v>
      </c>
      <c r="F790" t="s">
        <v>7</v>
      </c>
      <c r="G790" t="s">
        <v>7</v>
      </c>
      <c r="H790" t="s">
        <v>105</v>
      </c>
      <c r="I790" t="s">
        <v>44</v>
      </c>
      <c r="J790" t="s">
        <v>32</v>
      </c>
      <c r="K790" t="s">
        <v>32</v>
      </c>
      <c r="L790" t="s">
        <v>32</v>
      </c>
      <c r="M790" t="s">
        <v>36</v>
      </c>
      <c r="N790" t="s">
        <v>37</v>
      </c>
      <c r="O790" t="s">
        <v>66</v>
      </c>
      <c r="P790" t="s">
        <v>66</v>
      </c>
      <c r="Q790" t="s">
        <v>45</v>
      </c>
      <c r="R790" t="s">
        <v>4079</v>
      </c>
      <c r="S790" t="s">
        <v>32</v>
      </c>
      <c r="T790" s="2">
        <v>117.232987</v>
      </c>
      <c r="U790" s="2">
        <v>39.134495</v>
      </c>
    </row>
    <row r="791" spans="1:21">
      <c r="A791" t="s">
        <v>4080</v>
      </c>
      <c r="B791" t="s">
        <v>40</v>
      </c>
      <c r="C791" t="s">
        <v>4081</v>
      </c>
      <c r="D791" t="s">
        <v>32</v>
      </c>
      <c r="E791" t="s">
        <v>4082</v>
      </c>
      <c r="F791" t="s">
        <v>7</v>
      </c>
      <c r="G791" t="s">
        <v>7</v>
      </c>
      <c r="H791" t="s">
        <v>56</v>
      </c>
      <c r="I791" t="s">
        <v>44</v>
      </c>
      <c r="J791" t="s">
        <v>32</v>
      </c>
      <c r="K791" t="s">
        <v>32</v>
      </c>
      <c r="L791" t="s">
        <v>32</v>
      </c>
      <c r="M791" t="s">
        <v>36</v>
      </c>
      <c r="N791" t="s">
        <v>37</v>
      </c>
      <c r="O791" t="s">
        <v>66</v>
      </c>
      <c r="P791" t="s">
        <v>66</v>
      </c>
      <c r="Q791" t="s">
        <v>74</v>
      </c>
      <c r="R791" t="s">
        <v>4083</v>
      </c>
      <c r="S791" t="s">
        <v>32</v>
      </c>
      <c r="T791" s="2">
        <v>117.156211</v>
      </c>
      <c r="U791" s="2">
        <v>39.200695</v>
      </c>
    </row>
    <row r="792" spans="1:21">
      <c r="A792" t="s">
        <v>4084</v>
      </c>
      <c r="B792" t="s">
        <v>4085</v>
      </c>
      <c r="C792" t="s">
        <v>4086</v>
      </c>
      <c r="D792" t="s">
        <v>4087</v>
      </c>
      <c r="E792" t="s">
        <v>4088</v>
      </c>
      <c r="F792" t="s">
        <v>7</v>
      </c>
      <c r="G792" t="s">
        <v>7</v>
      </c>
      <c r="H792" t="s">
        <v>133</v>
      </c>
      <c r="I792" t="s">
        <v>140</v>
      </c>
      <c r="J792" t="s">
        <v>4087</v>
      </c>
      <c r="K792" t="s">
        <v>32</v>
      </c>
      <c r="L792" t="s">
        <v>32</v>
      </c>
      <c r="M792" t="s">
        <v>36</v>
      </c>
      <c r="N792" t="s">
        <v>37</v>
      </c>
      <c r="O792" t="s">
        <v>66</v>
      </c>
      <c r="P792" t="s">
        <v>66</v>
      </c>
      <c r="Q792" t="s">
        <v>32</v>
      </c>
      <c r="R792" t="s">
        <v>4089</v>
      </c>
      <c r="S792" t="s">
        <v>32</v>
      </c>
      <c r="T792" s="2">
        <v>117.142819</v>
      </c>
      <c r="U792" s="2">
        <v>39.176352</v>
      </c>
    </row>
    <row r="793" spans="1:21">
      <c r="A793" t="s">
        <v>4090</v>
      </c>
      <c r="B793" t="s">
        <v>374</v>
      </c>
      <c r="C793" t="s">
        <v>4091</v>
      </c>
      <c r="D793" t="s">
        <v>32</v>
      </c>
      <c r="E793" t="s">
        <v>4092</v>
      </c>
      <c r="F793" t="s">
        <v>7</v>
      </c>
      <c r="G793" t="s">
        <v>7</v>
      </c>
      <c r="H793" t="s">
        <v>34</v>
      </c>
      <c r="I793" t="s">
        <v>4093</v>
      </c>
      <c r="J793" t="s">
        <v>32</v>
      </c>
      <c r="K793" t="s">
        <v>32</v>
      </c>
      <c r="L793" t="s">
        <v>32</v>
      </c>
      <c r="M793" t="s">
        <v>36</v>
      </c>
      <c r="N793" t="s">
        <v>37</v>
      </c>
      <c r="O793" t="s">
        <v>66</v>
      </c>
      <c r="P793" t="s">
        <v>66</v>
      </c>
      <c r="Q793" t="s">
        <v>32</v>
      </c>
      <c r="R793" t="s">
        <v>4094</v>
      </c>
      <c r="S793" t="s">
        <v>32</v>
      </c>
      <c r="T793" s="2">
        <v>117.164806</v>
      </c>
      <c r="U793" s="2">
        <v>39.140596</v>
      </c>
    </row>
    <row r="794" spans="1:21">
      <c r="A794" t="s">
        <v>4095</v>
      </c>
      <c r="B794" t="s">
        <v>40</v>
      </c>
      <c r="C794" t="s">
        <v>4096</v>
      </c>
      <c r="D794" t="s">
        <v>32</v>
      </c>
      <c r="E794" t="s">
        <v>4097</v>
      </c>
      <c r="F794" t="s">
        <v>7</v>
      </c>
      <c r="G794" t="s">
        <v>7</v>
      </c>
      <c r="H794" t="s">
        <v>34</v>
      </c>
      <c r="I794" t="s">
        <v>44</v>
      </c>
      <c r="J794" t="s">
        <v>32</v>
      </c>
      <c r="K794" t="s">
        <v>32</v>
      </c>
      <c r="L794" t="s">
        <v>32</v>
      </c>
      <c r="M794" t="s">
        <v>36</v>
      </c>
      <c r="N794" t="s">
        <v>37</v>
      </c>
      <c r="O794" t="s">
        <v>66</v>
      </c>
      <c r="P794" t="s">
        <v>66</v>
      </c>
      <c r="Q794" t="s">
        <v>45</v>
      </c>
      <c r="R794" t="s">
        <v>4098</v>
      </c>
      <c r="S794" t="s">
        <v>32</v>
      </c>
      <c r="T794" s="2">
        <v>117.133449</v>
      </c>
      <c r="U794" s="2">
        <v>39.143853</v>
      </c>
    </row>
    <row r="795" spans="1:21">
      <c r="A795" t="s">
        <v>4099</v>
      </c>
      <c r="B795" t="s">
        <v>40</v>
      </c>
      <c r="C795" t="s">
        <v>4100</v>
      </c>
      <c r="D795" t="s">
        <v>32</v>
      </c>
      <c r="E795" t="s">
        <v>4101</v>
      </c>
      <c r="F795" t="s">
        <v>7</v>
      </c>
      <c r="G795" t="s">
        <v>7</v>
      </c>
      <c r="H795" t="s">
        <v>73</v>
      </c>
      <c r="I795" t="s">
        <v>44</v>
      </c>
      <c r="J795" t="s">
        <v>32</v>
      </c>
      <c r="K795" t="s">
        <v>32</v>
      </c>
      <c r="L795" t="s">
        <v>32</v>
      </c>
      <c r="M795" t="s">
        <v>36</v>
      </c>
      <c r="N795" t="s">
        <v>37</v>
      </c>
      <c r="O795" t="s">
        <v>66</v>
      </c>
      <c r="P795" t="s">
        <v>66</v>
      </c>
      <c r="Q795" t="s">
        <v>32</v>
      </c>
      <c r="R795" t="s">
        <v>4102</v>
      </c>
      <c r="S795" t="s">
        <v>32</v>
      </c>
      <c r="T795" s="2">
        <v>117.317801</v>
      </c>
      <c r="U795" s="2">
        <v>39.085081</v>
      </c>
    </row>
    <row r="796" spans="1:21">
      <c r="A796" t="s">
        <v>4103</v>
      </c>
      <c r="B796" t="s">
        <v>3099</v>
      </c>
      <c r="C796" t="s">
        <v>4104</v>
      </c>
      <c r="D796" t="s">
        <v>32</v>
      </c>
      <c r="E796" t="s">
        <v>4105</v>
      </c>
      <c r="F796" t="s">
        <v>7</v>
      </c>
      <c r="G796" t="s">
        <v>7</v>
      </c>
      <c r="H796" t="s">
        <v>407</v>
      </c>
      <c r="I796" t="s">
        <v>44</v>
      </c>
      <c r="J796" t="s">
        <v>32</v>
      </c>
      <c r="K796" t="s">
        <v>32</v>
      </c>
      <c r="L796" t="s">
        <v>32</v>
      </c>
      <c r="M796" t="s">
        <v>36</v>
      </c>
      <c r="N796" t="s">
        <v>37</v>
      </c>
      <c r="O796" t="s">
        <v>66</v>
      </c>
      <c r="P796" t="s">
        <v>66</v>
      </c>
      <c r="Q796" t="s">
        <v>32</v>
      </c>
      <c r="R796" t="s">
        <v>4106</v>
      </c>
      <c r="S796" t="s">
        <v>32</v>
      </c>
      <c r="T796" s="2">
        <v>117.210887</v>
      </c>
      <c r="U796" s="2">
        <v>39.129037</v>
      </c>
    </row>
    <row r="797" spans="1:21">
      <c r="A797" t="s">
        <v>4107</v>
      </c>
      <c r="B797" t="s">
        <v>40</v>
      </c>
      <c r="C797" t="s">
        <v>4108</v>
      </c>
      <c r="D797" t="s">
        <v>32</v>
      </c>
      <c r="E797" t="s">
        <v>4109</v>
      </c>
      <c r="F797" t="s">
        <v>7</v>
      </c>
      <c r="G797" t="s">
        <v>7</v>
      </c>
      <c r="H797" t="s">
        <v>43</v>
      </c>
      <c r="I797" t="s">
        <v>4093</v>
      </c>
      <c r="J797" t="s">
        <v>32</v>
      </c>
      <c r="K797" t="s">
        <v>32</v>
      </c>
      <c r="L797" t="s">
        <v>32</v>
      </c>
      <c r="M797" t="s">
        <v>36</v>
      </c>
      <c r="N797" t="s">
        <v>37</v>
      </c>
      <c r="O797" t="s">
        <v>66</v>
      </c>
      <c r="P797" t="s">
        <v>66</v>
      </c>
      <c r="Q797" t="s">
        <v>32</v>
      </c>
      <c r="R797" t="s">
        <v>4110</v>
      </c>
      <c r="S797" t="s">
        <v>32</v>
      </c>
      <c r="T797" s="2">
        <v>117.013388</v>
      </c>
      <c r="U797" s="2">
        <v>39.093082</v>
      </c>
    </row>
    <row r="798" spans="1:21">
      <c r="A798" t="s">
        <v>4111</v>
      </c>
      <c r="B798" t="s">
        <v>40</v>
      </c>
      <c r="C798" t="s">
        <v>4112</v>
      </c>
      <c r="D798" t="s">
        <v>32</v>
      </c>
      <c r="E798" t="s">
        <v>4113</v>
      </c>
      <c r="F798" t="s">
        <v>7</v>
      </c>
      <c r="G798" t="s">
        <v>7</v>
      </c>
      <c r="H798" t="s">
        <v>34</v>
      </c>
      <c r="I798" t="s">
        <v>44</v>
      </c>
      <c r="J798" t="s">
        <v>32</v>
      </c>
      <c r="K798" t="s">
        <v>32</v>
      </c>
      <c r="L798" t="s">
        <v>32</v>
      </c>
      <c r="M798" t="s">
        <v>36</v>
      </c>
      <c r="N798" t="s">
        <v>37</v>
      </c>
      <c r="O798" t="s">
        <v>66</v>
      </c>
      <c r="P798" t="s">
        <v>66</v>
      </c>
      <c r="Q798" t="s">
        <v>45</v>
      </c>
      <c r="R798" t="s">
        <v>4034</v>
      </c>
      <c r="S798" t="s">
        <v>32</v>
      </c>
      <c r="T798" s="2">
        <v>117.138085</v>
      </c>
      <c r="U798" s="2">
        <v>39.103952</v>
      </c>
    </row>
    <row r="799" spans="1:21">
      <c r="A799" t="s">
        <v>4114</v>
      </c>
      <c r="B799" t="s">
        <v>40</v>
      </c>
      <c r="C799" t="s">
        <v>4115</v>
      </c>
      <c r="D799" t="s">
        <v>32</v>
      </c>
      <c r="E799" t="s">
        <v>4116</v>
      </c>
      <c r="F799" t="s">
        <v>7</v>
      </c>
      <c r="G799" t="s">
        <v>7</v>
      </c>
      <c r="H799" t="s">
        <v>105</v>
      </c>
      <c r="I799" t="s">
        <v>44</v>
      </c>
      <c r="J799" t="s">
        <v>32</v>
      </c>
      <c r="K799" t="s">
        <v>32</v>
      </c>
      <c r="L799" t="s">
        <v>32</v>
      </c>
      <c r="M799" t="s">
        <v>36</v>
      </c>
      <c r="N799" t="s">
        <v>37</v>
      </c>
      <c r="O799" t="s">
        <v>66</v>
      </c>
      <c r="P799" t="s">
        <v>66</v>
      </c>
      <c r="Q799" t="s">
        <v>45</v>
      </c>
      <c r="R799" t="s">
        <v>4117</v>
      </c>
      <c r="S799" t="s">
        <v>32</v>
      </c>
      <c r="T799" s="2">
        <v>117.285437</v>
      </c>
      <c r="U799" s="2">
        <v>39.131921</v>
      </c>
    </row>
    <row r="800" spans="1:21">
      <c r="A800" t="s">
        <v>4118</v>
      </c>
      <c r="B800" t="s">
        <v>40</v>
      </c>
      <c r="C800" t="s">
        <v>4119</v>
      </c>
      <c r="D800" t="s">
        <v>32</v>
      </c>
      <c r="E800" t="s">
        <v>4120</v>
      </c>
      <c r="F800" t="s">
        <v>7</v>
      </c>
      <c r="G800" t="s">
        <v>7</v>
      </c>
      <c r="H800" t="s">
        <v>34</v>
      </c>
      <c r="I800" t="s">
        <v>44</v>
      </c>
      <c r="J800" t="s">
        <v>32</v>
      </c>
      <c r="K800" t="s">
        <v>32</v>
      </c>
      <c r="L800" t="s">
        <v>32</v>
      </c>
      <c r="M800" t="s">
        <v>36</v>
      </c>
      <c r="N800" t="s">
        <v>37</v>
      </c>
      <c r="O800" t="s">
        <v>66</v>
      </c>
      <c r="P800" t="s">
        <v>66</v>
      </c>
      <c r="Q800" t="s">
        <v>45</v>
      </c>
      <c r="R800" t="s">
        <v>4121</v>
      </c>
      <c r="S800" t="s">
        <v>32</v>
      </c>
      <c r="T800" s="2">
        <v>117.141858</v>
      </c>
      <c r="U800" s="2">
        <v>39.126777</v>
      </c>
    </row>
    <row r="801" spans="1:21">
      <c r="A801" t="s">
        <v>4122</v>
      </c>
      <c r="B801" t="s">
        <v>40</v>
      </c>
      <c r="C801" t="s">
        <v>4123</v>
      </c>
      <c r="D801" t="s">
        <v>32</v>
      </c>
      <c r="E801" t="s">
        <v>4124</v>
      </c>
      <c r="F801" t="s">
        <v>7</v>
      </c>
      <c r="G801" t="s">
        <v>7</v>
      </c>
      <c r="H801" t="s">
        <v>34</v>
      </c>
      <c r="I801" t="s">
        <v>44</v>
      </c>
      <c r="J801" t="s">
        <v>32</v>
      </c>
      <c r="K801" t="s">
        <v>32</v>
      </c>
      <c r="L801" t="s">
        <v>32</v>
      </c>
      <c r="M801" t="s">
        <v>36</v>
      </c>
      <c r="N801" t="s">
        <v>37</v>
      </c>
      <c r="O801" t="s">
        <v>66</v>
      </c>
      <c r="P801" t="s">
        <v>66</v>
      </c>
      <c r="Q801" t="s">
        <v>45</v>
      </c>
      <c r="R801" t="s">
        <v>4125</v>
      </c>
      <c r="S801" t="s">
        <v>32</v>
      </c>
      <c r="T801" s="2">
        <v>117.154728</v>
      </c>
      <c r="U801" s="2">
        <v>39.120436</v>
      </c>
    </row>
    <row r="802" spans="1:21">
      <c r="A802" t="s">
        <v>4126</v>
      </c>
      <c r="B802" t="s">
        <v>40</v>
      </c>
      <c r="C802" t="s">
        <v>4127</v>
      </c>
      <c r="D802" t="s">
        <v>32</v>
      </c>
      <c r="E802" t="s">
        <v>4128</v>
      </c>
      <c r="F802" t="s">
        <v>7</v>
      </c>
      <c r="G802" t="s">
        <v>7</v>
      </c>
      <c r="H802" t="s">
        <v>50</v>
      </c>
      <c r="I802" t="s">
        <v>4093</v>
      </c>
      <c r="J802" t="s">
        <v>32</v>
      </c>
      <c r="K802" t="s">
        <v>32</v>
      </c>
      <c r="L802" t="s">
        <v>32</v>
      </c>
      <c r="M802" t="s">
        <v>36</v>
      </c>
      <c r="N802" t="s">
        <v>37</v>
      </c>
      <c r="O802" t="s">
        <v>66</v>
      </c>
      <c r="P802" t="s">
        <v>66</v>
      </c>
      <c r="Q802" t="s">
        <v>32</v>
      </c>
      <c r="R802" t="s">
        <v>4129</v>
      </c>
      <c r="S802" t="s">
        <v>32</v>
      </c>
      <c r="T802" s="2">
        <v>117.248891</v>
      </c>
      <c r="U802" s="2">
        <v>39.08318</v>
      </c>
    </row>
    <row r="803" spans="1:21">
      <c r="A803" t="s">
        <v>4130</v>
      </c>
      <c r="B803" t="s">
        <v>374</v>
      </c>
      <c r="C803" t="s">
        <v>4131</v>
      </c>
      <c r="D803" t="s">
        <v>32</v>
      </c>
      <c r="E803" t="s">
        <v>4132</v>
      </c>
      <c r="F803" t="s">
        <v>7</v>
      </c>
      <c r="G803" t="s">
        <v>7</v>
      </c>
      <c r="H803" t="s">
        <v>407</v>
      </c>
      <c r="I803" t="s">
        <v>44</v>
      </c>
      <c r="J803" t="s">
        <v>32</v>
      </c>
      <c r="K803" t="s">
        <v>32</v>
      </c>
      <c r="L803" t="s">
        <v>32</v>
      </c>
      <c r="M803" t="s">
        <v>36</v>
      </c>
      <c r="N803" t="s">
        <v>37</v>
      </c>
      <c r="O803" t="s">
        <v>66</v>
      </c>
      <c r="P803" t="s">
        <v>66</v>
      </c>
      <c r="Q803" t="s">
        <v>45</v>
      </c>
      <c r="R803" t="s">
        <v>4133</v>
      </c>
      <c r="S803" t="s">
        <v>32</v>
      </c>
      <c r="T803" s="2">
        <v>117.18557</v>
      </c>
      <c r="U803" s="2">
        <v>39.122586</v>
      </c>
    </row>
    <row r="804" spans="1:21">
      <c r="A804" t="s">
        <v>4134</v>
      </c>
      <c r="B804" t="s">
        <v>40</v>
      </c>
      <c r="C804" t="s">
        <v>4135</v>
      </c>
      <c r="D804" t="s">
        <v>32</v>
      </c>
      <c r="E804" t="s">
        <v>4136</v>
      </c>
      <c r="F804" t="s">
        <v>7</v>
      </c>
      <c r="G804" t="s">
        <v>7</v>
      </c>
      <c r="H804" t="s">
        <v>56</v>
      </c>
      <c r="I804" t="s">
        <v>44</v>
      </c>
      <c r="J804" t="s">
        <v>32</v>
      </c>
      <c r="K804" t="s">
        <v>32</v>
      </c>
      <c r="L804" t="s">
        <v>32</v>
      </c>
      <c r="M804" t="s">
        <v>36</v>
      </c>
      <c r="N804" t="s">
        <v>37</v>
      </c>
      <c r="O804" t="s">
        <v>66</v>
      </c>
      <c r="P804" t="s">
        <v>66</v>
      </c>
      <c r="Q804" t="s">
        <v>45</v>
      </c>
      <c r="R804" t="s">
        <v>2937</v>
      </c>
      <c r="S804" t="s">
        <v>32</v>
      </c>
      <c r="T804" s="2">
        <v>117.142657</v>
      </c>
      <c r="U804" s="2">
        <v>39.222907</v>
      </c>
    </row>
    <row r="805" spans="1:21">
      <c r="A805" t="s">
        <v>4137</v>
      </c>
      <c r="B805" t="s">
        <v>40</v>
      </c>
      <c r="C805" t="s">
        <v>4138</v>
      </c>
      <c r="D805" t="s">
        <v>32</v>
      </c>
      <c r="E805" t="s">
        <v>4139</v>
      </c>
      <c r="F805" t="s">
        <v>7</v>
      </c>
      <c r="G805" t="s">
        <v>7</v>
      </c>
      <c r="H805" t="s">
        <v>50</v>
      </c>
      <c r="I805" t="s">
        <v>106</v>
      </c>
      <c r="J805" t="s">
        <v>32</v>
      </c>
      <c r="K805" t="s">
        <v>32</v>
      </c>
      <c r="L805" t="s">
        <v>32</v>
      </c>
      <c r="M805" t="s">
        <v>36</v>
      </c>
      <c r="N805" t="s">
        <v>37</v>
      </c>
      <c r="O805" t="s">
        <v>66</v>
      </c>
      <c r="P805" t="s">
        <v>66</v>
      </c>
      <c r="Q805" t="s">
        <v>32</v>
      </c>
      <c r="R805" t="s">
        <v>4140</v>
      </c>
      <c r="S805" t="s">
        <v>32</v>
      </c>
      <c r="T805" s="2">
        <v>117.187986</v>
      </c>
      <c r="U805" s="2">
        <v>39.077026</v>
      </c>
    </row>
    <row r="806" spans="1:21">
      <c r="A806" t="s">
        <v>4141</v>
      </c>
      <c r="B806" t="s">
        <v>40</v>
      </c>
      <c r="C806" t="s">
        <v>4142</v>
      </c>
      <c r="D806" t="s">
        <v>32</v>
      </c>
      <c r="E806" t="s">
        <v>4143</v>
      </c>
      <c r="F806" t="s">
        <v>7</v>
      </c>
      <c r="G806" t="s">
        <v>7</v>
      </c>
      <c r="H806" t="s">
        <v>105</v>
      </c>
      <c r="I806" t="s">
        <v>4144</v>
      </c>
      <c r="J806" t="s">
        <v>32</v>
      </c>
      <c r="K806" t="s">
        <v>32</v>
      </c>
      <c r="L806" t="s">
        <v>32</v>
      </c>
      <c r="M806" t="s">
        <v>36</v>
      </c>
      <c r="N806" t="s">
        <v>37</v>
      </c>
      <c r="O806" t="s">
        <v>66</v>
      </c>
      <c r="P806" t="s">
        <v>66</v>
      </c>
      <c r="Q806" t="s">
        <v>45</v>
      </c>
      <c r="R806" t="s">
        <v>4145</v>
      </c>
      <c r="S806" t="s">
        <v>32</v>
      </c>
      <c r="T806" s="2">
        <v>117.279308</v>
      </c>
      <c r="U806" s="2">
        <v>39.130897</v>
      </c>
    </row>
    <row r="807" spans="1:21">
      <c r="A807" t="s">
        <v>4146</v>
      </c>
      <c r="B807" t="s">
        <v>40</v>
      </c>
      <c r="C807" t="s">
        <v>339</v>
      </c>
      <c r="D807" t="s">
        <v>32</v>
      </c>
      <c r="E807" t="s">
        <v>4147</v>
      </c>
      <c r="F807" t="s">
        <v>7</v>
      </c>
      <c r="G807" t="s">
        <v>7</v>
      </c>
      <c r="H807" t="s">
        <v>262</v>
      </c>
      <c r="I807" t="s">
        <v>44</v>
      </c>
      <c r="J807" t="s">
        <v>32</v>
      </c>
      <c r="K807" t="s">
        <v>32</v>
      </c>
      <c r="L807" t="s">
        <v>32</v>
      </c>
      <c r="M807" t="s">
        <v>36</v>
      </c>
      <c r="N807" t="s">
        <v>37</v>
      </c>
      <c r="O807" t="s">
        <v>66</v>
      </c>
      <c r="P807" t="s">
        <v>66</v>
      </c>
      <c r="Q807" t="s">
        <v>45</v>
      </c>
      <c r="R807" t="s">
        <v>4148</v>
      </c>
      <c r="S807" t="s">
        <v>32</v>
      </c>
      <c r="T807" s="2">
        <v>117.208077</v>
      </c>
      <c r="U807" s="2">
        <v>39.149915</v>
      </c>
    </row>
    <row r="808" spans="1:21">
      <c r="A808" t="s">
        <v>4149</v>
      </c>
      <c r="B808" t="s">
        <v>40</v>
      </c>
      <c r="C808" t="s">
        <v>4150</v>
      </c>
      <c r="D808" t="s">
        <v>32</v>
      </c>
      <c r="E808" t="s">
        <v>4151</v>
      </c>
      <c r="F808" t="s">
        <v>7</v>
      </c>
      <c r="G808" t="s">
        <v>7</v>
      </c>
      <c r="H808" t="s">
        <v>105</v>
      </c>
      <c r="I808" t="s">
        <v>44</v>
      </c>
      <c r="J808" t="s">
        <v>32</v>
      </c>
      <c r="K808" t="s">
        <v>32</v>
      </c>
      <c r="L808" t="s">
        <v>32</v>
      </c>
      <c r="M808" t="s">
        <v>36</v>
      </c>
      <c r="N808" t="s">
        <v>37</v>
      </c>
      <c r="O808" t="s">
        <v>66</v>
      </c>
      <c r="P808" t="s">
        <v>66</v>
      </c>
      <c r="Q808" t="s">
        <v>57</v>
      </c>
      <c r="R808" t="s">
        <v>4152</v>
      </c>
      <c r="S808" t="s">
        <v>32</v>
      </c>
      <c r="T808" s="2">
        <v>117.243672</v>
      </c>
      <c r="U808" s="2">
        <v>39.115564</v>
      </c>
    </row>
    <row r="809" spans="1:21">
      <c r="A809" t="s">
        <v>4153</v>
      </c>
      <c r="B809" t="s">
        <v>40</v>
      </c>
      <c r="C809" t="s">
        <v>4154</v>
      </c>
      <c r="D809" t="s">
        <v>32</v>
      </c>
      <c r="E809" t="s">
        <v>4155</v>
      </c>
      <c r="F809" t="s">
        <v>7</v>
      </c>
      <c r="G809" t="s">
        <v>7</v>
      </c>
      <c r="H809" t="s">
        <v>133</v>
      </c>
      <c r="I809" t="s">
        <v>44</v>
      </c>
      <c r="J809" t="s">
        <v>32</v>
      </c>
      <c r="K809" t="s">
        <v>32</v>
      </c>
      <c r="L809" t="s">
        <v>32</v>
      </c>
      <c r="M809" t="s">
        <v>36</v>
      </c>
      <c r="N809" t="s">
        <v>37</v>
      </c>
      <c r="O809" t="s">
        <v>66</v>
      </c>
      <c r="P809" t="s">
        <v>66</v>
      </c>
      <c r="Q809" t="s">
        <v>45</v>
      </c>
      <c r="R809" t="s">
        <v>4156</v>
      </c>
      <c r="S809" t="s">
        <v>32</v>
      </c>
      <c r="T809" s="2">
        <v>117.171915</v>
      </c>
      <c r="U809" s="2">
        <v>39.160429</v>
      </c>
    </row>
    <row r="810" spans="1:21">
      <c r="A810" t="s">
        <v>4157</v>
      </c>
      <c r="B810" t="s">
        <v>40</v>
      </c>
      <c r="C810" t="s">
        <v>4158</v>
      </c>
      <c r="D810" t="s">
        <v>32</v>
      </c>
      <c r="E810" t="s">
        <v>4159</v>
      </c>
      <c r="F810" t="s">
        <v>7</v>
      </c>
      <c r="G810" t="s">
        <v>7</v>
      </c>
      <c r="H810" t="s">
        <v>73</v>
      </c>
      <c r="I810" t="s">
        <v>44</v>
      </c>
      <c r="J810" t="s">
        <v>32</v>
      </c>
      <c r="K810" t="s">
        <v>32</v>
      </c>
      <c r="L810" t="s">
        <v>32</v>
      </c>
      <c r="M810" t="s">
        <v>36</v>
      </c>
      <c r="N810" t="s">
        <v>37</v>
      </c>
      <c r="O810" t="s">
        <v>66</v>
      </c>
      <c r="P810" t="s">
        <v>66</v>
      </c>
      <c r="Q810" t="s">
        <v>45</v>
      </c>
      <c r="R810" t="s">
        <v>4160</v>
      </c>
      <c r="S810" t="s">
        <v>32</v>
      </c>
      <c r="T810" s="2">
        <v>117.275853</v>
      </c>
      <c r="U810" s="2">
        <v>39.124269</v>
      </c>
    </row>
    <row r="811" spans="1:21">
      <c r="A811" t="s">
        <v>4161</v>
      </c>
      <c r="B811" t="s">
        <v>40</v>
      </c>
      <c r="C811" t="s">
        <v>4162</v>
      </c>
      <c r="D811" t="s">
        <v>32</v>
      </c>
      <c r="E811" t="s">
        <v>4163</v>
      </c>
      <c r="F811" t="s">
        <v>7</v>
      </c>
      <c r="G811" t="s">
        <v>7</v>
      </c>
      <c r="H811" t="s">
        <v>34</v>
      </c>
      <c r="I811" t="s">
        <v>44</v>
      </c>
      <c r="J811" t="s">
        <v>32</v>
      </c>
      <c r="K811" t="s">
        <v>32</v>
      </c>
      <c r="L811" t="s">
        <v>32</v>
      </c>
      <c r="M811" t="s">
        <v>36</v>
      </c>
      <c r="N811" t="s">
        <v>37</v>
      </c>
      <c r="O811" t="s">
        <v>66</v>
      </c>
      <c r="P811" t="s">
        <v>66</v>
      </c>
      <c r="Q811" t="s">
        <v>45</v>
      </c>
      <c r="R811" t="s">
        <v>4164</v>
      </c>
      <c r="S811" t="s">
        <v>32</v>
      </c>
      <c r="T811" s="2">
        <v>117.14978</v>
      </c>
      <c r="U811" s="2">
        <v>39.1248</v>
      </c>
    </row>
    <row r="812" spans="1:21">
      <c r="A812" t="s">
        <v>4165</v>
      </c>
      <c r="B812" t="s">
        <v>40</v>
      </c>
      <c r="C812" t="s">
        <v>4166</v>
      </c>
      <c r="D812" t="s">
        <v>32</v>
      </c>
      <c r="E812" t="s">
        <v>4167</v>
      </c>
      <c r="F812" t="s">
        <v>7</v>
      </c>
      <c r="G812" t="s">
        <v>7</v>
      </c>
      <c r="H812" t="s">
        <v>43</v>
      </c>
      <c r="I812" t="s">
        <v>44</v>
      </c>
      <c r="J812" t="s">
        <v>32</v>
      </c>
      <c r="K812" t="s">
        <v>32</v>
      </c>
      <c r="L812" t="s">
        <v>32</v>
      </c>
      <c r="M812" t="s">
        <v>36</v>
      </c>
      <c r="N812" t="s">
        <v>37</v>
      </c>
      <c r="O812" t="s">
        <v>66</v>
      </c>
      <c r="P812" t="s">
        <v>66</v>
      </c>
      <c r="Q812" t="s">
        <v>45</v>
      </c>
      <c r="R812" t="s">
        <v>4168</v>
      </c>
      <c r="S812" t="s">
        <v>32</v>
      </c>
      <c r="T812" s="2">
        <v>116.9843</v>
      </c>
      <c r="U812" s="2">
        <v>39.088596</v>
      </c>
    </row>
    <row r="813" spans="1:21">
      <c r="A813" t="s">
        <v>4169</v>
      </c>
      <c r="B813" t="s">
        <v>4170</v>
      </c>
      <c r="C813" t="s">
        <v>4171</v>
      </c>
      <c r="D813" t="s">
        <v>4172</v>
      </c>
      <c r="E813" t="s">
        <v>4173</v>
      </c>
      <c r="F813" t="s">
        <v>7</v>
      </c>
      <c r="G813" t="s">
        <v>7</v>
      </c>
      <c r="H813" t="s">
        <v>50</v>
      </c>
      <c r="I813" t="s">
        <v>140</v>
      </c>
      <c r="J813" t="s">
        <v>4172</v>
      </c>
      <c r="K813" t="s">
        <v>32</v>
      </c>
      <c r="L813" t="s">
        <v>32</v>
      </c>
      <c r="M813" t="s">
        <v>36</v>
      </c>
      <c r="N813" t="s">
        <v>37</v>
      </c>
      <c r="O813" t="s">
        <v>66</v>
      </c>
      <c r="P813" t="s">
        <v>66</v>
      </c>
      <c r="Q813" t="s">
        <v>32</v>
      </c>
      <c r="R813" t="s">
        <v>4174</v>
      </c>
      <c r="S813" t="s">
        <v>32</v>
      </c>
      <c r="T813" s="2">
        <v>117.267081</v>
      </c>
      <c r="U813" s="2">
        <v>39.066892</v>
      </c>
    </row>
    <row r="814" spans="1:21">
      <c r="A814" t="s">
        <v>4175</v>
      </c>
      <c r="B814" t="s">
        <v>40</v>
      </c>
      <c r="C814" t="s">
        <v>4176</v>
      </c>
      <c r="D814" t="s">
        <v>32</v>
      </c>
      <c r="E814" t="s">
        <v>4177</v>
      </c>
      <c r="F814" t="s">
        <v>7</v>
      </c>
      <c r="G814" t="s">
        <v>7</v>
      </c>
      <c r="H814" t="s">
        <v>56</v>
      </c>
      <c r="I814" t="s">
        <v>44</v>
      </c>
      <c r="J814" t="s">
        <v>32</v>
      </c>
      <c r="K814" t="s">
        <v>32</v>
      </c>
      <c r="L814" t="s">
        <v>32</v>
      </c>
      <c r="M814" t="s">
        <v>36</v>
      </c>
      <c r="N814" t="s">
        <v>37</v>
      </c>
      <c r="O814" t="s">
        <v>66</v>
      </c>
      <c r="P814" t="s">
        <v>66</v>
      </c>
      <c r="Q814" t="s">
        <v>45</v>
      </c>
      <c r="R814" t="s">
        <v>4178</v>
      </c>
      <c r="S814" t="s">
        <v>32</v>
      </c>
      <c r="T814" s="2">
        <v>117.095125</v>
      </c>
      <c r="U814" s="2">
        <v>39.27742</v>
      </c>
    </row>
    <row r="815" spans="1:21">
      <c r="A815" t="s">
        <v>4179</v>
      </c>
      <c r="B815" t="s">
        <v>40</v>
      </c>
      <c r="C815" t="s">
        <v>4180</v>
      </c>
      <c r="D815" t="s">
        <v>32</v>
      </c>
      <c r="E815" t="s">
        <v>4181</v>
      </c>
      <c r="F815" t="s">
        <v>7</v>
      </c>
      <c r="G815" t="s">
        <v>7</v>
      </c>
      <c r="H815" t="s">
        <v>56</v>
      </c>
      <c r="I815" t="s">
        <v>44</v>
      </c>
      <c r="J815" t="s">
        <v>32</v>
      </c>
      <c r="K815" t="s">
        <v>32</v>
      </c>
      <c r="L815" t="s">
        <v>32</v>
      </c>
      <c r="M815" t="s">
        <v>36</v>
      </c>
      <c r="N815" t="s">
        <v>37</v>
      </c>
      <c r="O815" t="s">
        <v>66</v>
      </c>
      <c r="P815" t="s">
        <v>66</v>
      </c>
      <c r="Q815" t="s">
        <v>45</v>
      </c>
      <c r="R815" t="s">
        <v>4182</v>
      </c>
      <c r="S815" t="s">
        <v>32</v>
      </c>
      <c r="T815" s="2">
        <v>117.139384</v>
      </c>
      <c r="U815" s="2">
        <v>39.215363</v>
      </c>
    </row>
    <row r="816" spans="1:21">
      <c r="A816" t="s">
        <v>4183</v>
      </c>
      <c r="B816" t="s">
        <v>40</v>
      </c>
      <c r="C816" t="s">
        <v>4184</v>
      </c>
      <c r="D816" t="s">
        <v>32</v>
      </c>
      <c r="E816" t="s">
        <v>4185</v>
      </c>
      <c r="F816" t="s">
        <v>7</v>
      </c>
      <c r="G816" t="s">
        <v>7</v>
      </c>
      <c r="H816" t="s">
        <v>43</v>
      </c>
      <c r="I816" t="s">
        <v>350</v>
      </c>
      <c r="J816" t="s">
        <v>32</v>
      </c>
      <c r="K816" t="s">
        <v>32</v>
      </c>
      <c r="L816" t="s">
        <v>32</v>
      </c>
      <c r="M816" t="s">
        <v>36</v>
      </c>
      <c r="N816" t="s">
        <v>37</v>
      </c>
      <c r="O816" t="s">
        <v>66</v>
      </c>
      <c r="P816" t="s">
        <v>66</v>
      </c>
      <c r="Q816" t="s">
        <v>45</v>
      </c>
      <c r="R816" t="s">
        <v>540</v>
      </c>
      <c r="S816" t="s">
        <v>32</v>
      </c>
      <c r="T816" s="2">
        <v>117.110271</v>
      </c>
      <c r="U816" s="2">
        <v>39.145716</v>
      </c>
    </row>
    <row r="817" spans="1:21">
      <c r="A817" t="s">
        <v>4186</v>
      </c>
      <c r="B817" t="s">
        <v>40</v>
      </c>
      <c r="C817" t="s">
        <v>4187</v>
      </c>
      <c r="D817" t="s">
        <v>32</v>
      </c>
      <c r="E817" t="s">
        <v>4188</v>
      </c>
      <c r="F817" t="s">
        <v>7</v>
      </c>
      <c r="G817" t="s">
        <v>7</v>
      </c>
      <c r="H817" t="s">
        <v>34</v>
      </c>
      <c r="I817" t="s">
        <v>44</v>
      </c>
      <c r="J817" t="s">
        <v>32</v>
      </c>
      <c r="K817" t="s">
        <v>32</v>
      </c>
      <c r="L817" t="s">
        <v>32</v>
      </c>
      <c r="M817" t="s">
        <v>36</v>
      </c>
      <c r="N817" t="s">
        <v>37</v>
      </c>
      <c r="O817" t="s">
        <v>66</v>
      </c>
      <c r="P817" t="s">
        <v>66</v>
      </c>
      <c r="Q817" t="s">
        <v>45</v>
      </c>
      <c r="R817" t="s">
        <v>4034</v>
      </c>
      <c r="S817" t="s">
        <v>32</v>
      </c>
      <c r="T817" s="2">
        <v>117.175021</v>
      </c>
      <c r="U817" s="2">
        <v>39.130003</v>
      </c>
    </row>
    <row r="818" spans="1:21">
      <c r="A818" t="s">
        <v>4189</v>
      </c>
      <c r="B818" t="s">
        <v>374</v>
      </c>
      <c r="C818" t="s">
        <v>4190</v>
      </c>
      <c r="D818" t="s">
        <v>32</v>
      </c>
      <c r="E818" t="s">
        <v>4191</v>
      </c>
      <c r="F818" t="s">
        <v>7</v>
      </c>
      <c r="G818" t="s">
        <v>7</v>
      </c>
      <c r="H818" t="s">
        <v>34</v>
      </c>
      <c r="I818" t="s">
        <v>4093</v>
      </c>
      <c r="J818" t="s">
        <v>32</v>
      </c>
      <c r="K818" t="s">
        <v>32</v>
      </c>
      <c r="L818" t="s">
        <v>32</v>
      </c>
      <c r="M818" t="s">
        <v>36</v>
      </c>
      <c r="N818" t="s">
        <v>37</v>
      </c>
      <c r="O818" t="s">
        <v>66</v>
      </c>
      <c r="P818" t="s">
        <v>66</v>
      </c>
      <c r="Q818" t="s">
        <v>32</v>
      </c>
      <c r="R818" t="s">
        <v>4192</v>
      </c>
      <c r="S818" t="s">
        <v>32</v>
      </c>
      <c r="T818" s="2">
        <v>117.176587</v>
      </c>
      <c r="U818" s="2">
        <v>39.124782</v>
      </c>
    </row>
    <row r="819" spans="1:21">
      <c r="A819" t="s">
        <v>4193</v>
      </c>
      <c r="B819" t="s">
        <v>40</v>
      </c>
      <c r="C819" t="s">
        <v>4194</v>
      </c>
      <c r="D819" t="s">
        <v>32</v>
      </c>
      <c r="E819" t="s">
        <v>4195</v>
      </c>
      <c r="F819" t="s">
        <v>7</v>
      </c>
      <c r="G819" t="s">
        <v>7</v>
      </c>
      <c r="H819" t="s">
        <v>262</v>
      </c>
      <c r="I819" t="s">
        <v>44</v>
      </c>
      <c r="J819" t="s">
        <v>32</v>
      </c>
      <c r="K819" t="s">
        <v>32</v>
      </c>
      <c r="L819" t="s">
        <v>32</v>
      </c>
      <c r="M819" t="s">
        <v>36</v>
      </c>
      <c r="N819" t="s">
        <v>37</v>
      </c>
      <c r="O819" t="s">
        <v>66</v>
      </c>
      <c r="P819" t="s">
        <v>66</v>
      </c>
      <c r="Q819" t="s">
        <v>45</v>
      </c>
      <c r="R819" t="s">
        <v>2848</v>
      </c>
      <c r="S819" t="s">
        <v>32</v>
      </c>
      <c r="T819" s="2">
        <v>117.201491</v>
      </c>
      <c r="U819" s="2">
        <v>39.162799</v>
      </c>
    </row>
    <row r="820" spans="1:21">
      <c r="A820" t="s">
        <v>4196</v>
      </c>
      <c r="B820" t="s">
        <v>40</v>
      </c>
      <c r="C820" t="s">
        <v>4197</v>
      </c>
      <c r="D820" t="s">
        <v>32</v>
      </c>
      <c r="E820" t="s">
        <v>4198</v>
      </c>
      <c r="F820" t="s">
        <v>7</v>
      </c>
      <c r="G820" t="s">
        <v>7</v>
      </c>
      <c r="H820" t="s">
        <v>56</v>
      </c>
      <c r="I820" t="s">
        <v>44</v>
      </c>
      <c r="J820" t="s">
        <v>32</v>
      </c>
      <c r="K820" t="s">
        <v>32</v>
      </c>
      <c r="L820" t="s">
        <v>32</v>
      </c>
      <c r="M820" t="s">
        <v>36</v>
      </c>
      <c r="N820" t="s">
        <v>37</v>
      </c>
      <c r="O820" t="s">
        <v>66</v>
      </c>
      <c r="P820" t="s">
        <v>66</v>
      </c>
      <c r="Q820" t="s">
        <v>45</v>
      </c>
      <c r="R820" t="s">
        <v>4199</v>
      </c>
      <c r="S820" t="s">
        <v>32</v>
      </c>
      <c r="T820" s="2">
        <v>117.148087</v>
      </c>
      <c r="U820" s="2">
        <v>39.20647</v>
      </c>
    </row>
    <row r="821" spans="1:21">
      <c r="A821" t="s">
        <v>4200</v>
      </c>
      <c r="B821" t="s">
        <v>40</v>
      </c>
      <c r="C821" t="s">
        <v>4201</v>
      </c>
      <c r="D821" t="s">
        <v>32</v>
      </c>
      <c r="E821" t="s">
        <v>4202</v>
      </c>
      <c r="F821" t="s">
        <v>7</v>
      </c>
      <c r="G821" t="s">
        <v>7</v>
      </c>
      <c r="H821" t="s">
        <v>34</v>
      </c>
      <c r="I821" t="s">
        <v>44</v>
      </c>
      <c r="J821" t="s">
        <v>32</v>
      </c>
      <c r="K821" t="s">
        <v>32</v>
      </c>
      <c r="L821" t="s">
        <v>32</v>
      </c>
      <c r="M821" t="s">
        <v>36</v>
      </c>
      <c r="N821" t="s">
        <v>37</v>
      </c>
      <c r="O821" t="s">
        <v>66</v>
      </c>
      <c r="P821" t="s">
        <v>66</v>
      </c>
      <c r="Q821" t="s">
        <v>45</v>
      </c>
      <c r="R821" t="s">
        <v>4203</v>
      </c>
      <c r="S821" t="s">
        <v>32</v>
      </c>
      <c r="T821" s="2">
        <v>117.192759</v>
      </c>
      <c r="U821" s="2">
        <v>39.143704</v>
      </c>
    </row>
    <row r="822" spans="1:21">
      <c r="A822" t="s">
        <v>4204</v>
      </c>
      <c r="B822" t="s">
        <v>40</v>
      </c>
      <c r="C822" t="s">
        <v>4205</v>
      </c>
      <c r="D822" t="s">
        <v>32</v>
      </c>
      <c r="E822" t="s">
        <v>4206</v>
      </c>
      <c r="F822" t="s">
        <v>7</v>
      </c>
      <c r="G822" t="s">
        <v>7</v>
      </c>
      <c r="H822" t="s">
        <v>105</v>
      </c>
      <c r="I822" t="s">
        <v>44</v>
      </c>
      <c r="J822" t="s">
        <v>32</v>
      </c>
      <c r="K822" t="s">
        <v>32</v>
      </c>
      <c r="L822" t="s">
        <v>32</v>
      </c>
      <c r="M822" t="s">
        <v>36</v>
      </c>
      <c r="N822" t="s">
        <v>37</v>
      </c>
      <c r="O822" t="s">
        <v>66</v>
      </c>
      <c r="P822" t="s">
        <v>66</v>
      </c>
      <c r="Q822" t="s">
        <v>45</v>
      </c>
      <c r="R822" t="s">
        <v>4207</v>
      </c>
      <c r="S822" t="s">
        <v>32</v>
      </c>
      <c r="T822" s="2">
        <v>117.242947</v>
      </c>
      <c r="U822" s="2">
        <v>39.144794</v>
      </c>
    </row>
    <row r="823" spans="1:21">
      <c r="A823" t="s">
        <v>4208</v>
      </c>
      <c r="B823" t="s">
        <v>40</v>
      </c>
      <c r="C823" t="s">
        <v>4209</v>
      </c>
      <c r="D823" t="s">
        <v>32</v>
      </c>
      <c r="E823" t="s">
        <v>4210</v>
      </c>
      <c r="F823" t="s">
        <v>7</v>
      </c>
      <c r="G823" t="s">
        <v>7</v>
      </c>
      <c r="H823" t="s">
        <v>34</v>
      </c>
      <c r="I823" t="s">
        <v>44</v>
      </c>
      <c r="J823" t="s">
        <v>32</v>
      </c>
      <c r="K823" t="s">
        <v>32</v>
      </c>
      <c r="L823" t="s">
        <v>32</v>
      </c>
      <c r="M823" t="s">
        <v>36</v>
      </c>
      <c r="N823" t="s">
        <v>37</v>
      </c>
      <c r="O823" t="s">
        <v>66</v>
      </c>
      <c r="P823" t="s">
        <v>66</v>
      </c>
      <c r="Q823" t="s">
        <v>74</v>
      </c>
      <c r="R823" t="s">
        <v>4211</v>
      </c>
      <c r="S823" t="s">
        <v>32</v>
      </c>
      <c r="T823" s="2">
        <v>117.144503</v>
      </c>
      <c r="U823" s="2">
        <v>39.139152</v>
      </c>
    </row>
    <row r="824" spans="1:21">
      <c r="A824" t="s">
        <v>4212</v>
      </c>
      <c r="B824" t="s">
        <v>374</v>
      </c>
      <c r="C824" t="s">
        <v>4213</v>
      </c>
      <c r="D824" t="s">
        <v>32</v>
      </c>
      <c r="E824" t="s">
        <v>4214</v>
      </c>
      <c r="F824" t="s">
        <v>7</v>
      </c>
      <c r="G824" t="s">
        <v>7</v>
      </c>
      <c r="H824" t="s">
        <v>56</v>
      </c>
      <c r="I824" t="s">
        <v>44</v>
      </c>
      <c r="J824" t="s">
        <v>32</v>
      </c>
      <c r="K824" t="s">
        <v>32</v>
      </c>
      <c r="L824" t="s">
        <v>32</v>
      </c>
      <c r="M824" t="s">
        <v>36</v>
      </c>
      <c r="N824" t="s">
        <v>37</v>
      </c>
      <c r="O824" t="s">
        <v>66</v>
      </c>
      <c r="P824" t="s">
        <v>66</v>
      </c>
      <c r="Q824" t="s">
        <v>45</v>
      </c>
      <c r="R824" t="s">
        <v>4215</v>
      </c>
      <c r="S824" t="s">
        <v>32</v>
      </c>
      <c r="T824" s="2">
        <v>117.223178</v>
      </c>
      <c r="U824" s="2">
        <v>39.255652</v>
      </c>
    </row>
    <row r="825" spans="1:21">
      <c r="A825" t="s">
        <v>4216</v>
      </c>
      <c r="B825" t="s">
        <v>40</v>
      </c>
      <c r="C825" t="s">
        <v>4217</v>
      </c>
      <c r="D825" t="s">
        <v>32</v>
      </c>
      <c r="E825" t="s">
        <v>4218</v>
      </c>
      <c r="F825" t="s">
        <v>7</v>
      </c>
      <c r="G825" t="s">
        <v>7</v>
      </c>
      <c r="H825" t="s">
        <v>133</v>
      </c>
      <c r="I825" t="s">
        <v>44</v>
      </c>
      <c r="J825" t="s">
        <v>32</v>
      </c>
      <c r="K825" t="s">
        <v>32</v>
      </c>
      <c r="L825" t="s">
        <v>32</v>
      </c>
      <c r="M825" t="s">
        <v>36</v>
      </c>
      <c r="N825" t="s">
        <v>37</v>
      </c>
      <c r="O825" t="s">
        <v>66</v>
      </c>
      <c r="P825" t="s">
        <v>66</v>
      </c>
      <c r="Q825" t="s">
        <v>45</v>
      </c>
      <c r="R825" t="s">
        <v>4219</v>
      </c>
      <c r="S825" t="s">
        <v>32</v>
      </c>
      <c r="T825" s="2">
        <v>117.154854</v>
      </c>
      <c r="U825" s="2">
        <v>39.183014</v>
      </c>
    </row>
    <row r="826" spans="1:21">
      <c r="A826" t="s">
        <v>4220</v>
      </c>
      <c r="B826" t="s">
        <v>40</v>
      </c>
      <c r="C826" t="s">
        <v>4221</v>
      </c>
      <c r="D826" t="s">
        <v>32</v>
      </c>
      <c r="E826" t="s">
        <v>4222</v>
      </c>
      <c r="F826" t="s">
        <v>7</v>
      </c>
      <c r="G826" t="s">
        <v>7</v>
      </c>
      <c r="H826" t="s">
        <v>262</v>
      </c>
      <c r="I826" t="s">
        <v>44</v>
      </c>
      <c r="J826" t="s">
        <v>32</v>
      </c>
      <c r="K826" t="s">
        <v>32</v>
      </c>
      <c r="L826" t="s">
        <v>32</v>
      </c>
      <c r="M826" t="s">
        <v>36</v>
      </c>
      <c r="N826" t="s">
        <v>37</v>
      </c>
      <c r="O826" t="s">
        <v>66</v>
      </c>
      <c r="P826" t="s">
        <v>66</v>
      </c>
      <c r="Q826" t="s">
        <v>45</v>
      </c>
      <c r="R826" t="s">
        <v>4223</v>
      </c>
      <c r="S826" t="s">
        <v>32</v>
      </c>
      <c r="T826" s="2">
        <v>117.202674</v>
      </c>
      <c r="U826" s="2">
        <v>39.148106</v>
      </c>
    </row>
    <row r="827" spans="1:21">
      <c r="A827" t="s">
        <v>4224</v>
      </c>
      <c r="B827" t="s">
        <v>40</v>
      </c>
      <c r="C827" t="s">
        <v>4225</v>
      </c>
      <c r="D827" t="s">
        <v>32</v>
      </c>
      <c r="E827" t="s">
        <v>4226</v>
      </c>
      <c r="F827" t="s">
        <v>7</v>
      </c>
      <c r="G827" t="s">
        <v>7</v>
      </c>
      <c r="H827" t="s">
        <v>34</v>
      </c>
      <c r="I827" t="s">
        <v>106</v>
      </c>
      <c r="J827" t="s">
        <v>32</v>
      </c>
      <c r="K827" t="s">
        <v>32</v>
      </c>
      <c r="L827" t="s">
        <v>32</v>
      </c>
      <c r="M827" t="s">
        <v>36</v>
      </c>
      <c r="N827" t="s">
        <v>37</v>
      </c>
      <c r="O827" t="s">
        <v>66</v>
      </c>
      <c r="P827" t="s">
        <v>66</v>
      </c>
      <c r="Q827" t="s">
        <v>32</v>
      </c>
      <c r="R827" t="s">
        <v>4227</v>
      </c>
      <c r="S827" t="s">
        <v>32</v>
      </c>
      <c r="T827" s="2">
        <v>117.164282</v>
      </c>
      <c r="U827" s="2">
        <v>39.133927</v>
      </c>
    </row>
    <row r="828" spans="1:21">
      <c r="A828" t="s">
        <v>4228</v>
      </c>
      <c r="B828" t="s">
        <v>40</v>
      </c>
      <c r="C828" t="s">
        <v>3034</v>
      </c>
      <c r="D828" t="s">
        <v>32</v>
      </c>
      <c r="E828" t="s">
        <v>4229</v>
      </c>
      <c r="F828" t="s">
        <v>7</v>
      </c>
      <c r="G828" t="s">
        <v>7</v>
      </c>
      <c r="H828" t="s">
        <v>133</v>
      </c>
      <c r="I828" t="s">
        <v>4093</v>
      </c>
      <c r="J828" t="s">
        <v>32</v>
      </c>
      <c r="K828" t="s">
        <v>32</v>
      </c>
      <c r="L828" t="s">
        <v>32</v>
      </c>
      <c r="M828" t="s">
        <v>36</v>
      </c>
      <c r="N828" t="s">
        <v>37</v>
      </c>
      <c r="O828" t="s">
        <v>66</v>
      </c>
      <c r="P828" t="s">
        <v>66</v>
      </c>
      <c r="Q828" t="s">
        <v>32</v>
      </c>
      <c r="R828" t="s">
        <v>4230</v>
      </c>
      <c r="S828" t="s">
        <v>32</v>
      </c>
      <c r="T828" s="2">
        <v>117.144584</v>
      </c>
      <c r="U828" s="2">
        <v>39.153162</v>
      </c>
    </row>
    <row r="829" spans="1:21">
      <c r="A829" t="s">
        <v>4231</v>
      </c>
      <c r="B829" t="s">
        <v>40</v>
      </c>
      <c r="C829" t="s">
        <v>4112</v>
      </c>
      <c r="D829" t="s">
        <v>32</v>
      </c>
      <c r="E829" t="s">
        <v>4232</v>
      </c>
      <c r="F829" t="s">
        <v>7</v>
      </c>
      <c r="G829" t="s">
        <v>7</v>
      </c>
      <c r="H829" t="s">
        <v>262</v>
      </c>
      <c r="I829" t="s">
        <v>94</v>
      </c>
      <c r="J829" t="s">
        <v>32</v>
      </c>
      <c r="K829" t="s">
        <v>32</v>
      </c>
      <c r="L829" t="s">
        <v>32</v>
      </c>
      <c r="M829" t="s">
        <v>36</v>
      </c>
      <c r="N829" t="s">
        <v>37</v>
      </c>
      <c r="O829" t="s">
        <v>66</v>
      </c>
      <c r="P829" t="s">
        <v>66</v>
      </c>
      <c r="Q829" t="s">
        <v>45</v>
      </c>
      <c r="R829" t="s">
        <v>4233</v>
      </c>
      <c r="S829" t="s">
        <v>32</v>
      </c>
      <c r="T829" s="2">
        <v>117.200313</v>
      </c>
      <c r="U829" s="2">
        <v>39.139235</v>
      </c>
    </row>
    <row r="830" spans="1:21">
      <c r="A830" t="s">
        <v>4234</v>
      </c>
      <c r="B830" t="s">
        <v>40</v>
      </c>
      <c r="C830" t="s">
        <v>4235</v>
      </c>
      <c r="D830" t="s">
        <v>32</v>
      </c>
      <c r="E830" t="s">
        <v>4236</v>
      </c>
      <c r="F830" t="s">
        <v>7</v>
      </c>
      <c r="G830" t="s">
        <v>7</v>
      </c>
      <c r="H830" t="s">
        <v>34</v>
      </c>
      <c r="I830" t="s">
        <v>106</v>
      </c>
      <c r="J830" t="s">
        <v>32</v>
      </c>
      <c r="K830" t="s">
        <v>32</v>
      </c>
      <c r="L830" t="s">
        <v>32</v>
      </c>
      <c r="M830" t="s">
        <v>36</v>
      </c>
      <c r="N830" t="s">
        <v>37</v>
      </c>
      <c r="O830" t="s">
        <v>66</v>
      </c>
      <c r="P830" t="s">
        <v>66</v>
      </c>
      <c r="Q830" t="s">
        <v>32</v>
      </c>
      <c r="R830" t="s">
        <v>4098</v>
      </c>
      <c r="S830" t="s">
        <v>32</v>
      </c>
      <c r="T830" s="2">
        <v>117.155014</v>
      </c>
      <c r="U830" s="2">
        <v>39.127133</v>
      </c>
    </row>
    <row r="831" spans="1:21">
      <c r="A831" t="s">
        <v>4237</v>
      </c>
      <c r="B831" t="s">
        <v>374</v>
      </c>
      <c r="C831" t="s">
        <v>4238</v>
      </c>
      <c r="D831" t="s">
        <v>32</v>
      </c>
      <c r="E831" t="s">
        <v>4239</v>
      </c>
      <c r="F831" t="s">
        <v>7</v>
      </c>
      <c r="G831" t="s">
        <v>7</v>
      </c>
      <c r="H831" t="s">
        <v>56</v>
      </c>
      <c r="I831" t="s">
        <v>44</v>
      </c>
      <c r="J831" t="s">
        <v>32</v>
      </c>
      <c r="K831" t="s">
        <v>32</v>
      </c>
      <c r="L831" t="s">
        <v>32</v>
      </c>
      <c r="M831" t="s">
        <v>36</v>
      </c>
      <c r="N831" t="s">
        <v>37</v>
      </c>
      <c r="O831" t="s">
        <v>66</v>
      </c>
      <c r="P831" t="s">
        <v>66</v>
      </c>
      <c r="Q831" t="s">
        <v>45</v>
      </c>
      <c r="R831" t="s">
        <v>4240</v>
      </c>
      <c r="S831" t="s">
        <v>32</v>
      </c>
      <c r="T831" s="2">
        <v>117.124249</v>
      </c>
      <c r="U831" s="2">
        <v>39.220583</v>
      </c>
    </row>
    <row r="832" spans="1:21">
      <c r="A832" t="s">
        <v>4241</v>
      </c>
      <c r="B832" t="s">
        <v>40</v>
      </c>
      <c r="C832" t="s">
        <v>4242</v>
      </c>
      <c r="D832" t="s">
        <v>32</v>
      </c>
      <c r="E832" t="s">
        <v>4243</v>
      </c>
      <c r="F832" t="s">
        <v>7</v>
      </c>
      <c r="G832" t="s">
        <v>7</v>
      </c>
      <c r="H832" t="s">
        <v>34</v>
      </c>
      <c r="I832" t="s">
        <v>44</v>
      </c>
      <c r="J832" t="s">
        <v>32</v>
      </c>
      <c r="K832" t="s">
        <v>32</v>
      </c>
      <c r="L832" t="s">
        <v>32</v>
      </c>
      <c r="M832" t="s">
        <v>36</v>
      </c>
      <c r="N832" t="s">
        <v>37</v>
      </c>
      <c r="O832" t="s">
        <v>66</v>
      </c>
      <c r="P832" t="s">
        <v>66</v>
      </c>
      <c r="Q832" t="s">
        <v>45</v>
      </c>
      <c r="R832" t="s">
        <v>4244</v>
      </c>
      <c r="S832" t="s">
        <v>32</v>
      </c>
      <c r="T832" s="2">
        <v>117.178401</v>
      </c>
      <c r="U832" s="2">
        <v>39.146134</v>
      </c>
    </row>
    <row r="833" spans="1:21">
      <c r="A833" t="s">
        <v>4245</v>
      </c>
      <c r="B833" t="s">
        <v>374</v>
      </c>
      <c r="C833" t="s">
        <v>3874</v>
      </c>
      <c r="D833" t="s">
        <v>32</v>
      </c>
      <c r="E833" t="s">
        <v>4246</v>
      </c>
      <c r="F833" t="s">
        <v>7</v>
      </c>
      <c r="G833" t="s">
        <v>7</v>
      </c>
      <c r="H833" t="s">
        <v>56</v>
      </c>
      <c r="I833" t="s">
        <v>4093</v>
      </c>
      <c r="J833" t="s">
        <v>32</v>
      </c>
      <c r="K833" t="s">
        <v>32</v>
      </c>
      <c r="L833" t="s">
        <v>32</v>
      </c>
      <c r="M833" t="s">
        <v>36</v>
      </c>
      <c r="N833" t="s">
        <v>37</v>
      </c>
      <c r="O833" t="s">
        <v>66</v>
      </c>
      <c r="P833" t="s">
        <v>66</v>
      </c>
      <c r="Q833" t="s">
        <v>32</v>
      </c>
      <c r="R833" t="s">
        <v>2848</v>
      </c>
      <c r="S833" t="s">
        <v>32</v>
      </c>
      <c r="T833" s="2">
        <v>117.166789</v>
      </c>
      <c r="U833" s="2">
        <v>39.190563</v>
      </c>
    </row>
    <row r="834" spans="1:21">
      <c r="A834" t="s">
        <v>4247</v>
      </c>
      <c r="B834" t="s">
        <v>4248</v>
      </c>
      <c r="C834" t="s">
        <v>860</v>
      </c>
      <c r="D834" t="s">
        <v>4249</v>
      </c>
      <c r="E834" t="s">
        <v>4250</v>
      </c>
      <c r="F834" t="s">
        <v>7</v>
      </c>
      <c r="G834" t="s">
        <v>7</v>
      </c>
      <c r="H834" t="s">
        <v>133</v>
      </c>
      <c r="I834" t="s">
        <v>106</v>
      </c>
      <c r="J834" t="s">
        <v>4249</v>
      </c>
      <c r="K834" t="s">
        <v>32</v>
      </c>
      <c r="L834" t="s">
        <v>32</v>
      </c>
      <c r="M834" t="s">
        <v>36</v>
      </c>
      <c r="N834" t="s">
        <v>37</v>
      </c>
      <c r="O834" t="s">
        <v>66</v>
      </c>
      <c r="P834" t="s">
        <v>66</v>
      </c>
      <c r="Q834" t="s">
        <v>32</v>
      </c>
      <c r="R834" t="s">
        <v>4251</v>
      </c>
      <c r="S834" t="s">
        <v>32</v>
      </c>
      <c r="T834" s="2">
        <v>117.140745</v>
      </c>
      <c r="U834" s="2">
        <v>39.151468</v>
      </c>
    </row>
    <row r="835" spans="1:21">
      <c r="A835" t="s">
        <v>4252</v>
      </c>
      <c r="B835" t="s">
        <v>374</v>
      </c>
      <c r="C835" t="s">
        <v>4253</v>
      </c>
      <c r="D835" t="s">
        <v>32</v>
      </c>
      <c r="E835" t="s">
        <v>4254</v>
      </c>
      <c r="F835" t="s">
        <v>7</v>
      </c>
      <c r="G835" t="s">
        <v>7</v>
      </c>
      <c r="H835" t="s">
        <v>56</v>
      </c>
      <c r="I835" t="s">
        <v>100</v>
      </c>
      <c r="J835" t="s">
        <v>32</v>
      </c>
      <c r="K835" t="s">
        <v>32</v>
      </c>
      <c r="L835" t="s">
        <v>32</v>
      </c>
      <c r="M835" t="s">
        <v>36</v>
      </c>
      <c r="N835" t="s">
        <v>37</v>
      </c>
      <c r="O835" t="s">
        <v>66</v>
      </c>
      <c r="P835" t="s">
        <v>66</v>
      </c>
      <c r="Q835" t="s">
        <v>45</v>
      </c>
      <c r="R835" t="s">
        <v>4255</v>
      </c>
      <c r="S835" t="s">
        <v>32</v>
      </c>
      <c r="T835" s="2">
        <v>117.00022</v>
      </c>
      <c r="U835" s="2">
        <v>39.19526</v>
      </c>
    </row>
    <row r="836" spans="1:21">
      <c r="A836" t="s">
        <v>4256</v>
      </c>
      <c r="B836" t="s">
        <v>374</v>
      </c>
      <c r="C836" t="s">
        <v>4257</v>
      </c>
      <c r="D836" t="s">
        <v>32</v>
      </c>
      <c r="E836" t="s">
        <v>4258</v>
      </c>
      <c r="F836" t="s">
        <v>7</v>
      </c>
      <c r="G836" t="s">
        <v>7</v>
      </c>
      <c r="H836" t="s">
        <v>56</v>
      </c>
      <c r="I836" t="s">
        <v>44</v>
      </c>
      <c r="J836" t="s">
        <v>32</v>
      </c>
      <c r="K836" t="s">
        <v>32</v>
      </c>
      <c r="L836" t="s">
        <v>32</v>
      </c>
      <c r="M836" t="s">
        <v>36</v>
      </c>
      <c r="N836" t="s">
        <v>37</v>
      </c>
      <c r="O836" t="s">
        <v>66</v>
      </c>
      <c r="P836" t="s">
        <v>66</v>
      </c>
      <c r="Q836" t="s">
        <v>45</v>
      </c>
      <c r="R836" t="s">
        <v>4259</v>
      </c>
      <c r="S836" t="s">
        <v>32</v>
      </c>
      <c r="T836" s="2">
        <v>117.128298</v>
      </c>
      <c r="U836" s="2">
        <v>39.222163</v>
      </c>
    </row>
    <row r="837" spans="1:21">
      <c r="A837" t="s">
        <v>4260</v>
      </c>
      <c r="B837" t="s">
        <v>40</v>
      </c>
      <c r="C837" t="s">
        <v>4261</v>
      </c>
      <c r="D837" t="s">
        <v>32</v>
      </c>
      <c r="E837" t="s">
        <v>4262</v>
      </c>
      <c r="F837" t="s">
        <v>7</v>
      </c>
      <c r="G837" t="s">
        <v>7</v>
      </c>
      <c r="H837" t="s">
        <v>34</v>
      </c>
      <c r="I837" t="s">
        <v>44</v>
      </c>
      <c r="J837" t="s">
        <v>32</v>
      </c>
      <c r="K837" t="s">
        <v>32</v>
      </c>
      <c r="L837" t="s">
        <v>32</v>
      </c>
      <c r="M837" t="s">
        <v>36</v>
      </c>
      <c r="N837" t="s">
        <v>37</v>
      </c>
      <c r="O837" t="s">
        <v>66</v>
      </c>
      <c r="P837" t="s">
        <v>66</v>
      </c>
      <c r="Q837" t="s">
        <v>45</v>
      </c>
      <c r="R837" t="s">
        <v>4263</v>
      </c>
      <c r="S837" t="s">
        <v>32</v>
      </c>
      <c r="T837" s="2">
        <v>117.131865</v>
      </c>
      <c r="U837" s="2">
        <v>39.122494</v>
      </c>
    </row>
    <row r="838" spans="1:21">
      <c r="A838" t="s">
        <v>4264</v>
      </c>
      <c r="B838" t="s">
        <v>40</v>
      </c>
      <c r="C838" t="s">
        <v>4265</v>
      </c>
      <c r="D838" t="s">
        <v>32</v>
      </c>
      <c r="E838" t="s">
        <v>4266</v>
      </c>
      <c r="F838" t="s">
        <v>7</v>
      </c>
      <c r="G838" t="s">
        <v>7</v>
      </c>
      <c r="H838" t="s">
        <v>133</v>
      </c>
      <c r="I838" t="s">
        <v>44</v>
      </c>
      <c r="J838" t="s">
        <v>32</v>
      </c>
      <c r="K838" t="s">
        <v>32</v>
      </c>
      <c r="L838" t="s">
        <v>32</v>
      </c>
      <c r="M838" t="s">
        <v>36</v>
      </c>
      <c r="N838" t="s">
        <v>37</v>
      </c>
      <c r="O838" t="s">
        <v>66</v>
      </c>
      <c r="P838" t="s">
        <v>66</v>
      </c>
      <c r="Q838" t="s">
        <v>45</v>
      </c>
      <c r="R838" t="s">
        <v>4267</v>
      </c>
      <c r="S838" t="s">
        <v>32</v>
      </c>
      <c r="T838" s="2">
        <v>117.147234</v>
      </c>
      <c r="U838" s="2">
        <v>39.152591</v>
      </c>
    </row>
    <row r="839" spans="1:21">
      <c r="A839" t="s">
        <v>4268</v>
      </c>
      <c r="B839" t="s">
        <v>4269</v>
      </c>
      <c r="C839" t="s">
        <v>4270</v>
      </c>
      <c r="D839" t="s">
        <v>32</v>
      </c>
      <c r="E839" t="s">
        <v>4271</v>
      </c>
      <c r="F839" t="s">
        <v>7</v>
      </c>
      <c r="G839" t="s">
        <v>7</v>
      </c>
      <c r="H839" t="s">
        <v>56</v>
      </c>
      <c r="I839" t="s">
        <v>140</v>
      </c>
      <c r="J839" t="s">
        <v>32</v>
      </c>
      <c r="K839" t="s">
        <v>32</v>
      </c>
      <c r="L839" t="s">
        <v>32</v>
      </c>
      <c r="M839" t="s">
        <v>36</v>
      </c>
      <c r="N839" t="s">
        <v>37</v>
      </c>
      <c r="O839" t="s">
        <v>66</v>
      </c>
      <c r="P839" t="s">
        <v>66</v>
      </c>
      <c r="Q839" t="s">
        <v>32</v>
      </c>
      <c r="R839" t="s">
        <v>4272</v>
      </c>
      <c r="S839" t="s">
        <v>32</v>
      </c>
      <c r="T839" s="2">
        <v>117.183521</v>
      </c>
      <c r="U839" s="2">
        <v>39.206088</v>
      </c>
    </row>
    <row r="840" spans="1:21">
      <c r="A840" t="s">
        <v>4273</v>
      </c>
      <c r="B840" t="s">
        <v>40</v>
      </c>
      <c r="C840" t="s">
        <v>4274</v>
      </c>
      <c r="D840" t="s">
        <v>4275</v>
      </c>
      <c r="E840" t="s">
        <v>4276</v>
      </c>
      <c r="F840" t="s">
        <v>7</v>
      </c>
      <c r="G840" t="s">
        <v>7</v>
      </c>
      <c r="H840" t="s">
        <v>50</v>
      </c>
      <c r="I840" t="s">
        <v>4277</v>
      </c>
      <c r="J840" t="s">
        <v>4275</v>
      </c>
      <c r="K840" t="s">
        <v>32</v>
      </c>
      <c r="L840" t="s">
        <v>32</v>
      </c>
      <c r="M840" t="s">
        <v>36</v>
      </c>
      <c r="N840" t="s">
        <v>37</v>
      </c>
      <c r="O840" t="s">
        <v>66</v>
      </c>
      <c r="P840" t="s">
        <v>66</v>
      </c>
      <c r="Q840" t="s">
        <v>32</v>
      </c>
      <c r="R840" t="s">
        <v>4278</v>
      </c>
      <c r="S840" t="s">
        <v>32</v>
      </c>
      <c r="T840" s="2">
        <v>117.252305</v>
      </c>
      <c r="U840" s="2">
        <v>39.061073</v>
      </c>
    </row>
    <row r="841" spans="1:21">
      <c r="A841" t="s">
        <v>4279</v>
      </c>
      <c r="B841" t="s">
        <v>4280</v>
      </c>
      <c r="C841" t="s">
        <v>4281</v>
      </c>
      <c r="D841" t="s">
        <v>4282</v>
      </c>
      <c r="E841" t="s">
        <v>4283</v>
      </c>
      <c r="F841" t="s">
        <v>7</v>
      </c>
      <c r="G841" t="s">
        <v>7</v>
      </c>
      <c r="H841" t="s">
        <v>43</v>
      </c>
      <c r="I841" t="s">
        <v>140</v>
      </c>
      <c r="J841" t="s">
        <v>4282</v>
      </c>
      <c r="K841" t="s">
        <v>32</v>
      </c>
      <c r="L841" t="s">
        <v>32</v>
      </c>
      <c r="M841" t="s">
        <v>36</v>
      </c>
      <c r="N841" t="s">
        <v>37</v>
      </c>
      <c r="O841" t="s">
        <v>66</v>
      </c>
      <c r="P841" t="s">
        <v>66</v>
      </c>
      <c r="Q841" t="s">
        <v>32</v>
      </c>
      <c r="R841" t="s">
        <v>4284</v>
      </c>
      <c r="S841" t="s">
        <v>32</v>
      </c>
      <c r="T841" s="2">
        <v>117.009503</v>
      </c>
      <c r="U841" s="2">
        <v>39.108868</v>
      </c>
    </row>
    <row r="842" spans="1:21">
      <c r="A842" t="s">
        <v>4285</v>
      </c>
      <c r="B842" t="s">
        <v>40</v>
      </c>
      <c r="C842" t="s">
        <v>4286</v>
      </c>
      <c r="D842" t="s">
        <v>32</v>
      </c>
      <c r="E842" t="s">
        <v>4287</v>
      </c>
      <c r="F842" t="s">
        <v>7</v>
      </c>
      <c r="G842" t="s">
        <v>7</v>
      </c>
      <c r="H842" t="s">
        <v>43</v>
      </c>
      <c r="I842" t="s">
        <v>44</v>
      </c>
      <c r="J842" t="s">
        <v>32</v>
      </c>
      <c r="K842" t="s">
        <v>32</v>
      </c>
      <c r="L842" t="s">
        <v>32</v>
      </c>
      <c r="M842" t="s">
        <v>36</v>
      </c>
      <c r="N842" t="s">
        <v>37</v>
      </c>
      <c r="O842" t="s">
        <v>66</v>
      </c>
      <c r="P842" t="s">
        <v>66</v>
      </c>
      <c r="Q842" t="s">
        <v>45</v>
      </c>
      <c r="R842" t="s">
        <v>2937</v>
      </c>
      <c r="S842" t="s">
        <v>32</v>
      </c>
      <c r="T842" s="2">
        <v>117.124558</v>
      </c>
      <c r="U842" s="2">
        <v>39.1607</v>
      </c>
    </row>
    <row r="843" spans="1:21">
      <c r="A843" t="s">
        <v>4288</v>
      </c>
      <c r="B843" t="s">
        <v>40</v>
      </c>
      <c r="C843" t="s">
        <v>4289</v>
      </c>
      <c r="D843" t="s">
        <v>32</v>
      </c>
      <c r="E843" t="s">
        <v>4290</v>
      </c>
      <c r="F843" t="s">
        <v>7</v>
      </c>
      <c r="G843" t="s">
        <v>7</v>
      </c>
      <c r="H843" t="s">
        <v>34</v>
      </c>
      <c r="I843" t="s">
        <v>44</v>
      </c>
      <c r="J843" t="s">
        <v>32</v>
      </c>
      <c r="K843" t="s">
        <v>32</v>
      </c>
      <c r="L843" t="s">
        <v>32</v>
      </c>
      <c r="M843" t="s">
        <v>36</v>
      </c>
      <c r="N843" t="s">
        <v>37</v>
      </c>
      <c r="O843" t="s">
        <v>66</v>
      </c>
      <c r="P843" t="s">
        <v>66</v>
      </c>
      <c r="Q843" t="s">
        <v>45</v>
      </c>
      <c r="R843" t="s">
        <v>4291</v>
      </c>
      <c r="S843" t="s">
        <v>32</v>
      </c>
      <c r="T843" s="2">
        <v>117.172758</v>
      </c>
      <c r="U843" s="2">
        <v>39.119696</v>
      </c>
    </row>
    <row r="844" spans="1:21">
      <c r="A844" t="s">
        <v>4292</v>
      </c>
      <c r="B844" t="s">
        <v>374</v>
      </c>
      <c r="C844" t="s">
        <v>4293</v>
      </c>
      <c r="D844" t="s">
        <v>32</v>
      </c>
      <c r="E844" t="s">
        <v>4294</v>
      </c>
      <c r="F844" t="s">
        <v>7</v>
      </c>
      <c r="G844" t="s">
        <v>7</v>
      </c>
      <c r="H844" t="s">
        <v>56</v>
      </c>
      <c r="I844" t="s">
        <v>44</v>
      </c>
      <c r="J844" t="s">
        <v>32</v>
      </c>
      <c r="K844" t="s">
        <v>32</v>
      </c>
      <c r="L844" t="s">
        <v>32</v>
      </c>
      <c r="M844" t="s">
        <v>36</v>
      </c>
      <c r="N844" t="s">
        <v>37</v>
      </c>
      <c r="O844" t="s">
        <v>66</v>
      </c>
      <c r="P844" t="s">
        <v>66</v>
      </c>
      <c r="Q844" t="s">
        <v>45</v>
      </c>
      <c r="R844" t="s">
        <v>4295</v>
      </c>
      <c r="S844" t="s">
        <v>32</v>
      </c>
      <c r="T844" s="2">
        <v>117.214402</v>
      </c>
      <c r="U844" s="2">
        <v>39.197986</v>
      </c>
    </row>
    <row r="845" spans="1:21">
      <c r="A845" t="s">
        <v>4296</v>
      </c>
      <c r="B845" t="s">
        <v>374</v>
      </c>
      <c r="C845" t="s">
        <v>4297</v>
      </c>
      <c r="D845" t="s">
        <v>4298</v>
      </c>
      <c r="E845" t="s">
        <v>4299</v>
      </c>
      <c r="F845" t="s">
        <v>7</v>
      </c>
      <c r="G845" t="s">
        <v>7</v>
      </c>
      <c r="H845" t="s">
        <v>105</v>
      </c>
      <c r="I845" t="s">
        <v>4300</v>
      </c>
      <c r="J845" t="s">
        <v>4298</v>
      </c>
      <c r="K845" t="s">
        <v>32</v>
      </c>
      <c r="L845" t="s">
        <v>32</v>
      </c>
      <c r="M845" t="s">
        <v>36</v>
      </c>
      <c r="N845" t="s">
        <v>37</v>
      </c>
      <c r="O845" t="s">
        <v>66</v>
      </c>
      <c r="P845" t="s">
        <v>66</v>
      </c>
      <c r="Q845" t="s">
        <v>32</v>
      </c>
      <c r="R845" t="s">
        <v>4301</v>
      </c>
      <c r="S845" t="s">
        <v>32</v>
      </c>
      <c r="T845" s="2">
        <v>117.218742</v>
      </c>
      <c r="U845" s="2">
        <v>39.129994</v>
      </c>
    </row>
    <row r="846" spans="1:21">
      <c r="A846" t="s">
        <v>4302</v>
      </c>
      <c r="B846" t="s">
        <v>40</v>
      </c>
      <c r="C846" t="s">
        <v>4303</v>
      </c>
      <c r="D846" t="s">
        <v>32</v>
      </c>
      <c r="E846" t="s">
        <v>4304</v>
      </c>
      <c r="F846" t="s">
        <v>7</v>
      </c>
      <c r="G846" t="s">
        <v>7</v>
      </c>
      <c r="H846" t="s">
        <v>262</v>
      </c>
      <c r="I846" t="s">
        <v>94</v>
      </c>
      <c r="J846" t="s">
        <v>32</v>
      </c>
      <c r="K846" t="s">
        <v>32</v>
      </c>
      <c r="L846" t="s">
        <v>32</v>
      </c>
      <c r="M846" t="s">
        <v>36</v>
      </c>
      <c r="N846" t="s">
        <v>37</v>
      </c>
      <c r="O846" t="s">
        <v>66</v>
      </c>
      <c r="P846" t="s">
        <v>66</v>
      </c>
      <c r="Q846" t="s">
        <v>45</v>
      </c>
      <c r="R846" t="s">
        <v>4305</v>
      </c>
      <c r="S846" t="s">
        <v>32</v>
      </c>
      <c r="T846" s="2">
        <v>117.240764</v>
      </c>
      <c r="U846" s="2">
        <v>39.156123</v>
      </c>
    </row>
    <row r="847" spans="1:21">
      <c r="A847" t="s">
        <v>4306</v>
      </c>
      <c r="B847" t="s">
        <v>40</v>
      </c>
      <c r="C847" t="s">
        <v>4307</v>
      </c>
      <c r="D847" t="s">
        <v>32</v>
      </c>
      <c r="E847" t="s">
        <v>4308</v>
      </c>
      <c r="F847" t="s">
        <v>7</v>
      </c>
      <c r="G847" t="s">
        <v>7</v>
      </c>
      <c r="H847" t="s">
        <v>262</v>
      </c>
      <c r="I847" t="s">
        <v>44</v>
      </c>
      <c r="J847" t="s">
        <v>32</v>
      </c>
      <c r="K847" t="s">
        <v>32</v>
      </c>
      <c r="L847" t="s">
        <v>32</v>
      </c>
      <c r="M847" t="s">
        <v>36</v>
      </c>
      <c r="N847" t="s">
        <v>37</v>
      </c>
      <c r="O847" t="s">
        <v>66</v>
      </c>
      <c r="P847" t="s">
        <v>66</v>
      </c>
      <c r="Q847" t="s">
        <v>45</v>
      </c>
      <c r="R847" t="s">
        <v>4309</v>
      </c>
      <c r="S847" t="s">
        <v>32</v>
      </c>
      <c r="T847" s="2">
        <v>117.21521</v>
      </c>
      <c r="U847" s="2">
        <v>39.182002</v>
      </c>
    </row>
    <row r="848" spans="1:21">
      <c r="A848" t="s">
        <v>4310</v>
      </c>
      <c r="B848" t="s">
        <v>40</v>
      </c>
      <c r="C848" t="s">
        <v>4311</v>
      </c>
      <c r="D848" t="s">
        <v>32</v>
      </c>
      <c r="E848" t="s">
        <v>4312</v>
      </c>
      <c r="F848" t="s">
        <v>7</v>
      </c>
      <c r="G848" t="s">
        <v>7</v>
      </c>
      <c r="H848" t="s">
        <v>43</v>
      </c>
      <c r="I848" t="s">
        <v>44</v>
      </c>
      <c r="J848" t="s">
        <v>32</v>
      </c>
      <c r="K848" t="s">
        <v>32</v>
      </c>
      <c r="L848" t="s">
        <v>32</v>
      </c>
      <c r="M848" t="s">
        <v>36</v>
      </c>
      <c r="N848" t="s">
        <v>37</v>
      </c>
      <c r="O848" t="s">
        <v>66</v>
      </c>
      <c r="P848" t="s">
        <v>66</v>
      </c>
      <c r="Q848" t="s">
        <v>45</v>
      </c>
      <c r="R848" t="s">
        <v>4313</v>
      </c>
      <c r="S848" t="s">
        <v>32</v>
      </c>
      <c r="T848" s="2">
        <v>117.111913</v>
      </c>
      <c r="U848" s="2">
        <v>39.174134</v>
      </c>
    </row>
    <row r="849" spans="1:21">
      <c r="A849" t="s">
        <v>4314</v>
      </c>
      <c r="B849" t="s">
        <v>40</v>
      </c>
      <c r="C849" t="s">
        <v>4315</v>
      </c>
      <c r="D849" t="s">
        <v>4316</v>
      </c>
      <c r="E849" t="s">
        <v>4317</v>
      </c>
      <c r="F849" t="s">
        <v>7</v>
      </c>
      <c r="G849" t="s">
        <v>7</v>
      </c>
      <c r="H849" t="s">
        <v>34</v>
      </c>
      <c r="I849" t="s">
        <v>4318</v>
      </c>
      <c r="J849" t="s">
        <v>4316</v>
      </c>
      <c r="K849" t="s">
        <v>32</v>
      </c>
      <c r="L849" t="s">
        <v>32</v>
      </c>
      <c r="M849" t="s">
        <v>36</v>
      </c>
      <c r="N849" t="s">
        <v>37</v>
      </c>
      <c r="O849" t="s">
        <v>66</v>
      </c>
      <c r="P849" t="s">
        <v>66</v>
      </c>
      <c r="Q849" t="s">
        <v>32</v>
      </c>
      <c r="R849" t="s">
        <v>4319</v>
      </c>
      <c r="S849" t="s">
        <v>32</v>
      </c>
      <c r="T849" s="2">
        <v>117.115735</v>
      </c>
      <c r="U849" s="2">
        <v>39.13327</v>
      </c>
    </row>
    <row r="850" spans="1:21">
      <c r="A850" t="s">
        <v>4320</v>
      </c>
      <c r="B850" t="s">
        <v>40</v>
      </c>
      <c r="C850" t="s">
        <v>4321</v>
      </c>
      <c r="D850" t="s">
        <v>4322</v>
      </c>
      <c r="E850" t="s">
        <v>4323</v>
      </c>
      <c r="F850" t="s">
        <v>7</v>
      </c>
      <c r="G850" t="s">
        <v>7</v>
      </c>
      <c r="H850" t="s">
        <v>133</v>
      </c>
      <c r="I850" t="s">
        <v>106</v>
      </c>
      <c r="J850" t="s">
        <v>4322</v>
      </c>
      <c r="K850" t="s">
        <v>32</v>
      </c>
      <c r="L850" t="s">
        <v>32</v>
      </c>
      <c r="M850" t="s">
        <v>36</v>
      </c>
      <c r="N850" t="s">
        <v>37</v>
      </c>
      <c r="O850" t="s">
        <v>66</v>
      </c>
      <c r="P850" t="s">
        <v>66</v>
      </c>
      <c r="Q850" t="s">
        <v>32</v>
      </c>
      <c r="R850" t="s">
        <v>4324</v>
      </c>
      <c r="S850" t="s">
        <v>32</v>
      </c>
      <c r="T850" s="2">
        <v>117.164632</v>
      </c>
      <c r="U850" s="2">
        <v>39.166526</v>
      </c>
    </row>
    <row r="851" spans="1:21">
      <c r="A851" t="s">
        <v>4325</v>
      </c>
      <c r="B851" t="s">
        <v>40</v>
      </c>
      <c r="C851" t="s">
        <v>4326</v>
      </c>
      <c r="D851" t="s">
        <v>32</v>
      </c>
      <c r="E851" t="s">
        <v>4327</v>
      </c>
      <c r="F851" t="s">
        <v>7</v>
      </c>
      <c r="G851" t="s">
        <v>7</v>
      </c>
      <c r="H851" t="s">
        <v>105</v>
      </c>
      <c r="I851" t="s">
        <v>100</v>
      </c>
      <c r="J851" t="s">
        <v>32</v>
      </c>
      <c r="K851" t="s">
        <v>32</v>
      </c>
      <c r="L851" t="s">
        <v>32</v>
      </c>
      <c r="M851" t="s">
        <v>36</v>
      </c>
      <c r="N851" t="s">
        <v>37</v>
      </c>
      <c r="O851" t="s">
        <v>66</v>
      </c>
      <c r="P851" t="s">
        <v>66</v>
      </c>
      <c r="Q851" t="s">
        <v>32</v>
      </c>
      <c r="R851" t="s">
        <v>4328</v>
      </c>
      <c r="S851" t="s">
        <v>32</v>
      </c>
      <c r="T851" s="2">
        <v>117.264813</v>
      </c>
      <c r="U851" s="2">
        <v>39.128581</v>
      </c>
    </row>
    <row r="852" spans="1:21">
      <c r="A852" t="s">
        <v>4329</v>
      </c>
      <c r="B852" t="s">
        <v>4330</v>
      </c>
      <c r="C852" t="s">
        <v>4331</v>
      </c>
      <c r="D852" t="s">
        <v>4332</v>
      </c>
      <c r="E852" t="s">
        <v>4333</v>
      </c>
      <c r="F852" t="s">
        <v>7</v>
      </c>
      <c r="G852" t="s">
        <v>7</v>
      </c>
      <c r="H852" t="s">
        <v>56</v>
      </c>
      <c r="I852" t="s">
        <v>140</v>
      </c>
      <c r="J852" t="s">
        <v>4332</v>
      </c>
      <c r="K852" t="s">
        <v>85</v>
      </c>
      <c r="L852" t="s">
        <v>1864</v>
      </c>
      <c r="M852" t="s">
        <v>36</v>
      </c>
      <c r="N852" t="s">
        <v>37</v>
      </c>
      <c r="O852" t="s">
        <v>66</v>
      </c>
      <c r="P852" t="s">
        <v>66</v>
      </c>
      <c r="Q852" t="s">
        <v>32</v>
      </c>
      <c r="R852" t="s">
        <v>4334</v>
      </c>
      <c r="S852" t="s">
        <v>32</v>
      </c>
      <c r="T852" s="2">
        <v>117.145317</v>
      </c>
      <c r="U852" s="2">
        <v>39.228962</v>
      </c>
    </row>
    <row r="853" spans="1:21">
      <c r="A853" t="s">
        <v>4335</v>
      </c>
      <c r="B853" t="s">
        <v>40</v>
      </c>
      <c r="C853" t="s">
        <v>4336</v>
      </c>
      <c r="D853" t="s">
        <v>32</v>
      </c>
      <c r="E853" t="s">
        <v>4337</v>
      </c>
      <c r="F853" t="s">
        <v>7</v>
      </c>
      <c r="G853" t="s">
        <v>7</v>
      </c>
      <c r="H853" t="s">
        <v>105</v>
      </c>
      <c r="I853" t="s">
        <v>140</v>
      </c>
      <c r="J853" t="s">
        <v>32</v>
      </c>
      <c r="K853" t="s">
        <v>32</v>
      </c>
      <c r="L853" t="s">
        <v>32</v>
      </c>
      <c r="M853" t="s">
        <v>36</v>
      </c>
      <c r="N853" t="s">
        <v>37</v>
      </c>
      <c r="O853" t="s">
        <v>66</v>
      </c>
      <c r="P853" t="s">
        <v>66</v>
      </c>
      <c r="Q853" t="s">
        <v>32</v>
      </c>
      <c r="R853" t="s">
        <v>4338</v>
      </c>
      <c r="S853" t="s">
        <v>32</v>
      </c>
      <c r="T853" s="2">
        <v>117.277992</v>
      </c>
      <c r="U853" s="2">
        <v>39.136905</v>
      </c>
    </row>
    <row r="854" spans="1:21">
      <c r="A854" t="s">
        <v>4339</v>
      </c>
      <c r="B854" t="s">
        <v>40</v>
      </c>
      <c r="C854" t="s">
        <v>4340</v>
      </c>
      <c r="D854" t="s">
        <v>32</v>
      </c>
      <c r="E854" t="s">
        <v>4341</v>
      </c>
      <c r="F854" t="s">
        <v>7</v>
      </c>
      <c r="G854" t="s">
        <v>7</v>
      </c>
      <c r="H854" t="s">
        <v>133</v>
      </c>
      <c r="I854" t="s">
        <v>44</v>
      </c>
      <c r="J854" t="s">
        <v>32</v>
      </c>
      <c r="K854" t="s">
        <v>32</v>
      </c>
      <c r="L854" t="s">
        <v>32</v>
      </c>
      <c r="M854" t="s">
        <v>36</v>
      </c>
      <c r="N854" t="s">
        <v>37</v>
      </c>
      <c r="O854" t="s">
        <v>66</v>
      </c>
      <c r="P854" t="s">
        <v>66</v>
      </c>
      <c r="Q854" t="s">
        <v>45</v>
      </c>
      <c r="R854" t="s">
        <v>4342</v>
      </c>
      <c r="S854" t="s">
        <v>32</v>
      </c>
      <c r="T854" s="2">
        <v>117.142079</v>
      </c>
      <c r="U854" s="2">
        <v>39.154046</v>
      </c>
    </row>
    <row r="855" spans="1:21">
      <c r="A855" t="s">
        <v>4343</v>
      </c>
      <c r="B855" t="s">
        <v>40</v>
      </c>
      <c r="C855" t="s">
        <v>4344</v>
      </c>
      <c r="D855" t="s">
        <v>32</v>
      </c>
      <c r="E855" t="s">
        <v>4345</v>
      </c>
      <c r="F855" t="s">
        <v>7</v>
      </c>
      <c r="G855" t="s">
        <v>7</v>
      </c>
      <c r="H855" t="s">
        <v>56</v>
      </c>
      <c r="I855" t="s">
        <v>44</v>
      </c>
      <c r="J855" t="s">
        <v>32</v>
      </c>
      <c r="K855" t="s">
        <v>32</v>
      </c>
      <c r="L855" t="s">
        <v>32</v>
      </c>
      <c r="M855" t="s">
        <v>36</v>
      </c>
      <c r="N855" t="s">
        <v>37</v>
      </c>
      <c r="O855" t="s">
        <v>66</v>
      </c>
      <c r="P855" t="s">
        <v>66</v>
      </c>
      <c r="Q855" t="s">
        <v>45</v>
      </c>
      <c r="R855" t="s">
        <v>4346</v>
      </c>
      <c r="S855" t="s">
        <v>32</v>
      </c>
      <c r="T855" s="2">
        <v>117.080328</v>
      </c>
      <c r="U855" s="2">
        <v>39.230155</v>
      </c>
    </row>
    <row r="856" spans="1:21">
      <c r="A856" t="s">
        <v>4347</v>
      </c>
      <c r="B856" t="s">
        <v>40</v>
      </c>
      <c r="C856" t="s">
        <v>4348</v>
      </c>
      <c r="D856" t="s">
        <v>32</v>
      </c>
      <c r="E856" t="s">
        <v>4349</v>
      </c>
      <c r="F856" t="s">
        <v>7</v>
      </c>
      <c r="G856" t="s">
        <v>7</v>
      </c>
      <c r="H856" t="s">
        <v>56</v>
      </c>
      <c r="I856" t="s">
        <v>44</v>
      </c>
      <c r="J856" t="s">
        <v>32</v>
      </c>
      <c r="K856" t="s">
        <v>32</v>
      </c>
      <c r="L856" t="s">
        <v>32</v>
      </c>
      <c r="M856" t="s">
        <v>36</v>
      </c>
      <c r="N856" t="s">
        <v>37</v>
      </c>
      <c r="O856" t="s">
        <v>66</v>
      </c>
      <c r="P856" t="s">
        <v>66</v>
      </c>
      <c r="Q856" t="s">
        <v>45</v>
      </c>
      <c r="R856" t="s">
        <v>2937</v>
      </c>
      <c r="S856" t="s">
        <v>32</v>
      </c>
      <c r="T856" s="2">
        <v>117.103444</v>
      </c>
      <c r="U856" s="2">
        <v>39.256188</v>
      </c>
    </row>
    <row r="857" spans="1:21">
      <c r="A857" t="s">
        <v>4350</v>
      </c>
      <c r="B857" t="s">
        <v>40</v>
      </c>
      <c r="C857" t="s">
        <v>4351</v>
      </c>
      <c r="D857" t="s">
        <v>32</v>
      </c>
      <c r="E857" t="s">
        <v>4352</v>
      </c>
      <c r="F857" t="s">
        <v>7</v>
      </c>
      <c r="G857" t="s">
        <v>7</v>
      </c>
      <c r="H857" t="s">
        <v>262</v>
      </c>
      <c r="I857" t="s">
        <v>350</v>
      </c>
      <c r="J857" t="s">
        <v>32</v>
      </c>
      <c r="K857" t="s">
        <v>32</v>
      </c>
      <c r="L857" t="s">
        <v>32</v>
      </c>
      <c r="M857" t="s">
        <v>36</v>
      </c>
      <c r="N857" t="s">
        <v>37</v>
      </c>
      <c r="O857" t="s">
        <v>66</v>
      </c>
      <c r="P857" t="s">
        <v>66</v>
      </c>
      <c r="Q857" t="s">
        <v>32</v>
      </c>
      <c r="R857" t="s">
        <v>4353</v>
      </c>
      <c r="S857" t="s">
        <v>32</v>
      </c>
      <c r="T857" s="2">
        <v>117.247075</v>
      </c>
      <c r="U857" s="2">
        <v>39.176176</v>
      </c>
    </row>
    <row r="858" spans="1:21">
      <c r="A858" t="s">
        <v>4354</v>
      </c>
      <c r="B858" t="s">
        <v>40</v>
      </c>
      <c r="C858" t="s">
        <v>4355</v>
      </c>
      <c r="D858" t="s">
        <v>32</v>
      </c>
      <c r="E858" t="s">
        <v>4356</v>
      </c>
      <c r="F858" t="s">
        <v>7</v>
      </c>
      <c r="G858" t="s">
        <v>7</v>
      </c>
      <c r="H858" t="s">
        <v>34</v>
      </c>
      <c r="I858" t="s">
        <v>100</v>
      </c>
      <c r="J858" t="s">
        <v>32</v>
      </c>
      <c r="K858" t="s">
        <v>32</v>
      </c>
      <c r="L858" t="s">
        <v>32</v>
      </c>
      <c r="M858" t="s">
        <v>36</v>
      </c>
      <c r="N858" t="s">
        <v>37</v>
      </c>
      <c r="O858" t="s">
        <v>66</v>
      </c>
      <c r="P858" t="s">
        <v>66</v>
      </c>
      <c r="Q858" t="s">
        <v>32</v>
      </c>
      <c r="R858" t="s">
        <v>4357</v>
      </c>
      <c r="S858" t="s">
        <v>32</v>
      </c>
      <c r="T858" s="2">
        <v>117.132198</v>
      </c>
      <c r="U858" s="2">
        <v>39.13036</v>
      </c>
    </row>
    <row r="859" spans="1:21">
      <c r="A859" t="s">
        <v>4358</v>
      </c>
      <c r="B859" t="s">
        <v>40</v>
      </c>
      <c r="C859" t="s">
        <v>4359</v>
      </c>
      <c r="D859" t="s">
        <v>32</v>
      </c>
      <c r="E859" t="s">
        <v>4360</v>
      </c>
      <c r="F859" t="s">
        <v>7</v>
      </c>
      <c r="G859" t="s">
        <v>7</v>
      </c>
      <c r="H859" t="s">
        <v>133</v>
      </c>
      <c r="I859" t="s">
        <v>44</v>
      </c>
      <c r="J859" t="s">
        <v>32</v>
      </c>
      <c r="K859" t="s">
        <v>32</v>
      </c>
      <c r="L859" t="s">
        <v>32</v>
      </c>
      <c r="M859" t="s">
        <v>36</v>
      </c>
      <c r="N859" t="s">
        <v>37</v>
      </c>
      <c r="O859" t="s">
        <v>66</v>
      </c>
      <c r="P859" t="s">
        <v>66</v>
      </c>
      <c r="Q859" t="s">
        <v>45</v>
      </c>
      <c r="R859" t="s">
        <v>4361</v>
      </c>
      <c r="S859" t="s">
        <v>32</v>
      </c>
      <c r="T859" s="2">
        <v>117.160018</v>
      </c>
      <c r="U859" s="2">
        <v>39.166848</v>
      </c>
    </row>
    <row r="860" spans="1:21">
      <c r="A860" t="s">
        <v>4362</v>
      </c>
      <c r="B860" t="s">
        <v>4363</v>
      </c>
      <c r="C860" t="s">
        <v>4364</v>
      </c>
      <c r="D860" t="s">
        <v>4365</v>
      </c>
      <c r="E860" t="s">
        <v>4366</v>
      </c>
      <c r="F860" t="s">
        <v>7</v>
      </c>
      <c r="G860" t="s">
        <v>7</v>
      </c>
      <c r="H860" t="s">
        <v>43</v>
      </c>
      <c r="I860" t="s">
        <v>140</v>
      </c>
      <c r="J860" t="s">
        <v>4365</v>
      </c>
      <c r="K860" t="s">
        <v>32</v>
      </c>
      <c r="L860" t="s">
        <v>32</v>
      </c>
      <c r="M860" t="s">
        <v>36</v>
      </c>
      <c r="N860" t="s">
        <v>37</v>
      </c>
      <c r="O860" t="s">
        <v>66</v>
      </c>
      <c r="P860" t="s">
        <v>66</v>
      </c>
      <c r="Q860" t="s">
        <v>32</v>
      </c>
      <c r="R860" t="s">
        <v>4367</v>
      </c>
      <c r="S860" t="s">
        <v>32</v>
      </c>
      <c r="T860" s="2">
        <v>117.049497</v>
      </c>
      <c r="U860" s="2">
        <v>39.148478</v>
      </c>
    </row>
    <row r="861" spans="1:21">
      <c r="A861" t="s">
        <v>4368</v>
      </c>
      <c r="B861" t="s">
        <v>40</v>
      </c>
      <c r="C861" t="s">
        <v>4369</v>
      </c>
      <c r="D861" t="s">
        <v>32</v>
      </c>
      <c r="E861" t="s">
        <v>4370</v>
      </c>
      <c r="F861" t="s">
        <v>7</v>
      </c>
      <c r="G861" t="s">
        <v>7</v>
      </c>
      <c r="H861" t="s">
        <v>262</v>
      </c>
      <c r="I861" t="s">
        <v>44</v>
      </c>
      <c r="J861" t="s">
        <v>32</v>
      </c>
      <c r="K861" t="s">
        <v>32</v>
      </c>
      <c r="L861" t="s">
        <v>32</v>
      </c>
      <c r="M861" t="s">
        <v>36</v>
      </c>
      <c r="N861" t="s">
        <v>37</v>
      </c>
      <c r="O861" t="s">
        <v>66</v>
      </c>
      <c r="P861" t="s">
        <v>66</v>
      </c>
      <c r="Q861" t="s">
        <v>45</v>
      </c>
      <c r="R861" t="s">
        <v>4371</v>
      </c>
      <c r="S861" t="s">
        <v>32</v>
      </c>
      <c r="T861" s="2">
        <v>117.241722</v>
      </c>
      <c r="U861" s="2">
        <v>39.181084</v>
      </c>
    </row>
    <row r="862" spans="1:21">
      <c r="A862" t="s">
        <v>4372</v>
      </c>
      <c r="B862" t="s">
        <v>2569</v>
      </c>
      <c r="C862" t="s">
        <v>4373</v>
      </c>
      <c r="D862" t="s">
        <v>32</v>
      </c>
      <c r="E862" t="s">
        <v>4374</v>
      </c>
      <c r="F862" t="s">
        <v>7</v>
      </c>
      <c r="G862" t="s">
        <v>7</v>
      </c>
      <c r="H862" t="s">
        <v>56</v>
      </c>
      <c r="I862" t="s">
        <v>140</v>
      </c>
      <c r="J862" t="s">
        <v>32</v>
      </c>
      <c r="K862" t="s">
        <v>32</v>
      </c>
      <c r="L862" t="s">
        <v>32</v>
      </c>
      <c r="M862" t="s">
        <v>36</v>
      </c>
      <c r="N862" t="s">
        <v>37</v>
      </c>
      <c r="O862" t="s">
        <v>66</v>
      </c>
      <c r="P862" t="s">
        <v>66</v>
      </c>
      <c r="Q862" t="s">
        <v>32</v>
      </c>
      <c r="R862" t="s">
        <v>4375</v>
      </c>
      <c r="S862" t="s">
        <v>32</v>
      </c>
      <c r="T862" s="2">
        <v>117.106388</v>
      </c>
      <c r="U862" s="2">
        <v>39.283394</v>
      </c>
    </row>
    <row r="863" spans="1:21">
      <c r="A863" t="s">
        <v>4376</v>
      </c>
      <c r="B863" t="s">
        <v>40</v>
      </c>
      <c r="C863" t="s">
        <v>4377</v>
      </c>
      <c r="D863" t="s">
        <v>32</v>
      </c>
      <c r="E863" t="s">
        <v>4378</v>
      </c>
      <c r="F863" t="s">
        <v>7</v>
      </c>
      <c r="G863" t="s">
        <v>7</v>
      </c>
      <c r="H863" t="s">
        <v>43</v>
      </c>
      <c r="I863" t="s">
        <v>44</v>
      </c>
      <c r="J863" t="s">
        <v>32</v>
      </c>
      <c r="K863" t="s">
        <v>32</v>
      </c>
      <c r="L863" t="s">
        <v>32</v>
      </c>
      <c r="M863" t="s">
        <v>36</v>
      </c>
      <c r="N863" t="s">
        <v>37</v>
      </c>
      <c r="O863" t="s">
        <v>66</v>
      </c>
      <c r="P863" t="s">
        <v>66</v>
      </c>
      <c r="Q863" t="s">
        <v>57</v>
      </c>
      <c r="R863" t="s">
        <v>2937</v>
      </c>
      <c r="S863" t="s">
        <v>32</v>
      </c>
      <c r="T863" s="2">
        <v>117.038764</v>
      </c>
      <c r="U863" s="2">
        <v>39.129408</v>
      </c>
    </row>
    <row r="864" spans="1:21">
      <c r="A864" t="s">
        <v>4379</v>
      </c>
      <c r="B864" t="s">
        <v>40</v>
      </c>
      <c r="C864" t="s">
        <v>4380</v>
      </c>
      <c r="D864" t="s">
        <v>32</v>
      </c>
      <c r="E864" t="s">
        <v>4381</v>
      </c>
      <c r="F864" t="s">
        <v>7</v>
      </c>
      <c r="G864" t="s">
        <v>7</v>
      </c>
      <c r="H864" t="s">
        <v>43</v>
      </c>
      <c r="I864" t="s">
        <v>44</v>
      </c>
      <c r="J864" t="s">
        <v>32</v>
      </c>
      <c r="K864" t="s">
        <v>32</v>
      </c>
      <c r="L864" t="s">
        <v>32</v>
      </c>
      <c r="M864" t="s">
        <v>36</v>
      </c>
      <c r="N864" t="s">
        <v>37</v>
      </c>
      <c r="O864" t="s">
        <v>66</v>
      </c>
      <c r="P864" t="s">
        <v>66</v>
      </c>
      <c r="Q864" t="s">
        <v>45</v>
      </c>
      <c r="R864" t="s">
        <v>2937</v>
      </c>
      <c r="S864" t="s">
        <v>32</v>
      </c>
      <c r="T864" s="2">
        <v>117.160513</v>
      </c>
      <c r="U864" s="2">
        <v>39.126553</v>
      </c>
    </row>
    <row r="865" spans="1:21">
      <c r="A865" t="s">
        <v>4382</v>
      </c>
      <c r="B865" t="s">
        <v>40</v>
      </c>
      <c r="C865" t="s">
        <v>4383</v>
      </c>
      <c r="D865" t="s">
        <v>32</v>
      </c>
      <c r="E865" t="s">
        <v>4384</v>
      </c>
      <c r="F865" t="s">
        <v>7</v>
      </c>
      <c r="G865" t="s">
        <v>7</v>
      </c>
      <c r="H865" t="s">
        <v>262</v>
      </c>
      <c r="I865" t="s">
        <v>44</v>
      </c>
      <c r="J865" t="s">
        <v>32</v>
      </c>
      <c r="K865" t="s">
        <v>32</v>
      </c>
      <c r="L865" t="s">
        <v>32</v>
      </c>
      <c r="M865" t="s">
        <v>36</v>
      </c>
      <c r="N865" t="s">
        <v>37</v>
      </c>
      <c r="O865" t="s">
        <v>66</v>
      </c>
      <c r="P865" t="s">
        <v>66</v>
      </c>
      <c r="Q865" t="s">
        <v>32</v>
      </c>
      <c r="R865" t="s">
        <v>2848</v>
      </c>
      <c r="S865" t="s">
        <v>32</v>
      </c>
      <c r="T865" s="2">
        <v>117.19533</v>
      </c>
      <c r="U865" s="2">
        <v>39.149658</v>
      </c>
    </row>
    <row r="866" spans="1:21">
      <c r="A866" t="s">
        <v>4385</v>
      </c>
      <c r="B866" t="s">
        <v>40</v>
      </c>
      <c r="C866" t="s">
        <v>4386</v>
      </c>
      <c r="D866" t="s">
        <v>32</v>
      </c>
      <c r="E866" t="s">
        <v>4387</v>
      </c>
      <c r="F866" t="s">
        <v>7</v>
      </c>
      <c r="G866" t="s">
        <v>7</v>
      </c>
      <c r="H866" t="s">
        <v>262</v>
      </c>
      <c r="I866" t="s">
        <v>94</v>
      </c>
      <c r="J866" t="s">
        <v>32</v>
      </c>
      <c r="K866" t="s">
        <v>32</v>
      </c>
      <c r="L866" t="s">
        <v>32</v>
      </c>
      <c r="M866" t="s">
        <v>36</v>
      </c>
      <c r="N866" t="s">
        <v>37</v>
      </c>
      <c r="O866" t="s">
        <v>66</v>
      </c>
      <c r="P866" t="s">
        <v>66</v>
      </c>
      <c r="Q866" t="s">
        <v>57</v>
      </c>
      <c r="R866" t="s">
        <v>4388</v>
      </c>
      <c r="S866" t="s">
        <v>32</v>
      </c>
      <c r="T866" s="2">
        <v>117.192873</v>
      </c>
      <c r="U866" s="2">
        <v>39.182233</v>
      </c>
    </row>
    <row r="867" spans="1:21">
      <c r="A867" t="s">
        <v>4389</v>
      </c>
      <c r="B867" t="s">
        <v>40</v>
      </c>
      <c r="C867" t="s">
        <v>4390</v>
      </c>
      <c r="D867" t="s">
        <v>32</v>
      </c>
      <c r="E867" t="s">
        <v>4391</v>
      </c>
      <c r="F867" t="s">
        <v>7</v>
      </c>
      <c r="G867" t="s">
        <v>7</v>
      </c>
      <c r="H867" t="s">
        <v>50</v>
      </c>
      <c r="I867" t="s">
        <v>44</v>
      </c>
      <c r="J867" t="s">
        <v>32</v>
      </c>
      <c r="K867" t="s">
        <v>32</v>
      </c>
      <c r="L867" t="s">
        <v>32</v>
      </c>
      <c r="M867" t="s">
        <v>36</v>
      </c>
      <c r="N867" t="s">
        <v>37</v>
      </c>
      <c r="O867" t="s">
        <v>66</v>
      </c>
      <c r="P867" t="s">
        <v>66</v>
      </c>
      <c r="Q867" t="s">
        <v>45</v>
      </c>
      <c r="R867" t="s">
        <v>4392</v>
      </c>
      <c r="S867" t="s">
        <v>32</v>
      </c>
      <c r="T867" s="2">
        <v>117.19019</v>
      </c>
      <c r="U867" s="2">
        <v>39.071743</v>
      </c>
    </row>
    <row r="868" spans="1:21">
      <c r="A868" t="s">
        <v>4393</v>
      </c>
      <c r="B868" t="s">
        <v>40</v>
      </c>
      <c r="C868" t="s">
        <v>4394</v>
      </c>
      <c r="D868" t="s">
        <v>32</v>
      </c>
      <c r="E868" t="s">
        <v>4395</v>
      </c>
      <c r="F868" t="s">
        <v>7</v>
      </c>
      <c r="G868" t="s">
        <v>7</v>
      </c>
      <c r="H868" t="s">
        <v>43</v>
      </c>
      <c r="I868" t="s">
        <v>44</v>
      </c>
      <c r="J868" t="s">
        <v>32</v>
      </c>
      <c r="K868" t="s">
        <v>32</v>
      </c>
      <c r="L868" t="s">
        <v>32</v>
      </c>
      <c r="M868" t="s">
        <v>36</v>
      </c>
      <c r="N868" t="s">
        <v>37</v>
      </c>
      <c r="O868" t="s">
        <v>66</v>
      </c>
      <c r="P868" t="s">
        <v>66</v>
      </c>
      <c r="Q868" t="s">
        <v>45</v>
      </c>
      <c r="R868" t="s">
        <v>540</v>
      </c>
      <c r="S868" t="s">
        <v>32</v>
      </c>
      <c r="T868" s="2">
        <v>117.033694</v>
      </c>
      <c r="U868" s="2">
        <v>39.145117</v>
      </c>
    </row>
    <row r="869" spans="1:21">
      <c r="A869" t="s">
        <v>4396</v>
      </c>
      <c r="B869" t="s">
        <v>40</v>
      </c>
      <c r="C869" t="s">
        <v>4397</v>
      </c>
      <c r="D869" t="s">
        <v>32</v>
      </c>
      <c r="E869" t="s">
        <v>4398</v>
      </c>
      <c r="F869" t="s">
        <v>7</v>
      </c>
      <c r="G869" t="s">
        <v>7</v>
      </c>
      <c r="H869" t="s">
        <v>50</v>
      </c>
      <c r="I869" t="s">
        <v>140</v>
      </c>
      <c r="J869" t="s">
        <v>32</v>
      </c>
      <c r="K869" t="s">
        <v>32</v>
      </c>
      <c r="L869" t="s">
        <v>32</v>
      </c>
      <c r="M869" t="s">
        <v>36</v>
      </c>
      <c r="N869" t="s">
        <v>37</v>
      </c>
      <c r="O869" t="s">
        <v>66</v>
      </c>
      <c r="P869" t="s">
        <v>66</v>
      </c>
      <c r="Q869" t="s">
        <v>32</v>
      </c>
      <c r="R869" t="s">
        <v>4399</v>
      </c>
      <c r="S869" t="s">
        <v>32</v>
      </c>
      <c r="T869" s="2">
        <v>117.236069</v>
      </c>
      <c r="U869" s="2">
        <v>39.094096</v>
      </c>
    </row>
    <row r="870" spans="1:21">
      <c r="A870" t="s">
        <v>4400</v>
      </c>
      <c r="B870" t="s">
        <v>40</v>
      </c>
      <c r="C870" t="s">
        <v>4401</v>
      </c>
      <c r="D870" t="s">
        <v>32</v>
      </c>
      <c r="E870" t="s">
        <v>4402</v>
      </c>
      <c r="F870" t="s">
        <v>7</v>
      </c>
      <c r="G870" t="s">
        <v>7</v>
      </c>
      <c r="H870" t="s">
        <v>262</v>
      </c>
      <c r="I870" t="s">
        <v>94</v>
      </c>
      <c r="J870" t="s">
        <v>32</v>
      </c>
      <c r="K870" t="s">
        <v>32</v>
      </c>
      <c r="L870" t="s">
        <v>32</v>
      </c>
      <c r="M870" t="s">
        <v>36</v>
      </c>
      <c r="N870" t="s">
        <v>37</v>
      </c>
      <c r="O870" t="s">
        <v>66</v>
      </c>
      <c r="P870" t="s">
        <v>66</v>
      </c>
      <c r="Q870" t="s">
        <v>45</v>
      </c>
      <c r="R870" t="s">
        <v>4403</v>
      </c>
      <c r="S870" t="s">
        <v>32</v>
      </c>
      <c r="T870" s="2">
        <v>117.219725</v>
      </c>
      <c r="U870" s="2">
        <v>39.15033</v>
      </c>
    </row>
    <row r="871" spans="1:21">
      <c r="A871" t="s">
        <v>4404</v>
      </c>
      <c r="B871" t="s">
        <v>40</v>
      </c>
      <c r="C871" t="s">
        <v>4405</v>
      </c>
      <c r="D871" t="s">
        <v>32</v>
      </c>
      <c r="E871" t="s">
        <v>4406</v>
      </c>
      <c r="F871" t="s">
        <v>7</v>
      </c>
      <c r="G871" t="s">
        <v>7</v>
      </c>
      <c r="H871" t="s">
        <v>63</v>
      </c>
      <c r="I871" t="s">
        <v>44</v>
      </c>
      <c r="J871" t="s">
        <v>32</v>
      </c>
      <c r="K871" t="s">
        <v>32</v>
      </c>
      <c r="L871" t="s">
        <v>32</v>
      </c>
      <c r="M871" t="s">
        <v>36</v>
      </c>
      <c r="N871" t="s">
        <v>37</v>
      </c>
      <c r="O871" t="s">
        <v>66</v>
      </c>
      <c r="P871" t="s">
        <v>66</v>
      </c>
      <c r="Q871" t="s">
        <v>45</v>
      </c>
      <c r="R871" t="s">
        <v>2848</v>
      </c>
      <c r="S871" t="s">
        <v>32</v>
      </c>
      <c r="T871" s="2">
        <v>117.323245</v>
      </c>
      <c r="U871" s="2">
        <v>39.008542</v>
      </c>
    </row>
    <row r="872" spans="1:21">
      <c r="A872" t="s">
        <v>4407</v>
      </c>
      <c r="B872" t="s">
        <v>4408</v>
      </c>
      <c r="C872" t="s">
        <v>186</v>
      </c>
      <c r="D872" t="s">
        <v>32</v>
      </c>
      <c r="E872" t="s">
        <v>4409</v>
      </c>
      <c r="F872" t="s">
        <v>7</v>
      </c>
      <c r="G872" t="s">
        <v>7</v>
      </c>
      <c r="H872" t="s">
        <v>407</v>
      </c>
      <c r="I872" t="s">
        <v>44</v>
      </c>
      <c r="J872" t="s">
        <v>32</v>
      </c>
      <c r="K872" t="s">
        <v>32</v>
      </c>
      <c r="L872" t="s">
        <v>32</v>
      </c>
      <c r="M872" t="s">
        <v>36</v>
      </c>
      <c r="N872" t="s">
        <v>37</v>
      </c>
      <c r="O872" t="s">
        <v>66</v>
      </c>
      <c r="P872" t="s">
        <v>66</v>
      </c>
      <c r="Q872" t="s">
        <v>45</v>
      </c>
      <c r="R872" t="s">
        <v>4410</v>
      </c>
      <c r="S872" t="s">
        <v>32</v>
      </c>
      <c r="T872" s="2">
        <v>117.211469</v>
      </c>
      <c r="U872" s="2">
        <v>39.120531</v>
      </c>
    </row>
    <row r="873" spans="1:21">
      <c r="A873" t="s">
        <v>4411</v>
      </c>
      <c r="B873" t="s">
        <v>40</v>
      </c>
      <c r="C873" t="s">
        <v>4412</v>
      </c>
      <c r="D873" t="s">
        <v>32</v>
      </c>
      <c r="E873" t="s">
        <v>4413</v>
      </c>
      <c r="F873" t="s">
        <v>7</v>
      </c>
      <c r="G873" t="s">
        <v>7</v>
      </c>
      <c r="H873" t="s">
        <v>105</v>
      </c>
      <c r="I873" t="s">
        <v>106</v>
      </c>
      <c r="J873" t="s">
        <v>32</v>
      </c>
      <c r="K873" t="s">
        <v>32</v>
      </c>
      <c r="L873" t="s">
        <v>32</v>
      </c>
      <c r="M873" t="s">
        <v>36</v>
      </c>
      <c r="N873" t="s">
        <v>37</v>
      </c>
      <c r="O873" t="s">
        <v>66</v>
      </c>
      <c r="P873" t="s">
        <v>66</v>
      </c>
      <c r="Q873" t="s">
        <v>32</v>
      </c>
      <c r="R873" t="s">
        <v>4414</v>
      </c>
      <c r="S873" t="s">
        <v>32</v>
      </c>
      <c r="T873" s="2">
        <v>117.258983</v>
      </c>
      <c r="U873" s="2">
        <v>39.143532</v>
      </c>
    </row>
    <row r="874" spans="1:21">
      <c r="A874" t="s">
        <v>4415</v>
      </c>
      <c r="B874" t="s">
        <v>4416</v>
      </c>
      <c r="C874" t="s">
        <v>287</v>
      </c>
      <c r="D874" t="s">
        <v>4417</v>
      </c>
      <c r="E874" t="s">
        <v>4418</v>
      </c>
      <c r="F874" t="s">
        <v>7</v>
      </c>
      <c r="G874" t="s">
        <v>7</v>
      </c>
      <c r="H874" t="s">
        <v>43</v>
      </c>
      <c r="I874" t="s">
        <v>290</v>
      </c>
      <c r="J874" t="s">
        <v>4417</v>
      </c>
      <c r="K874" t="s">
        <v>32</v>
      </c>
      <c r="L874" t="s">
        <v>32</v>
      </c>
      <c r="M874" t="s">
        <v>36</v>
      </c>
      <c r="N874" t="s">
        <v>37</v>
      </c>
      <c r="O874" t="s">
        <v>66</v>
      </c>
      <c r="P874" t="s">
        <v>66</v>
      </c>
      <c r="Q874" t="s">
        <v>32</v>
      </c>
      <c r="R874" t="s">
        <v>4419</v>
      </c>
      <c r="S874" t="s">
        <v>32</v>
      </c>
      <c r="T874" s="2">
        <v>117.036488</v>
      </c>
      <c r="U874" s="2">
        <v>39.14196</v>
      </c>
    </row>
    <row r="875" spans="1:21">
      <c r="A875" t="s">
        <v>4420</v>
      </c>
      <c r="B875" t="s">
        <v>97</v>
      </c>
      <c r="C875" t="s">
        <v>4421</v>
      </c>
      <c r="D875" t="s">
        <v>32</v>
      </c>
      <c r="E875" t="s">
        <v>4422</v>
      </c>
      <c r="F875" t="s">
        <v>7</v>
      </c>
      <c r="G875" t="s">
        <v>7</v>
      </c>
      <c r="H875" t="s">
        <v>56</v>
      </c>
      <c r="I875" t="s">
        <v>100</v>
      </c>
      <c r="J875" t="s">
        <v>32</v>
      </c>
      <c r="K875" t="s">
        <v>32</v>
      </c>
      <c r="L875" t="s">
        <v>32</v>
      </c>
      <c r="M875" t="s">
        <v>36</v>
      </c>
      <c r="N875" t="s">
        <v>37</v>
      </c>
      <c r="O875" t="s">
        <v>66</v>
      </c>
      <c r="P875" t="s">
        <v>66</v>
      </c>
      <c r="Q875" t="s">
        <v>45</v>
      </c>
      <c r="R875" t="s">
        <v>4423</v>
      </c>
      <c r="S875" t="s">
        <v>32</v>
      </c>
      <c r="T875" s="2">
        <v>117.140735</v>
      </c>
      <c r="U875" s="2">
        <v>39.234779</v>
      </c>
    </row>
    <row r="876" spans="1:21">
      <c r="A876" t="s">
        <v>4424</v>
      </c>
      <c r="B876" t="s">
        <v>40</v>
      </c>
      <c r="C876" t="s">
        <v>4425</v>
      </c>
      <c r="D876" t="s">
        <v>32</v>
      </c>
      <c r="E876" t="s">
        <v>4426</v>
      </c>
      <c r="F876" t="s">
        <v>7</v>
      </c>
      <c r="G876" t="s">
        <v>7</v>
      </c>
      <c r="H876" t="s">
        <v>50</v>
      </c>
      <c r="I876" t="s">
        <v>44</v>
      </c>
      <c r="J876" t="s">
        <v>32</v>
      </c>
      <c r="K876" t="s">
        <v>32</v>
      </c>
      <c r="L876" t="s">
        <v>32</v>
      </c>
      <c r="M876" t="s">
        <v>36</v>
      </c>
      <c r="N876" t="s">
        <v>37</v>
      </c>
      <c r="O876" t="s">
        <v>66</v>
      </c>
      <c r="P876" t="s">
        <v>66</v>
      </c>
      <c r="Q876" t="s">
        <v>45</v>
      </c>
      <c r="R876" t="s">
        <v>2848</v>
      </c>
      <c r="S876" t="s">
        <v>32</v>
      </c>
      <c r="T876" s="2">
        <v>117.218977</v>
      </c>
      <c r="U876" s="2">
        <v>39.079213</v>
      </c>
    </row>
    <row r="877" spans="1:21">
      <c r="A877" t="s">
        <v>4427</v>
      </c>
      <c r="B877" t="s">
        <v>40</v>
      </c>
      <c r="C877" t="s">
        <v>4428</v>
      </c>
      <c r="D877" t="s">
        <v>32</v>
      </c>
      <c r="E877" t="s">
        <v>4429</v>
      </c>
      <c r="F877" t="s">
        <v>7</v>
      </c>
      <c r="G877" t="s">
        <v>7</v>
      </c>
      <c r="H877" t="s">
        <v>56</v>
      </c>
      <c r="I877" t="s">
        <v>44</v>
      </c>
      <c r="J877" t="s">
        <v>32</v>
      </c>
      <c r="K877" t="s">
        <v>32</v>
      </c>
      <c r="L877" t="s">
        <v>32</v>
      </c>
      <c r="M877" t="s">
        <v>36</v>
      </c>
      <c r="N877" t="s">
        <v>37</v>
      </c>
      <c r="O877" t="s">
        <v>66</v>
      </c>
      <c r="P877" t="s">
        <v>66</v>
      </c>
      <c r="Q877" t="s">
        <v>45</v>
      </c>
      <c r="R877" t="s">
        <v>2848</v>
      </c>
      <c r="S877" t="s">
        <v>32</v>
      </c>
      <c r="T877" s="2">
        <v>117.226803</v>
      </c>
      <c r="U877" s="2">
        <v>39.297882</v>
      </c>
    </row>
    <row r="878" spans="1:21">
      <c r="A878" t="s">
        <v>4430</v>
      </c>
      <c r="B878" t="s">
        <v>4431</v>
      </c>
      <c r="C878" t="s">
        <v>4432</v>
      </c>
      <c r="D878" t="s">
        <v>32</v>
      </c>
      <c r="E878" t="s">
        <v>4433</v>
      </c>
      <c r="F878" t="s">
        <v>7</v>
      </c>
      <c r="G878" t="s">
        <v>7</v>
      </c>
      <c r="H878" t="s">
        <v>73</v>
      </c>
      <c r="I878" t="s">
        <v>100</v>
      </c>
      <c r="J878" t="s">
        <v>32</v>
      </c>
      <c r="K878" t="s">
        <v>32</v>
      </c>
      <c r="L878" t="s">
        <v>32</v>
      </c>
      <c r="M878" t="s">
        <v>36</v>
      </c>
      <c r="N878" t="s">
        <v>37</v>
      </c>
      <c r="O878" t="s">
        <v>66</v>
      </c>
      <c r="P878" t="s">
        <v>66</v>
      </c>
      <c r="Q878" t="s">
        <v>45</v>
      </c>
      <c r="R878" t="s">
        <v>4434</v>
      </c>
      <c r="S878" t="s">
        <v>32</v>
      </c>
      <c r="T878" s="2">
        <v>117.25224</v>
      </c>
      <c r="U878" s="2">
        <v>39.187453</v>
      </c>
    </row>
    <row r="879" spans="1:21">
      <c r="A879" t="s">
        <v>4435</v>
      </c>
      <c r="B879" t="s">
        <v>40</v>
      </c>
      <c r="C879" t="s">
        <v>4436</v>
      </c>
      <c r="D879" t="s">
        <v>32</v>
      </c>
      <c r="E879" t="s">
        <v>4437</v>
      </c>
      <c r="F879" t="s">
        <v>7</v>
      </c>
      <c r="G879" t="s">
        <v>7</v>
      </c>
      <c r="H879" t="s">
        <v>262</v>
      </c>
      <c r="I879" t="s">
        <v>44</v>
      </c>
      <c r="J879" t="s">
        <v>32</v>
      </c>
      <c r="K879" t="s">
        <v>32</v>
      </c>
      <c r="L879" t="s">
        <v>32</v>
      </c>
      <c r="M879" t="s">
        <v>36</v>
      </c>
      <c r="N879" t="s">
        <v>37</v>
      </c>
      <c r="O879" t="s">
        <v>66</v>
      </c>
      <c r="P879" t="s">
        <v>66</v>
      </c>
      <c r="Q879" t="s">
        <v>45</v>
      </c>
      <c r="R879" t="s">
        <v>4438</v>
      </c>
      <c r="S879" t="s">
        <v>32</v>
      </c>
      <c r="T879" s="2">
        <v>117.201675</v>
      </c>
      <c r="U879" s="2">
        <v>39.172331</v>
      </c>
    </row>
    <row r="880" spans="1:21">
      <c r="A880" t="s">
        <v>4439</v>
      </c>
      <c r="B880" t="s">
        <v>40</v>
      </c>
      <c r="C880" t="s">
        <v>4440</v>
      </c>
      <c r="D880" t="s">
        <v>32</v>
      </c>
      <c r="E880" t="s">
        <v>4441</v>
      </c>
      <c r="F880" t="s">
        <v>7</v>
      </c>
      <c r="G880" t="s">
        <v>7</v>
      </c>
      <c r="H880" t="s">
        <v>43</v>
      </c>
      <c r="I880" t="s">
        <v>4093</v>
      </c>
      <c r="J880" t="s">
        <v>32</v>
      </c>
      <c r="K880" t="s">
        <v>32</v>
      </c>
      <c r="L880" t="s">
        <v>32</v>
      </c>
      <c r="M880" t="s">
        <v>36</v>
      </c>
      <c r="N880" t="s">
        <v>37</v>
      </c>
      <c r="O880" t="s">
        <v>66</v>
      </c>
      <c r="P880" t="s">
        <v>66</v>
      </c>
      <c r="Q880" t="s">
        <v>32</v>
      </c>
      <c r="R880" t="s">
        <v>2848</v>
      </c>
      <c r="S880" t="s">
        <v>32</v>
      </c>
      <c r="T880" s="2">
        <v>117.215246</v>
      </c>
      <c r="U880" s="2">
        <v>38.994636</v>
      </c>
    </row>
    <row r="881" spans="1:21">
      <c r="A881" t="s">
        <v>4442</v>
      </c>
      <c r="B881" t="s">
        <v>4443</v>
      </c>
      <c r="C881" t="s">
        <v>4444</v>
      </c>
      <c r="D881" t="s">
        <v>4445</v>
      </c>
      <c r="E881" t="s">
        <v>4446</v>
      </c>
      <c r="F881" t="s">
        <v>7</v>
      </c>
      <c r="G881" t="s">
        <v>7</v>
      </c>
      <c r="H881" t="s">
        <v>262</v>
      </c>
      <c r="I881" t="s">
        <v>4318</v>
      </c>
      <c r="J881" t="s">
        <v>4445</v>
      </c>
      <c r="K881" t="s">
        <v>32</v>
      </c>
      <c r="L881" t="s">
        <v>32</v>
      </c>
      <c r="M881" t="s">
        <v>36</v>
      </c>
      <c r="N881" t="s">
        <v>37</v>
      </c>
      <c r="O881" t="s">
        <v>66</v>
      </c>
      <c r="P881" t="s">
        <v>66</v>
      </c>
      <c r="Q881" t="s">
        <v>32</v>
      </c>
      <c r="R881" t="s">
        <v>4447</v>
      </c>
      <c r="S881" t="s">
        <v>32</v>
      </c>
      <c r="T881" s="2">
        <v>117.210848</v>
      </c>
      <c r="U881" s="2">
        <v>39.185588</v>
      </c>
    </row>
    <row r="882" spans="1:21">
      <c r="A882" t="s">
        <v>4448</v>
      </c>
      <c r="B882" t="s">
        <v>40</v>
      </c>
      <c r="C882" t="s">
        <v>4449</v>
      </c>
      <c r="D882" t="s">
        <v>32</v>
      </c>
      <c r="E882" t="s">
        <v>4450</v>
      </c>
      <c r="F882" t="s">
        <v>7</v>
      </c>
      <c r="G882" t="s">
        <v>7</v>
      </c>
      <c r="H882" t="s">
        <v>50</v>
      </c>
      <c r="I882" t="s">
        <v>44</v>
      </c>
      <c r="J882" t="s">
        <v>32</v>
      </c>
      <c r="K882" t="s">
        <v>32</v>
      </c>
      <c r="L882" t="s">
        <v>32</v>
      </c>
      <c r="M882" t="s">
        <v>36</v>
      </c>
      <c r="N882" t="s">
        <v>37</v>
      </c>
      <c r="O882" t="s">
        <v>66</v>
      </c>
      <c r="P882" t="s">
        <v>66</v>
      </c>
      <c r="Q882" t="s">
        <v>45</v>
      </c>
      <c r="R882" t="s">
        <v>4451</v>
      </c>
      <c r="S882" t="s">
        <v>32</v>
      </c>
      <c r="T882" s="2">
        <v>117.266459</v>
      </c>
      <c r="U882" s="2">
        <v>39.063036</v>
      </c>
    </row>
    <row r="883" spans="1:21">
      <c r="A883" t="s">
        <v>4452</v>
      </c>
      <c r="B883" t="s">
        <v>3382</v>
      </c>
      <c r="C883" t="s">
        <v>4453</v>
      </c>
      <c r="D883" t="s">
        <v>4454</v>
      </c>
      <c r="E883" t="s">
        <v>4455</v>
      </c>
      <c r="F883" t="s">
        <v>7</v>
      </c>
      <c r="G883" t="s">
        <v>7</v>
      </c>
      <c r="H883" t="s">
        <v>34</v>
      </c>
      <c r="I883" t="s">
        <v>4456</v>
      </c>
      <c r="J883" t="s">
        <v>4454</v>
      </c>
      <c r="K883" t="s">
        <v>32</v>
      </c>
      <c r="L883" t="s">
        <v>32</v>
      </c>
      <c r="M883" t="s">
        <v>36</v>
      </c>
      <c r="N883" t="s">
        <v>37</v>
      </c>
      <c r="O883" t="s">
        <v>66</v>
      </c>
      <c r="P883" t="s">
        <v>66</v>
      </c>
      <c r="Q883" t="s">
        <v>32</v>
      </c>
      <c r="R883" t="s">
        <v>4457</v>
      </c>
      <c r="S883" t="s">
        <v>32</v>
      </c>
      <c r="T883" s="2">
        <v>117.129511</v>
      </c>
      <c r="U883" s="2">
        <v>39.136564</v>
      </c>
    </row>
    <row r="884" spans="1:21">
      <c r="A884" t="s">
        <v>4458</v>
      </c>
      <c r="B884" t="s">
        <v>40</v>
      </c>
      <c r="C884" t="s">
        <v>4459</v>
      </c>
      <c r="D884" t="s">
        <v>32</v>
      </c>
      <c r="E884" t="s">
        <v>4460</v>
      </c>
      <c r="F884" t="s">
        <v>7</v>
      </c>
      <c r="G884" t="s">
        <v>7</v>
      </c>
      <c r="H884" t="s">
        <v>43</v>
      </c>
      <c r="I884" t="s">
        <v>350</v>
      </c>
      <c r="J884" t="s">
        <v>32</v>
      </c>
      <c r="K884" t="s">
        <v>32</v>
      </c>
      <c r="L884" t="s">
        <v>32</v>
      </c>
      <c r="M884" t="s">
        <v>36</v>
      </c>
      <c r="N884" t="s">
        <v>37</v>
      </c>
      <c r="O884" t="s">
        <v>66</v>
      </c>
      <c r="P884" t="s">
        <v>66</v>
      </c>
      <c r="Q884" t="s">
        <v>45</v>
      </c>
      <c r="R884" t="s">
        <v>4461</v>
      </c>
      <c r="S884" t="s">
        <v>32</v>
      </c>
      <c r="T884" s="2">
        <v>117.098385</v>
      </c>
      <c r="U884" s="2">
        <v>39.033885</v>
      </c>
    </row>
    <row r="885" spans="1:21">
      <c r="A885" t="s">
        <v>4462</v>
      </c>
      <c r="B885" t="s">
        <v>40</v>
      </c>
      <c r="C885" t="s">
        <v>4463</v>
      </c>
      <c r="D885" t="s">
        <v>32</v>
      </c>
      <c r="E885" t="s">
        <v>4464</v>
      </c>
      <c r="F885" t="s">
        <v>7</v>
      </c>
      <c r="G885" t="s">
        <v>7</v>
      </c>
      <c r="H885" t="s">
        <v>50</v>
      </c>
      <c r="I885" t="s">
        <v>44</v>
      </c>
      <c r="J885" t="s">
        <v>32</v>
      </c>
      <c r="K885" t="s">
        <v>32</v>
      </c>
      <c r="L885" t="s">
        <v>32</v>
      </c>
      <c r="M885" t="s">
        <v>36</v>
      </c>
      <c r="N885" t="s">
        <v>37</v>
      </c>
      <c r="O885" t="s">
        <v>66</v>
      </c>
      <c r="P885" t="s">
        <v>66</v>
      </c>
      <c r="Q885" t="s">
        <v>45</v>
      </c>
      <c r="R885" t="s">
        <v>4465</v>
      </c>
      <c r="S885" t="s">
        <v>32</v>
      </c>
      <c r="T885" s="2">
        <v>117.211234</v>
      </c>
      <c r="U885" s="2">
        <v>39.075694</v>
      </c>
    </row>
    <row r="886" spans="1:21">
      <c r="A886" t="s">
        <v>4466</v>
      </c>
      <c r="B886" t="s">
        <v>4467</v>
      </c>
      <c r="C886" t="s">
        <v>4468</v>
      </c>
      <c r="D886" t="s">
        <v>32</v>
      </c>
      <c r="E886" t="s">
        <v>4469</v>
      </c>
      <c r="F886" t="s">
        <v>7</v>
      </c>
      <c r="G886" t="s">
        <v>7</v>
      </c>
      <c r="H886" t="s">
        <v>56</v>
      </c>
      <c r="I886" t="s">
        <v>106</v>
      </c>
      <c r="J886" t="s">
        <v>32</v>
      </c>
      <c r="K886" t="s">
        <v>32</v>
      </c>
      <c r="L886" t="s">
        <v>32</v>
      </c>
      <c r="M886" t="s">
        <v>36</v>
      </c>
      <c r="N886" t="s">
        <v>37</v>
      </c>
      <c r="O886" t="s">
        <v>66</v>
      </c>
      <c r="P886" t="s">
        <v>66</v>
      </c>
      <c r="Q886" t="s">
        <v>32</v>
      </c>
      <c r="R886" t="s">
        <v>4470</v>
      </c>
      <c r="S886" t="s">
        <v>32</v>
      </c>
      <c r="T886" s="2">
        <v>117.210201</v>
      </c>
      <c r="U886" s="2">
        <v>39.262695</v>
      </c>
    </row>
    <row r="887" spans="1:21">
      <c r="A887" t="s">
        <v>4471</v>
      </c>
      <c r="B887" t="s">
        <v>40</v>
      </c>
      <c r="C887" t="s">
        <v>4472</v>
      </c>
      <c r="D887" t="s">
        <v>32</v>
      </c>
      <c r="E887" t="s">
        <v>4473</v>
      </c>
      <c r="F887" t="s">
        <v>7</v>
      </c>
      <c r="G887" t="s">
        <v>7</v>
      </c>
      <c r="H887" t="s">
        <v>105</v>
      </c>
      <c r="I887" t="s">
        <v>51</v>
      </c>
      <c r="J887" t="s">
        <v>32</v>
      </c>
      <c r="K887" t="s">
        <v>32</v>
      </c>
      <c r="L887" t="s">
        <v>32</v>
      </c>
      <c r="M887" t="s">
        <v>36</v>
      </c>
      <c r="N887" t="s">
        <v>37</v>
      </c>
      <c r="O887" t="s">
        <v>66</v>
      </c>
      <c r="P887" t="s">
        <v>66</v>
      </c>
      <c r="Q887" t="s">
        <v>45</v>
      </c>
      <c r="R887" t="s">
        <v>4474</v>
      </c>
      <c r="S887" t="s">
        <v>32</v>
      </c>
      <c r="T887" s="2">
        <v>117.241643</v>
      </c>
      <c r="U887" s="2">
        <v>39.118505</v>
      </c>
    </row>
    <row r="888" spans="1:21">
      <c r="A888" t="s">
        <v>4475</v>
      </c>
      <c r="B888" t="s">
        <v>4476</v>
      </c>
      <c r="C888" t="s">
        <v>4477</v>
      </c>
      <c r="D888" t="s">
        <v>4478</v>
      </c>
      <c r="E888" t="s">
        <v>4479</v>
      </c>
      <c r="F888" t="s">
        <v>7</v>
      </c>
      <c r="G888" t="s">
        <v>7</v>
      </c>
      <c r="H888" t="s">
        <v>63</v>
      </c>
      <c r="I888" t="s">
        <v>140</v>
      </c>
      <c r="J888" t="s">
        <v>4478</v>
      </c>
      <c r="K888" t="s">
        <v>32</v>
      </c>
      <c r="L888" t="s">
        <v>32</v>
      </c>
      <c r="M888" t="s">
        <v>36</v>
      </c>
      <c r="N888" t="s">
        <v>37</v>
      </c>
      <c r="O888" t="s">
        <v>66</v>
      </c>
      <c r="P888" t="s">
        <v>66</v>
      </c>
      <c r="Q888" t="s">
        <v>32</v>
      </c>
      <c r="R888" t="s">
        <v>4480</v>
      </c>
      <c r="S888" t="s">
        <v>32</v>
      </c>
      <c r="T888" s="2">
        <v>117.32922</v>
      </c>
      <c r="U888" s="2">
        <v>39.029585</v>
      </c>
    </row>
    <row r="889" spans="1:21">
      <c r="A889" t="s">
        <v>4481</v>
      </c>
      <c r="B889" t="s">
        <v>4482</v>
      </c>
      <c r="C889" t="s">
        <v>4483</v>
      </c>
      <c r="D889" t="s">
        <v>4484</v>
      </c>
      <c r="E889" t="s">
        <v>4485</v>
      </c>
      <c r="F889" t="s">
        <v>7</v>
      </c>
      <c r="G889" t="s">
        <v>7</v>
      </c>
      <c r="H889" t="s">
        <v>133</v>
      </c>
      <c r="I889" t="s">
        <v>35</v>
      </c>
      <c r="J889" t="s">
        <v>4484</v>
      </c>
      <c r="K889" t="s">
        <v>32</v>
      </c>
      <c r="L889" t="s">
        <v>32</v>
      </c>
      <c r="M889" t="s">
        <v>36</v>
      </c>
      <c r="N889" t="s">
        <v>37</v>
      </c>
      <c r="O889" t="s">
        <v>66</v>
      </c>
      <c r="P889" t="s">
        <v>66</v>
      </c>
      <c r="Q889" t="s">
        <v>32</v>
      </c>
      <c r="R889" t="s">
        <v>4486</v>
      </c>
      <c r="S889" t="s">
        <v>32</v>
      </c>
      <c r="T889" s="2">
        <v>117.154805</v>
      </c>
      <c r="U889" s="2">
        <v>39.161237</v>
      </c>
    </row>
    <row r="890" spans="1:21">
      <c r="A890" t="s">
        <v>4487</v>
      </c>
      <c r="B890" t="s">
        <v>3993</v>
      </c>
      <c r="C890" t="s">
        <v>4488</v>
      </c>
      <c r="D890" t="s">
        <v>4489</v>
      </c>
      <c r="E890" t="s">
        <v>4490</v>
      </c>
      <c r="F890" t="s">
        <v>7</v>
      </c>
      <c r="G890" t="s">
        <v>7</v>
      </c>
      <c r="H890" t="s">
        <v>56</v>
      </c>
      <c r="I890" t="s">
        <v>35</v>
      </c>
      <c r="J890" t="s">
        <v>4489</v>
      </c>
      <c r="K890" t="s">
        <v>32</v>
      </c>
      <c r="L890" t="s">
        <v>32</v>
      </c>
      <c r="M890" t="s">
        <v>36</v>
      </c>
      <c r="N890" t="s">
        <v>37</v>
      </c>
      <c r="O890" t="s">
        <v>66</v>
      </c>
      <c r="P890" t="s">
        <v>66</v>
      </c>
      <c r="Q890" t="s">
        <v>32</v>
      </c>
      <c r="R890" t="s">
        <v>4491</v>
      </c>
      <c r="S890" t="s">
        <v>32</v>
      </c>
      <c r="T890" s="2">
        <v>117.106249</v>
      </c>
      <c r="U890" s="2">
        <v>39.259246</v>
      </c>
    </row>
    <row r="891" spans="1:21">
      <c r="A891" t="s">
        <v>4492</v>
      </c>
      <c r="B891" t="s">
        <v>4493</v>
      </c>
      <c r="C891" t="s">
        <v>4494</v>
      </c>
      <c r="D891" t="s">
        <v>32</v>
      </c>
      <c r="E891" t="s">
        <v>4495</v>
      </c>
      <c r="F891" t="s">
        <v>7</v>
      </c>
      <c r="G891" t="s">
        <v>7</v>
      </c>
      <c r="H891" t="s">
        <v>262</v>
      </c>
      <c r="I891" t="s">
        <v>35</v>
      </c>
      <c r="J891" t="s">
        <v>32</v>
      </c>
      <c r="K891" t="s">
        <v>32</v>
      </c>
      <c r="L891" t="s">
        <v>32</v>
      </c>
      <c r="M891" t="s">
        <v>36</v>
      </c>
      <c r="N891" t="s">
        <v>37</v>
      </c>
      <c r="O891" t="s">
        <v>66</v>
      </c>
      <c r="P891" t="s">
        <v>66</v>
      </c>
      <c r="Q891" t="s">
        <v>32</v>
      </c>
      <c r="R891" t="s">
        <v>4496</v>
      </c>
      <c r="S891" t="s">
        <v>32</v>
      </c>
      <c r="T891" s="2">
        <v>117.23717</v>
      </c>
      <c r="U891" s="2">
        <v>39.165604</v>
      </c>
    </row>
    <row r="892" spans="1:21">
      <c r="A892" t="s">
        <v>4497</v>
      </c>
      <c r="B892" t="s">
        <v>4498</v>
      </c>
      <c r="C892" t="s">
        <v>4499</v>
      </c>
      <c r="D892" t="s">
        <v>4500</v>
      </c>
      <c r="E892" t="s">
        <v>4501</v>
      </c>
      <c r="F892" t="s">
        <v>7</v>
      </c>
      <c r="G892" t="s">
        <v>7</v>
      </c>
      <c r="H892" t="s">
        <v>56</v>
      </c>
      <c r="I892" t="s">
        <v>35</v>
      </c>
      <c r="J892" t="s">
        <v>4500</v>
      </c>
      <c r="K892" t="s">
        <v>32</v>
      </c>
      <c r="L892" t="s">
        <v>32</v>
      </c>
      <c r="M892" t="s">
        <v>36</v>
      </c>
      <c r="N892" t="s">
        <v>37</v>
      </c>
      <c r="O892" t="s">
        <v>66</v>
      </c>
      <c r="P892" t="s">
        <v>66</v>
      </c>
      <c r="Q892" t="s">
        <v>32</v>
      </c>
      <c r="R892" t="s">
        <v>4502</v>
      </c>
      <c r="S892" t="s">
        <v>32</v>
      </c>
      <c r="T892" s="2">
        <v>117.222422</v>
      </c>
      <c r="U892" s="2">
        <v>39.214406</v>
      </c>
    </row>
    <row r="893" spans="1:21">
      <c r="A893" t="s">
        <v>4503</v>
      </c>
      <c r="B893" t="s">
        <v>4504</v>
      </c>
      <c r="C893" t="s">
        <v>4505</v>
      </c>
      <c r="D893" t="s">
        <v>4506</v>
      </c>
      <c r="E893" t="s">
        <v>4507</v>
      </c>
      <c r="F893" t="s">
        <v>7</v>
      </c>
      <c r="G893" t="s">
        <v>7</v>
      </c>
      <c r="H893" t="s">
        <v>34</v>
      </c>
      <c r="I893" t="s">
        <v>35</v>
      </c>
      <c r="J893" t="s">
        <v>4506</v>
      </c>
      <c r="K893" t="s">
        <v>32</v>
      </c>
      <c r="L893" t="s">
        <v>32</v>
      </c>
      <c r="M893" t="s">
        <v>36</v>
      </c>
      <c r="N893" t="s">
        <v>37</v>
      </c>
      <c r="O893" t="s">
        <v>66</v>
      </c>
      <c r="P893" t="s">
        <v>66</v>
      </c>
      <c r="Q893" t="s">
        <v>32</v>
      </c>
      <c r="R893" t="s">
        <v>4508</v>
      </c>
      <c r="S893" t="s">
        <v>32</v>
      </c>
      <c r="T893" s="2">
        <v>117.154201</v>
      </c>
      <c r="U893" s="2">
        <v>39.137439</v>
      </c>
    </row>
    <row r="894" spans="1:21">
      <c r="A894" t="s">
        <v>4509</v>
      </c>
      <c r="B894" t="s">
        <v>4510</v>
      </c>
      <c r="C894" t="s">
        <v>4511</v>
      </c>
      <c r="D894" t="s">
        <v>4512</v>
      </c>
      <c r="E894" t="s">
        <v>4513</v>
      </c>
      <c r="F894" t="s">
        <v>7</v>
      </c>
      <c r="G894" t="s">
        <v>7</v>
      </c>
      <c r="H894" t="s">
        <v>43</v>
      </c>
      <c r="I894" t="s">
        <v>35</v>
      </c>
      <c r="J894" t="s">
        <v>4512</v>
      </c>
      <c r="K894" t="s">
        <v>32</v>
      </c>
      <c r="L894" t="s">
        <v>32</v>
      </c>
      <c r="M894" t="s">
        <v>36</v>
      </c>
      <c r="N894" t="s">
        <v>37</v>
      </c>
      <c r="O894" t="s">
        <v>66</v>
      </c>
      <c r="P894" t="s">
        <v>66</v>
      </c>
      <c r="Q894" t="s">
        <v>32</v>
      </c>
      <c r="R894" t="s">
        <v>4514</v>
      </c>
      <c r="S894" t="s">
        <v>32</v>
      </c>
      <c r="T894" s="2">
        <v>117.204307</v>
      </c>
      <c r="U894" s="2">
        <v>39.03226</v>
      </c>
    </row>
    <row r="895" spans="1:21">
      <c r="A895" t="s">
        <v>4515</v>
      </c>
      <c r="B895" t="s">
        <v>4516</v>
      </c>
      <c r="C895" t="s">
        <v>4517</v>
      </c>
      <c r="D895" t="s">
        <v>4518</v>
      </c>
      <c r="E895" t="s">
        <v>4519</v>
      </c>
      <c r="F895" t="s">
        <v>7</v>
      </c>
      <c r="G895" t="s">
        <v>7</v>
      </c>
      <c r="H895" t="s">
        <v>133</v>
      </c>
      <c r="I895" t="s">
        <v>35</v>
      </c>
      <c r="J895" t="s">
        <v>4518</v>
      </c>
      <c r="K895" t="s">
        <v>32</v>
      </c>
      <c r="L895" t="s">
        <v>32</v>
      </c>
      <c r="M895" t="s">
        <v>36</v>
      </c>
      <c r="N895" t="s">
        <v>37</v>
      </c>
      <c r="O895" t="s">
        <v>66</v>
      </c>
      <c r="P895" t="s">
        <v>66</v>
      </c>
      <c r="Q895" t="s">
        <v>32</v>
      </c>
      <c r="R895" t="s">
        <v>4520</v>
      </c>
      <c r="S895" t="s">
        <v>32</v>
      </c>
      <c r="T895" s="2">
        <v>117.138124</v>
      </c>
      <c r="U895" s="2">
        <v>39.149674</v>
      </c>
    </row>
    <row r="896" spans="1:21">
      <c r="A896" t="s">
        <v>4521</v>
      </c>
      <c r="B896" t="s">
        <v>4522</v>
      </c>
      <c r="C896" t="s">
        <v>4523</v>
      </c>
      <c r="D896" t="s">
        <v>4524</v>
      </c>
      <c r="E896" t="s">
        <v>4525</v>
      </c>
      <c r="F896" t="s">
        <v>7</v>
      </c>
      <c r="G896" t="s">
        <v>7</v>
      </c>
      <c r="H896" t="s">
        <v>34</v>
      </c>
      <c r="I896" t="s">
        <v>35</v>
      </c>
      <c r="J896" t="s">
        <v>4524</v>
      </c>
      <c r="K896" t="s">
        <v>32</v>
      </c>
      <c r="L896" t="s">
        <v>32</v>
      </c>
      <c r="M896" t="s">
        <v>36</v>
      </c>
      <c r="N896" t="s">
        <v>37</v>
      </c>
      <c r="O896" t="s">
        <v>66</v>
      </c>
      <c r="P896" t="s">
        <v>66</v>
      </c>
      <c r="Q896" t="s">
        <v>32</v>
      </c>
      <c r="R896" t="s">
        <v>4526</v>
      </c>
      <c r="S896" t="s">
        <v>32</v>
      </c>
      <c r="T896" s="2">
        <v>117.176047</v>
      </c>
      <c r="U896" s="2">
        <v>39.098413</v>
      </c>
    </row>
    <row r="897" spans="1:21">
      <c r="A897" t="s">
        <v>4527</v>
      </c>
      <c r="B897" t="s">
        <v>4528</v>
      </c>
      <c r="C897" t="s">
        <v>4529</v>
      </c>
      <c r="D897" t="s">
        <v>4530</v>
      </c>
      <c r="E897" t="s">
        <v>4531</v>
      </c>
      <c r="F897" t="s">
        <v>7</v>
      </c>
      <c r="G897" t="s">
        <v>7</v>
      </c>
      <c r="H897" t="s">
        <v>63</v>
      </c>
      <c r="I897" t="s">
        <v>35</v>
      </c>
      <c r="J897" t="s">
        <v>4530</v>
      </c>
      <c r="K897" t="s">
        <v>32</v>
      </c>
      <c r="L897" t="s">
        <v>32</v>
      </c>
      <c r="M897" t="s">
        <v>36</v>
      </c>
      <c r="N897" t="s">
        <v>37</v>
      </c>
      <c r="O897" t="s">
        <v>66</v>
      </c>
      <c r="P897" t="s">
        <v>66</v>
      </c>
      <c r="Q897" t="s">
        <v>32</v>
      </c>
      <c r="R897" t="s">
        <v>4532</v>
      </c>
      <c r="S897" t="s">
        <v>32</v>
      </c>
      <c r="T897" s="2">
        <v>117.306335</v>
      </c>
      <c r="U897" s="2">
        <v>39.024442</v>
      </c>
    </row>
    <row r="898" spans="1:21">
      <c r="A898" t="s">
        <v>4533</v>
      </c>
      <c r="B898" t="s">
        <v>4534</v>
      </c>
      <c r="C898" t="s">
        <v>4535</v>
      </c>
      <c r="D898" t="s">
        <v>4536</v>
      </c>
      <c r="E898" t="s">
        <v>4537</v>
      </c>
      <c r="F898" t="s">
        <v>7</v>
      </c>
      <c r="G898" t="s">
        <v>7</v>
      </c>
      <c r="H898" t="s">
        <v>133</v>
      </c>
      <c r="I898" t="s">
        <v>35</v>
      </c>
      <c r="J898" t="s">
        <v>4536</v>
      </c>
      <c r="K898" t="s">
        <v>32</v>
      </c>
      <c r="L898" t="s">
        <v>32</v>
      </c>
      <c r="M898" t="s">
        <v>36</v>
      </c>
      <c r="N898" t="s">
        <v>37</v>
      </c>
      <c r="O898" t="s">
        <v>66</v>
      </c>
      <c r="P898" t="s">
        <v>66</v>
      </c>
      <c r="Q898" t="s">
        <v>32</v>
      </c>
      <c r="R898" t="s">
        <v>4538</v>
      </c>
      <c r="S898" t="s">
        <v>32</v>
      </c>
      <c r="T898" s="2">
        <v>117.161818</v>
      </c>
      <c r="U898" s="2">
        <v>39.142419</v>
      </c>
    </row>
    <row r="899" spans="1:21">
      <c r="A899" t="s">
        <v>4539</v>
      </c>
      <c r="B899" t="s">
        <v>4540</v>
      </c>
      <c r="C899" t="s">
        <v>4541</v>
      </c>
      <c r="D899" t="s">
        <v>4542</v>
      </c>
      <c r="E899" t="s">
        <v>4543</v>
      </c>
      <c r="F899" t="s">
        <v>7</v>
      </c>
      <c r="G899" t="s">
        <v>7</v>
      </c>
      <c r="H899" t="s">
        <v>73</v>
      </c>
      <c r="I899" t="s">
        <v>35</v>
      </c>
      <c r="J899" t="s">
        <v>4542</v>
      </c>
      <c r="K899" t="s">
        <v>32</v>
      </c>
      <c r="L899" t="s">
        <v>32</v>
      </c>
      <c r="M899" t="s">
        <v>36</v>
      </c>
      <c r="N899" t="s">
        <v>37</v>
      </c>
      <c r="O899" t="s">
        <v>66</v>
      </c>
      <c r="P899" t="s">
        <v>66</v>
      </c>
      <c r="Q899" t="s">
        <v>32</v>
      </c>
      <c r="R899" t="s">
        <v>4544</v>
      </c>
      <c r="S899" t="s">
        <v>32</v>
      </c>
      <c r="T899" s="2">
        <v>117.338609</v>
      </c>
      <c r="U899" s="2">
        <v>39.157657</v>
      </c>
    </row>
    <row r="900" spans="1:21">
      <c r="A900" t="s">
        <v>4545</v>
      </c>
      <c r="B900" t="s">
        <v>30</v>
      </c>
      <c r="C900" t="s">
        <v>4546</v>
      </c>
      <c r="D900" t="s">
        <v>4547</v>
      </c>
      <c r="E900" t="s">
        <v>4548</v>
      </c>
      <c r="F900" t="s">
        <v>7</v>
      </c>
      <c r="G900" t="s">
        <v>7</v>
      </c>
      <c r="H900" t="s">
        <v>63</v>
      </c>
      <c r="I900" t="s">
        <v>154</v>
      </c>
      <c r="J900" t="s">
        <v>4547</v>
      </c>
      <c r="K900" t="s">
        <v>85</v>
      </c>
      <c r="L900" t="s">
        <v>595</v>
      </c>
      <c r="M900" t="s">
        <v>36</v>
      </c>
      <c r="N900" t="s">
        <v>4549</v>
      </c>
      <c r="O900" t="s">
        <v>4550</v>
      </c>
      <c r="P900" t="s">
        <v>4551</v>
      </c>
      <c r="Q900" t="s">
        <v>74</v>
      </c>
      <c r="R900" t="s">
        <v>4552</v>
      </c>
      <c r="S900" t="s">
        <v>32</v>
      </c>
      <c r="T900" s="2">
        <v>117.307279</v>
      </c>
      <c r="U900" s="2">
        <v>39.01249</v>
      </c>
    </row>
    <row r="901" spans="1:21">
      <c r="A901" t="s">
        <v>4553</v>
      </c>
      <c r="B901" t="s">
        <v>30</v>
      </c>
      <c r="C901" t="s">
        <v>4554</v>
      </c>
      <c r="D901" t="s">
        <v>4555</v>
      </c>
      <c r="E901" t="s">
        <v>4556</v>
      </c>
      <c r="F901" t="s">
        <v>7</v>
      </c>
      <c r="G901" t="s">
        <v>7</v>
      </c>
      <c r="H901" t="s">
        <v>56</v>
      </c>
      <c r="I901" t="s">
        <v>51</v>
      </c>
      <c r="J901" t="s">
        <v>4555</v>
      </c>
      <c r="K901" t="s">
        <v>85</v>
      </c>
      <c r="L901" t="s">
        <v>65</v>
      </c>
      <c r="M901" t="s">
        <v>36</v>
      </c>
      <c r="N901" t="s">
        <v>4549</v>
      </c>
      <c r="O901" t="s">
        <v>4550</v>
      </c>
      <c r="P901" t="s">
        <v>4551</v>
      </c>
      <c r="Q901" t="s">
        <v>74</v>
      </c>
      <c r="R901" t="s">
        <v>4557</v>
      </c>
      <c r="S901" t="s">
        <v>32</v>
      </c>
      <c r="T901" s="2">
        <v>117.021917</v>
      </c>
      <c r="U901" s="2">
        <v>39.232608</v>
      </c>
    </row>
    <row r="902" spans="1:21">
      <c r="A902" t="s">
        <v>4558</v>
      </c>
      <c r="B902" t="s">
        <v>30</v>
      </c>
      <c r="C902" t="s">
        <v>4559</v>
      </c>
      <c r="D902" t="s">
        <v>4560</v>
      </c>
      <c r="E902" t="s">
        <v>4561</v>
      </c>
      <c r="F902" t="s">
        <v>7</v>
      </c>
      <c r="G902" t="s">
        <v>7</v>
      </c>
      <c r="H902" t="s">
        <v>73</v>
      </c>
      <c r="I902" t="s">
        <v>51</v>
      </c>
      <c r="J902" t="s">
        <v>4560</v>
      </c>
      <c r="K902" t="s">
        <v>1046</v>
      </c>
      <c r="L902" t="s">
        <v>65</v>
      </c>
      <c r="M902" t="s">
        <v>36</v>
      </c>
      <c r="N902" t="s">
        <v>4549</v>
      </c>
      <c r="O902" t="s">
        <v>4550</v>
      </c>
      <c r="P902" t="s">
        <v>4551</v>
      </c>
      <c r="Q902" t="s">
        <v>74</v>
      </c>
      <c r="R902" t="s">
        <v>4562</v>
      </c>
      <c r="S902" t="s">
        <v>32</v>
      </c>
      <c r="T902" s="2">
        <v>117.348755</v>
      </c>
      <c r="U902" s="2">
        <v>39.078503</v>
      </c>
    </row>
    <row r="903" spans="1:21">
      <c r="A903" t="s">
        <v>4563</v>
      </c>
      <c r="B903" t="s">
        <v>30</v>
      </c>
      <c r="C903" t="s">
        <v>4564</v>
      </c>
      <c r="D903" t="s">
        <v>4565</v>
      </c>
      <c r="E903" t="s">
        <v>4566</v>
      </c>
      <c r="F903" t="s">
        <v>7</v>
      </c>
      <c r="G903" t="s">
        <v>7</v>
      </c>
      <c r="H903" t="s">
        <v>56</v>
      </c>
      <c r="I903" t="s">
        <v>593</v>
      </c>
      <c r="J903" t="s">
        <v>4565</v>
      </c>
      <c r="K903" t="s">
        <v>4567</v>
      </c>
      <c r="L903" t="s">
        <v>65</v>
      </c>
      <c r="M903" t="s">
        <v>36</v>
      </c>
      <c r="N903" t="s">
        <v>4549</v>
      </c>
      <c r="O903" t="s">
        <v>4550</v>
      </c>
      <c r="P903" t="s">
        <v>4551</v>
      </c>
      <c r="Q903" t="s">
        <v>74</v>
      </c>
      <c r="R903" t="s">
        <v>4568</v>
      </c>
      <c r="S903" t="s">
        <v>32</v>
      </c>
      <c r="T903" s="2">
        <v>117.216286</v>
      </c>
      <c r="U903" s="2">
        <v>39.231599</v>
      </c>
    </row>
    <row r="904" spans="1:21">
      <c r="A904" t="s">
        <v>4569</v>
      </c>
      <c r="B904" t="s">
        <v>30</v>
      </c>
      <c r="C904" t="s">
        <v>4570</v>
      </c>
      <c r="D904" t="s">
        <v>4571</v>
      </c>
      <c r="E904" t="s">
        <v>4572</v>
      </c>
      <c r="F904" t="s">
        <v>7</v>
      </c>
      <c r="G904" t="s">
        <v>7</v>
      </c>
      <c r="H904" t="s">
        <v>73</v>
      </c>
      <c r="I904" t="s">
        <v>154</v>
      </c>
      <c r="J904" t="s">
        <v>4571</v>
      </c>
      <c r="K904" t="s">
        <v>971</v>
      </c>
      <c r="L904" t="s">
        <v>65</v>
      </c>
      <c r="M904" t="s">
        <v>36</v>
      </c>
      <c r="N904" t="s">
        <v>4549</v>
      </c>
      <c r="O904" t="s">
        <v>4550</v>
      </c>
      <c r="P904" t="s">
        <v>4551</v>
      </c>
      <c r="Q904" t="s">
        <v>45</v>
      </c>
      <c r="R904" t="s">
        <v>4573</v>
      </c>
      <c r="S904" t="s">
        <v>4574</v>
      </c>
      <c r="T904" s="2">
        <v>117.298883</v>
      </c>
      <c r="U904" s="2">
        <v>39.082974</v>
      </c>
    </row>
    <row r="905" spans="1:21">
      <c r="A905" t="s">
        <v>4575</v>
      </c>
      <c r="B905" t="s">
        <v>30</v>
      </c>
      <c r="C905" t="s">
        <v>4576</v>
      </c>
      <c r="D905" t="s">
        <v>4577</v>
      </c>
      <c r="E905" t="s">
        <v>4578</v>
      </c>
      <c r="F905" t="s">
        <v>7</v>
      </c>
      <c r="G905" t="s">
        <v>7</v>
      </c>
      <c r="H905" t="s">
        <v>56</v>
      </c>
      <c r="I905" t="s">
        <v>51</v>
      </c>
      <c r="J905" t="s">
        <v>4577</v>
      </c>
      <c r="K905" t="s">
        <v>949</v>
      </c>
      <c r="L905" t="s">
        <v>65</v>
      </c>
      <c r="M905" t="s">
        <v>36</v>
      </c>
      <c r="N905" t="s">
        <v>4549</v>
      </c>
      <c r="O905" t="s">
        <v>4550</v>
      </c>
      <c r="P905" t="s">
        <v>4551</v>
      </c>
      <c r="Q905" t="s">
        <v>74</v>
      </c>
      <c r="R905" t="s">
        <v>4579</v>
      </c>
      <c r="S905" t="s">
        <v>32</v>
      </c>
      <c r="T905" s="2">
        <v>117.168248</v>
      </c>
      <c r="U905" s="2">
        <v>39.191284</v>
      </c>
    </row>
    <row r="906" spans="1:21">
      <c r="A906" t="s">
        <v>4580</v>
      </c>
      <c r="B906" t="s">
        <v>30</v>
      </c>
      <c r="C906" t="s">
        <v>4581</v>
      </c>
      <c r="D906" t="s">
        <v>4582</v>
      </c>
      <c r="E906" t="s">
        <v>4583</v>
      </c>
      <c r="F906" t="s">
        <v>7</v>
      </c>
      <c r="G906" t="s">
        <v>7</v>
      </c>
      <c r="H906" t="s">
        <v>105</v>
      </c>
      <c r="I906" t="s">
        <v>51</v>
      </c>
      <c r="J906" t="s">
        <v>4582</v>
      </c>
      <c r="K906" t="s">
        <v>657</v>
      </c>
      <c r="L906" t="s">
        <v>65</v>
      </c>
      <c r="M906" t="s">
        <v>36</v>
      </c>
      <c r="N906" t="s">
        <v>4549</v>
      </c>
      <c r="O906" t="s">
        <v>4550</v>
      </c>
      <c r="P906" t="s">
        <v>4551</v>
      </c>
      <c r="Q906" t="s">
        <v>45</v>
      </c>
      <c r="R906" t="s">
        <v>4584</v>
      </c>
      <c r="S906" t="s">
        <v>32</v>
      </c>
      <c r="T906" s="2">
        <v>117.218786</v>
      </c>
      <c r="U906" s="2">
        <v>39.139424</v>
      </c>
    </row>
    <row r="907" spans="1:21">
      <c r="A907" t="s">
        <v>4585</v>
      </c>
      <c r="B907" t="s">
        <v>4586</v>
      </c>
      <c r="C907" t="s">
        <v>4587</v>
      </c>
      <c r="D907" t="s">
        <v>4588</v>
      </c>
      <c r="E907" t="s">
        <v>4589</v>
      </c>
      <c r="F907" t="s">
        <v>7</v>
      </c>
      <c r="G907" t="s">
        <v>7</v>
      </c>
      <c r="H907" t="s">
        <v>56</v>
      </c>
      <c r="I907" t="s">
        <v>637</v>
      </c>
      <c r="J907" t="s">
        <v>4588</v>
      </c>
      <c r="K907" t="s">
        <v>85</v>
      </c>
      <c r="L907" t="s">
        <v>65</v>
      </c>
      <c r="M907" t="s">
        <v>36</v>
      </c>
      <c r="N907" t="s">
        <v>4549</v>
      </c>
      <c r="O907" t="s">
        <v>4550</v>
      </c>
      <c r="P907" t="s">
        <v>4551</v>
      </c>
      <c r="Q907" t="s">
        <v>45</v>
      </c>
      <c r="R907" t="s">
        <v>4590</v>
      </c>
      <c r="S907" t="s">
        <v>32</v>
      </c>
      <c r="T907" s="2">
        <v>117.164064</v>
      </c>
      <c r="U907" s="2">
        <v>39.312795</v>
      </c>
    </row>
    <row r="908" spans="1:21">
      <c r="A908" t="s">
        <v>4591</v>
      </c>
      <c r="B908" t="s">
        <v>30</v>
      </c>
      <c r="C908" t="s">
        <v>4592</v>
      </c>
      <c r="D908" t="s">
        <v>4593</v>
      </c>
      <c r="E908" t="s">
        <v>4594</v>
      </c>
      <c r="F908" t="s">
        <v>7</v>
      </c>
      <c r="G908" t="s">
        <v>7</v>
      </c>
      <c r="H908" t="s">
        <v>105</v>
      </c>
      <c r="I908" t="s">
        <v>51</v>
      </c>
      <c r="J908" t="s">
        <v>4593</v>
      </c>
      <c r="K908" t="s">
        <v>85</v>
      </c>
      <c r="L908" t="s">
        <v>65</v>
      </c>
      <c r="M908" t="s">
        <v>36</v>
      </c>
      <c r="N908" t="s">
        <v>4549</v>
      </c>
      <c r="O908" t="s">
        <v>4550</v>
      </c>
      <c r="P908" t="s">
        <v>4551</v>
      </c>
      <c r="Q908" t="s">
        <v>45</v>
      </c>
      <c r="R908" t="s">
        <v>4595</v>
      </c>
      <c r="S908" t="s">
        <v>32</v>
      </c>
      <c r="T908" s="2">
        <v>117.28173</v>
      </c>
      <c r="U908" s="2">
        <v>39.102456</v>
      </c>
    </row>
    <row r="909" spans="1:21">
      <c r="A909" t="s">
        <v>4596</v>
      </c>
      <c r="B909" t="s">
        <v>30</v>
      </c>
      <c r="C909" t="s">
        <v>4554</v>
      </c>
      <c r="D909" t="s">
        <v>4597</v>
      </c>
      <c r="E909" t="s">
        <v>4598</v>
      </c>
      <c r="F909" t="s">
        <v>7</v>
      </c>
      <c r="G909" t="s">
        <v>7</v>
      </c>
      <c r="H909" t="s">
        <v>56</v>
      </c>
      <c r="I909" t="s">
        <v>51</v>
      </c>
      <c r="J909" t="s">
        <v>4597</v>
      </c>
      <c r="K909" t="s">
        <v>657</v>
      </c>
      <c r="L909" t="s">
        <v>65</v>
      </c>
      <c r="M909" t="s">
        <v>36</v>
      </c>
      <c r="N909" t="s">
        <v>4549</v>
      </c>
      <c r="O909" t="s">
        <v>4550</v>
      </c>
      <c r="P909" t="s">
        <v>4551</v>
      </c>
      <c r="Q909" t="s">
        <v>74</v>
      </c>
      <c r="R909" t="s">
        <v>4599</v>
      </c>
      <c r="S909" t="s">
        <v>32</v>
      </c>
      <c r="T909" s="2">
        <v>117.177816</v>
      </c>
      <c r="U909" s="2">
        <v>39.217437</v>
      </c>
    </row>
    <row r="910" spans="1:21">
      <c r="A910" t="s">
        <v>4600</v>
      </c>
      <c r="B910" t="s">
        <v>30</v>
      </c>
      <c r="C910" t="s">
        <v>4601</v>
      </c>
      <c r="D910" t="s">
        <v>4602</v>
      </c>
      <c r="E910" t="s">
        <v>4603</v>
      </c>
      <c r="F910" t="s">
        <v>7</v>
      </c>
      <c r="G910" t="s">
        <v>7</v>
      </c>
      <c r="H910" t="s">
        <v>56</v>
      </c>
      <c r="I910" t="s">
        <v>154</v>
      </c>
      <c r="J910" t="s">
        <v>4602</v>
      </c>
      <c r="K910" t="s">
        <v>85</v>
      </c>
      <c r="L910" t="s">
        <v>65</v>
      </c>
      <c r="M910" t="s">
        <v>36</v>
      </c>
      <c r="N910" t="s">
        <v>4549</v>
      </c>
      <c r="O910" t="s">
        <v>4550</v>
      </c>
      <c r="P910" t="s">
        <v>4551</v>
      </c>
      <c r="Q910" t="s">
        <v>45</v>
      </c>
      <c r="R910" t="s">
        <v>4604</v>
      </c>
      <c r="S910" t="s">
        <v>32</v>
      </c>
      <c r="T910" s="2">
        <v>117.166152</v>
      </c>
      <c r="U910" s="2">
        <v>39.188029</v>
      </c>
    </row>
    <row r="911" spans="1:21">
      <c r="A911" t="s">
        <v>4605</v>
      </c>
      <c r="B911" t="s">
        <v>30</v>
      </c>
      <c r="C911" t="s">
        <v>4606</v>
      </c>
      <c r="D911" t="s">
        <v>4607</v>
      </c>
      <c r="E911" t="s">
        <v>4608</v>
      </c>
      <c r="F911" t="s">
        <v>7</v>
      </c>
      <c r="G911" t="s">
        <v>7</v>
      </c>
      <c r="H911" t="s">
        <v>56</v>
      </c>
      <c r="I911" t="s">
        <v>51</v>
      </c>
      <c r="J911" t="s">
        <v>4607</v>
      </c>
      <c r="K911" t="s">
        <v>182</v>
      </c>
      <c r="L911" t="s">
        <v>65</v>
      </c>
      <c r="M911" t="s">
        <v>36</v>
      </c>
      <c r="N911" t="s">
        <v>4549</v>
      </c>
      <c r="O911" t="s">
        <v>4550</v>
      </c>
      <c r="P911" t="s">
        <v>4551</v>
      </c>
      <c r="Q911" t="s">
        <v>45</v>
      </c>
      <c r="R911" t="s">
        <v>4609</v>
      </c>
      <c r="S911" t="s">
        <v>32</v>
      </c>
      <c r="T911" s="2">
        <v>117.246663</v>
      </c>
      <c r="U911" s="2">
        <v>39.228943</v>
      </c>
    </row>
    <row r="912" spans="1:21">
      <c r="A912" t="s">
        <v>4610</v>
      </c>
      <c r="B912" t="s">
        <v>30</v>
      </c>
      <c r="C912" t="s">
        <v>4611</v>
      </c>
      <c r="D912" t="s">
        <v>4612</v>
      </c>
      <c r="E912" t="s">
        <v>4613</v>
      </c>
      <c r="F912" t="s">
        <v>7</v>
      </c>
      <c r="G912" t="s">
        <v>7</v>
      </c>
      <c r="H912" t="s">
        <v>146</v>
      </c>
      <c r="I912" t="s">
        <v>51</v>
      </c>
      <c r="J912" t="s">
        <v>4612</v>
      </c>
      <c r="K912" t="s">
        <v>85</v>
      </c>
      <c r="L912" t="s">
        <v>65</v>
      </c>
      <c r="M912" t="s">
        <v>36</v>
      </c>
      <c r="N912" t="s">
        <v>4549</v>
      </c>
      <c r="O912" t="s">
        <v>4550</v>
      </c>
      <c r="P912" t="s">
        <v>4551</v>
      </c>
      <c r="Q912" t="s">
        <v>45</v>
      </c>
      <c r="R912" t="s">
        <v>4614</v>
      </c>
      <c r="S912" t="s">
        <v>32</v>
      </c>
      <c r="T912" s="2">
        <v>117.095963</v>
      </c>
      <c r="U912" s="2">
        <v>39.078153</v>
      </c>
    </row>
    <row r="913" spans="1:21">
      <c r="A913" t="s">
        <v>4615</v>
      </c>
      <c r="B913" t="s">
        <v>30</v>
      </c>
      <c r="C913" t="s">
        <v>1098</v>
      </c>
      <c r="D913" t="s">
        <v>4616</v>
      </c>
      <c r="E913" t="s">
        <v>4617</v>
      </c>
      <c r="F913" t="s">
        <v>7</v>
      </c>
      <c r="G913" t="s">
        <v>7</v>
      </c>
      <c r="H913" t="s">
        <v>73</v>
      </c>
      <c r="I913" t="s">
        <v>51</v>
      </c>
      <c r="J913" t="s">
        <v>4616</v>
      </c>
      <c r="K913" t="s">
        <v>85</v>
      </c>
      <c r="L913" t="s">
        <v>65</v>
      </c>
      <c r="M913" t="s">
        <v>36</v>
      </c>
      <c r="N913" t="s">
        <v>4549</v>
      </c>
      <c r="O913" t="s">
        <v>4550</v>
      </c>
      <c r="P913" t="s">
        <v>4551</v>
      </c>
      <c r="Q913" t="s">
        <v>45</v>
      </c>
      <c r="R913" t="s">
        <v>4618</v>
      </c>
      <c r="S913" t="s">
        <v>32</v>
      </c>
      <c r="T913" s="2">
        <v>117.279593</v>
      </c>
      <c r="U913" s="2">
        <v>39.115016</v>
      </c>
    </row>
    <row r="914" spans="1:21">
      <c r="A914" t="s">
        <v>4619</v>
      </c>
      <c r="B914" t="s">
        <v>30</v>
      </c>
      <c r="C914" t="s">
        <v>4620</v>
      </c>
      <c r="D914" t="s">
        <v>4621</v>
      </c>
      <c r="E914" t="s">
        <v>4622</v>
      </c>
      <c r="F914" t="s">
        <v>7</v>
      </c>
      <c r="G914" t="s">
        <v>7</v>
      </c>
      <c r="H914" t="s">
        <v>73</v>
      </c>
      <c r="I914" t="s">
        <v>51</v>
      </c>
      <c r="J914" t="s">
        <v>4621</v>
      </c>
      <c r="K914" t="s">
        <v>85</v>
      </c>
      <c r="L914" t="s">
        <v>65</v>
      </c>
      <c r="M914" t="s">
        <v>36</v>
      </c>
      <c r="N914" t="s">
        <v>4549</v>
      </c>
      <c r="O914" t="s">
        <v>4550</v>
      </c>
      <c r="P914" t="s">
        <v>4551</v>
      </c>
      <c r="Q914" t="s">
        <v>45</v>
      </c>
      <c r="R914" t="s">
        <v>4623</v>
      </c>
      <c r="S914" t="s">
        <v>32</v>
      </c>
      <c r="T914" s="2">
        <v>117.301653</v>
      </c>
      <c r="U914" s="2">
        <v>39.154297</v>
      </c>
    </row>
    <row r="915" spans="1:21">
      <c r="A915" t="s">
        <v>4624</v>
      </c>
      <c r="B915" t="s">
        <v>30</v>
      </c>
      <c r="C915" t="s">
        <v>4625</v>
      </c>
      <c r="D915" t="s">
        <v>4626</v>
      </c>
      <c r="E915" t="s">
        <v>4627</v>
      </c>
      <c r="F915" t="s">
        <v>7</v>
      </c>
      <c r="G915" t="s">
        <v>7</v>
      </c>
      <c r="H915" t="s">
        <v>50</v>
      </c>
      <c r="I915" t="s">
        <v>51</v>
      </c>
      <c r="J915" t="s">
        <v>4626</v>
      </c>
      <c r="K915" t="s">
        <v>85</v>
      </c>
      <c r="L915" t="s">
        <v>65</v>
      </c>
      <c r="M915" t="s">
        <v>36</v>
      </c>
      <c r="N915" t="s">
        <v>4549</v>
      </c>
      <c r="O915" t="s">
        <v>4550</v>
      </c>
      <c r="P915" t="s">
        <v>4551</v>
      </c>
      <c r="Q915" t="s">
        <v>45</v>
      </c>
      <c r="R915" t="s">
        <v>4628</v>
      </c>
      <c r="S915" t="s">
        <v>32</v>
      </c>
      <c r="T915" s="2">
        <v>117.224078</v>
      </c>
      <c r="U915" s="2">
        <v>39.079353</v>
      </c>
    </row>
    <row r="916" spans="1:21">
      <c r="A916" t="s">
        <v>4629</v>
      </c>
      <c r="B916" t="s">
        <v>4630</v>
      </c>
      <c r="C916" t="s">
        <v>4631</v>
      </c>
      <c r="D916" t="s">
        <v>4632</v>
      </c>
      <c r="E916" t="s">
        <v>4633</v>
      </c>
      <c r="F916" t="s">
        <v>7</v>
      </c>
      <c r="G916" t="s">
        <v>7</v>
      </c>
      <c r="H916" t="s">
        <v>73</v>
      </c>
      <c r="I916" t="s">
        <v>51</v>
      </c>
      <c r="J916" t="s">
        <v>4632</v>
      </c>
      <c r="K916" t="s">
        <v>32</v>
      </c>
      <c r="L916" t="s">
        <v>32</v>
      </c>
      <c r="M916" t="s">
        <v>36</v>
      </c>
      <c r="N916" t="s">
        <v>4549</v>
      </c>
      <c r="O916" t="s">
        <v>4550</v>
      </c>
      <c r="P916" t="s">
        <v>4551</v>
      </c>
      <c r="Q916" t="s">
        <v>45</v>
      </c>
      <c r="R916" t="s">
        <v>4634</v>
      </c>
      <c r="S916" t="s">
        <v>32</v>
      </c>
      <c r="T916" s="2">
        <v>117.364444</v>
      </c>
      <c r="U916" s="2">
        <v>39.082861</v>
      </c>
    </row>
    <row r="917" spans="1:21">
      <c r="A917" t="s">
        <v>4635</v>
      </c>
      <c r="B917" t="s">
        <v>374</v>
      </c>
      <c r="C917" t="s">
        <v>4636</v>
      </c>
      <c r="D917" t="s">
        <v>32</v>
      </c>
      <c r="E917" t="s">
        <v>4637</v>
      </c>
      <c r="F917" t="s">
        <v>7</v>
      </c>
      <c r="G917" t="s">
        <v>7</v>
      </c>
      <c r="H917" t="s">
        <v>43</v>
      </c>
      <c r="I917" t="s">
        <v>44</v>
      </c>
      <c r="J917" t="s">
        <v>4638</v>
      </c>
      <c r="K917" t="s">
        <v>32</v>
      </c>
      <c r="L917" t="s">
        <v>32</v>
      </c>
      <c r="M917" t="s">
        <v>36</v>
      </c>
      <c r="N917" t="s">
        <v>4549</v>
      </c>
      <c r="O917" t="s">
        <v>4550</v>
      </c>
      <c r="P917" t="s">
        <v>4551</v>
      </c>
      <c r="Q917" t="s">
        <v>74</v>
      </c>
      <c r="R917" t="s">
        <v>4639</v>
      </c>
      <c r="S917" t="s">
        <v>32</v>
      </c>
      <c r="T917" s="2">
        <v>117.017939</v>
      </c>
      <c r="U917" s="2">
        <v>39.133369</v>
      </c>
    </row>
    <row r="918" spans="1:21">
      <c r="A918" t="s">
        <v>4640</v>
      </c>
      <c r="B918" t="s">
        <v>4641</v>
      </c>
      <c r="C918" t="s">
        <v>4642</v>
      </c>
      <c r="D918" t="s">
        <v>32</v>
      </c>
      <c r="E918" t="s">
        <v>4643</v>
      </c>
      <c r="F918" t="s">
        <v>7</v>
      </c>
      <c r="G918" t="s">
        <v>7</v>
      </c>
      <c r="H918" t="s">
        <v>34</v>
      </c>
      <c r="I918" t="s">
        <v>51</v>
      </c>
      <c r="J918" t="s">
        <v>32</v>
      </c>
      <c r="K918" t="s">
        <v>32</v>
      </c>
      <c r="L918" t="s">
        <v>32</v>
      </c>
      <c r="M918" t="s">
        <v>36</v>
      </c>
      <c r="N918" t="s">
        <v>4549</v>
      </c>
      <c r="O918" t="s">
        <v>4550</v>
      </c>
      <c r="P918" t="s">
        <v>4551</v>
      </c>
      <c r="Q918" t="s">
        <v>45</v>
      </c>
      <c r="R918" t="s">
        <v>4644</v>
      </c>
      <c r="S918" t="s">
        <v>32</v>
      </c>
      <c r="T918" s="2">
        <v>117.166644</v>
      </c>
      <c r="U918" s="2">
        <v>39.139987</v>
      </c>
    </row>
    <row r="919" spans="1:21">
      <c r="A919" t="s">
        <v>4645</v>
      </c>
      <c r="B919" t="s">
        <v>328</v>
      </c>
      <c r="C919" t="s">
        <v>2176</v>
      </c>
      <c r="D919" t="s">
        <v>32</v>
      </c>
      <c r="E919" t="s">
        <v>4646</v>
      </c>
      <c r="F919" t="s">
        <v>7</v>
      </c>
      <c r="G919" t="s">
        <v>7</v>
      </c>
      <c r="H919" t="s">
        <v>34</v>
      </c>
      <c r="I919" t="s">
        <v>44</v>
      </c>
      <c r="J919" t="s">
        <v>32</v>
      </c>
      <c r="K919" t="s">
        <v>32</v>
      </c>
      <c r="L919" t="s">
        <v>32</v>
      </c>
      <c r="M919" t="s">
        <v>36</v>
      </c>
      <c r="N919" t="s">
        <v>4549</v>
      </c>
      <c r="O919" t="s">
        <v>4550</v>
      </c>
      <c r="P919" t="s">
        <v>4551</v>
      </c>
      <c r="Q919" t="s">
        <v>74</v>
      </c>
      <c r="R919" t="s">
        <v>4647</v>
      </c>
      <c r="S919" t="s">
        <v>32</v>
      </c>
      <c r="T919" s="2">
        <v>117.144396</v>
      </c>
      <c r="U919" s="2">
        <v>39.057724</v>
      </c>
    </row>
    <row r="920" spans="1:21">
      <c r="A920" t="s">
        <v>4648</v>
      </c>
      <c r="B920" t="s">
        <v>30</v>
      </c>
      <c r="C920" t="s">
        <v>4649</v>
      </c>
      <c r="D920" t="s">
        <v>4650</v>
      </c>
      <c r="E920" t="s">
        <v>4651</v>
      </c>
      <c r="F920" t="s">
        <v>7</v>
      </c>
      <c r="G920" t="s">
        <v>7</v>
      </c>
      <c r="H920" t="s">
        <v>34</v>
      </c>
      <c r="I920" t="s">
        <v>35</v>
      </c>
      <c r="J920" t="s">
        <v>4650</v>
      </c>
      <c r="K920" t="s">
        <v>32</v>
      </c>
      <c r="L920" t="s">
        <v>32</v>
      </c>
      <c r="M920" t="s">
        <v>36</v>
      </c>
      <c r="N920" t="s">
        <v>4549</v>
      </c>
      <c r="O920" t="s">
        <v>4550</v>
      </c>
      <c r="P920" t="s">
        <v>4551</v>
      </c>
      <c r="Q920" t="s">
        <v>32</v>
      </c>
      <c r="R920" t="s">
        <v>4652</v>
      </c>
      <c r="S920" t="s">
        <v>32</v>
      </c>
      <c r="T920" s="2">
        <v>117.169237</v>
      </c>
      <c r="U920" s="2">
        <v>39.139547</v>
      </c>
    </row>
    <row r="921" spans="1:21">
      <c r="A921" t="s">
        <v>4653</v>
      </c>
      <c r="B921" t="s">
        <v>3313</v>
      </c>
      <c r="C921" t="s">
        <v>4654</v>
      </c>
      <c r="D921" t="s">
        <v>32</v>
      </c>
      <c r="E921" t="s">
        <v>4655</v>
      </c>
      <c r="F921" t="s">
        <v>7</v>
      </c>
      <c r="G921" t="s">
        <v>7</v>
      </c>
      <c r="H921" t="s">
        <v>262</v>
      </c>
      <c r="I921" t="s">
        <v>350</v>
      </c>
      <c r="J921" t="s">
        <v>32</v>
      </c>
      <c r="K921" t="s">
        <v>32</v>
      </c>
      <c r="L921" t="s">
        <v>32</v>
      </c>
      <c r="M921" t="s">
        <v>36</v>
      </c>
      <c r="N921" t="s">
        <v>4549</v>
      </c>
      <c r="O921" t="s">
        <v>4550</v>
      </c>
      <c r="P921" t="s">
        <v>4551</v>
      </c>
      <c r="Q921" t="s">
        <v>45</v>
      </c>
      <c r="R921" t="s">
        <v>4656</v>
      </c>
      <c r="S921" t="s">
        <v>32</v>
      </c>
      <c r="T921" s="2">
        <v>117.237271</v>
      </c>
      <c r="U921" s="2">
        <v>39.167134</v>
      </c>
    </row>
    <row r="922" spans="1:21">
      <c r="A922" t="s">
        <v>4657</v>
      </c>
      <c r="B922" t="s">
        <v>3738</v>
      </c>
      <c r="C922" t="s">
        <v>4138</v>
      </c>
      <c r="D922" t="s">
        <v>32</v>
      </c>
      <c r="E922" t="s">
        <v>4658</v>
      </c>
      <c r="F922" t="s">
        <v>7</v>
      </c>
      <c r="G922" t="s">
        <v>7</v>
      </c>
      <c r="H922" t="s">
        <v>133</v>
      </c>
      <c r="I922" t="s">
        <v>94</v>
      </c>
      <c r="J922" t="s">
        <v>32</v>
      </c>
      <c r="K922" t="s">
        <v>32</v>
      </c>
      <c r="L922" t="s">
        <v>32</v>
      </c>
      <c r="M922" t="s">
        <v>36</v>
      </c>
      <c r="N922" t="s">
        <v>4549</v>
      </c>
      <c r="O922" t="s">
        <v>4550</v>
      </c>
      <c r="P922" t="s">
        <v>4551</v>
      </c>
      <c r="Q922" t="s">
        <v>45</v>
      </c>
      <c r="R922" t="s">
        <v>4659</v>
      </c>
      <c r="S922" t="s">
        <v>32</v>
      </c>
      <c r="T922" s="2">
        <v>117.162649</v>
      </c>
      <c r="U922" s="2">
        <v>39.17603</v>
      </c>
    </row>
    <row r="923" spans="1:21">
      <c r="A923" t="s">
        <v>4660</v>
      </c>
      <c r="B923" t="s">
        <v>4661</v>
      </c>
      <c r="C923" t="s">
        <v>4662</v>
      </c>
      <c r="D923" t="s">
        <v>32</v>
      </c>
      <c r="E923" t="s">
        <v>4663</v>
      </c>
      <c r="F923" t="s">
        <v>7</v>
      </c>
      <c r="G923" t="s">
        <v>7</v>
      </c>
      <c r="H923" t="s">
        <v>320</v>
      </c>
      <c r="I923" t="s">
        <v>51</v>
      </c>
      <c r="J923" t="s">
        <v>32</v>
      </c>
      <c r="K923" t="s">
        <v>32</v>
      </c>
      <c r="L923" t="s">
        <v>32</v>
      </c>
      <c r="M923" t="s">
        <v>36</v>
      </c>
      <c r="N923" t="s">
        <v>4549</v>
      </c>
      <c r="O923" t="s">
        <v>4550</v>
      </c>
      <c r="P923" t="s">
        <v>4551</v>
      </c>
      <c r="Q923" t="s">
        <v>74</v>
      </c>
      <c r="R923" t="s">
        <v>4664</v>
      </c>
      <c r="S923" t="s">
        <v>32</v>
      </c>
      <c r="T923" s="2">
        <v>116.965493</v>
      </c>
      <c r="U923" s="2">
        <v>39.169296</v>
      </c>
    </row>
    <row r="924" spans="1:21">
      <c r="A924" t="s">
        <v>4665</v>
      </c>
      <c r="B924" t="s">
        <v>383</v>
      </c>
      <c r="C924" t="s">
        <v>4666</v>
      </c>
      <c r="D924" t="s">
        <v>4667</v>
      </c>
      <c r="E924" t="s">
        <v>4668</v>
      </c>
      <c r="F924" t="s">
        <v>7</v>
      </c>
      <c r="G924" t="s">
        <v>7</v>
      </c>
      <c r="H924" t="s">
        <v>43</v>
      </c>
      <c r="I924" t="s">
        <v>1221</v>
      </c>
      <c r="J924" t="s">
        <v>4667</v>
      </c>
      <c r="K924" t="s">
        <v>32</v>
      </c>
      <c r="L924" t="s">
        <v>32</v>
      </c>
      <c r="M924" t="s">
        <v>36</v>
      </c>
      <c r="N924" t="s">
        <v>4549</v>
      </c>
      <c r="O924" t="s">
        <v>4550</v>
      </c>
      <c r="P924" t="s">
        <v>4551</v>
      </c>
      <c r="Q924" t="s">
        <v>74</v>
      </c>
      <c r="R924" t="s">
        <v>4669</v>
      </c>
      <c r="S924" t="s">
        <v>32</v>
      </c>
      <c r="T924" s="2">
        <v>116.989811</v>
      </c>
      <c r="U924" s="2">
        <v>39.124117</v>
      </c>
    </row>
    <row r="925" spans="1:21">
      <c r="A925" t="s">
        <v>4670</v>
      </c>
      <c r="B925" t="s">
        <v>4671</v>
      </c>
      <c r="C925" t="s">
        <v>4672</v>
      </c>
      <c r="D925" t="s">
        <v>4673</v>
      </c>
      <c r="E925" t="s">
        <v>4674</v>
      </c>
      <c r="F925" t="s">
        <v>7</v>
      </c>
      <c r="G925" t="s">
        <v>7</v>
      </c>
      <c r="H925" t="s">
        <v>133</v>
      </c>
      <c r="I925" t="s">
        <v>350</v>
      </c>
      <c r="J925" t="s">
        <v>4673</v>
      </c>
      <c r="K925" t="s">
        <v>32</v>
      </c>
      <c r="L925" t="s">
        <v>32</v>
      </c>
      <c r="M925" t="s">
        <v>36</v>
      </c>
      <c r="N925" t="s">
        <v>4549</v>
      </c>
      <c r="O925" t="s">
        <v>4550</v>
      </c>
      <c r="P925" t="s">
        <v>4551</v>
      </c>
      <c r="Q925" t="s">
        <v>32</v>
      </c>
      <c r="R925" t="s">
        <v>4675</v>
      </c>
      <c r="S925" t="s">
        <v>32</v>
      </c>
      <c r="T925" s="2">
        <v>117.138257</v>
      </c>
      <c r="U925" s="2">
        <v>39.147628</v>
      </c>
    </row>
    <row r="926" spans="1:21">
      <c r="A926" t="s">
        <v>4676</v>
      </c>
      <c r="B926" t="s">
        <v>4677</v>
      </c>
      <c r="C926" t="s">
        <v>4678</v>
      </c>
      <c r="D926" t="s">
        <v>4679</v>
      </c>
      <c r="E926" t="s">
        <v>4680</v>
      </c>
      <c r="F926" t="s">
        <v>7</v>
      </c>
      <c r="G926" t="s">
        <v>7</v>
      </c>
      <c r="H926" t="s">
        <v>133</v>
      </c>
      <c r="I926" t="s">
        <v>51</v>
      </c>
      <c r="J926" t="s">
        <v>4679</v>
      </c>
      <c r="K926" t="s">
        <v>85</v>
      </c>
      <c r="L926" t="s">
        <v>1391</v>
      </c>
      <c r="M926" t="s">
        <v>36</v>
      </c>
      <c r="N926" t="s">
        <v>4549</v>
      </c>
      <c r="O926" t="s">
        <v>4550</v>
      </c>
      <c r="P926" t="s">
        <v>4551</v>
      </c>
      <c r="Q926" t="s">
        <v>45</v>
      </c>
      <c r="R926" t="s">
        <v>4681</v>
      </c>
      <c r="S926" t="s">
        <v>32</v>
      </c>
      <c r="T926" s="2">
        <v>117.132407</v>
      </c>
      <c r="U926" s="2">
        <v>39.152537</v>
      </c>
    </row>
    <row r="927" spans="1:21">
      <c r="A927" t="s">
        <v>4682</v>
      </c>
      <c r="B927" t="s">
        <v>4683</v>
      </c>
      <c r="C927" t="s">
        <v>4684</v>
      </c>
      <c r="D927" t="s">
        <v>4685</v>
      </c>
      <c r="E927" t="s">
        <v>4686</v>
      </c>
      <c r="F927" t="s">
        <v>7</v>
      </c>
      <c r="G927" t="s">
        <v>7</v>
      </c>
      <c r="H927" t="s">
        <v>43</v>
      </c>
      <c r="I927" t="s">
        <v>51</v>
      </c>
      <c r="J927" t="s">
        <v>4685</v>
      </c>
      <c r="K927" t="s">
        <v>32</v>
      </c>
      <c r="L927" t="s">
        <v>32</v>
      </c>
      <c r="M927" t="s">
        <v>36</v>
      </c>
      <c r="N927" t="s">
        <v>4549</v>
      </c>
      <c r="O927" t="s">
        <v>4550</v>
      </c>
      <c r="P927" t="s">
        <v>4551</v>
      </c>
      <c r="Q927" t="s">
        <v>45</v>
      </c>
      <c r="R927" t="s">
        <v>4687</v>
      </c>
      <c r="S927" t="s">
        <v>32</v>
      </c>
      <c r="T927" s="2">
        <v>117.145686</v>
      </c>
      <c r="U927" s="2">
        <v>39.152616</v>
      </c>
    </row>
    <row r="928" spans="1:21">
      <c r="A928" t="s">
        <v>4688</v>
      </c>
      <c r="B928" t="s">
        <v>3269</v>
      </c>
      <c r="C928" t="s">
        <v>4689</v>
      </c>
      <c r="D928" t="s">
        <v>32</v>
      </c>
      <c r="E928" t="s">
        <v>4690</v>
      </c>
      <c r="F928" t="s">
        <v>7</v>
      </c>
      <c r="G928" t="s">
        <v>7</v>
      </c>
      <c r="H928" t="s">
        <v>43</v>
      </c>
      <c r="I928" t="s">
        <v>350</v>
      </c>
      <c r="J928" t="s">
        <v>32</v>
      </c>
      <c r="K928" t="s">
        <v>32</v>
      </c>
      <c r="L928" t="s">
        <v>32</v>
      </c>
      <c r="M928" t="s">
        <v>36</v>
      </c>
      <c r="N928" t="s">
        <v>4549</v>
      </c>
      <c r="O928" t="s">
        <v>4550</v>
      </c>
      <c r="P928" t="s">
        <v>4551</v>
      </c>
      <c r="Q928" t="s">
        <v>45</v>
      </c>
      <c r="R928" t="s">
        <v>4691</v>
      </c>
      <c r="S928" t="s">
        <v>32</v>
      </c>
      <c r="T928" s="2">
        <v>116.993454</v>
      </c>
      <c r="U928" s="2">
        <v>39.128566</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2"/>
  <sheetViews>
    <sheetView workbookViewId="0">
      <selection activeCell="I19" sqref="I19"/>
    </sheetView>
  </sheetViews>
  <sheetFormatPr defaultColWidth="8.88888888888889" defaultRowHeight="14.4"/>
  <cols>
    <col min="1" max="11" width="10" style="1"/>
  </cols>
  <sheetData>
    <row r="1" spans="1:11">
      <c r="A1" s="1" t="str">
        <f>"企业名称"</f>
        <v>企业名称</v>
      </c>
      <c r="B1" s="1" t="str">
        <f>"名称"</f>
        <v>名称</v>
      </c>
      <c r="C1" s="1" t="str">
        <f>"编号"</f>
        <v>编号</v>
      </c>
      <c r="D1" s="1" t="str">
        <f>"荣誉类型"</f>
        <v>荣誉类型</v>
      </c>
      <c r="E1" s="1" t="str">
        <f>"级别"</f>
        <v>级别</v>
      </c>
      <c r="F1" s="1" t="str">
        <f>"发布单位"</f>
        <v>发布单位</v>
      </c>
      <c r="G1" s="1" t="str">
        <f>"认证年份"</f>
        <v>认证年份</v>
      </c>
      <c r="H1" s="1" t="str">
        <f>"发布日期"</f>
        <v>发布日期</v>
      </c>
      <c r="I1" s="1" t="str">
        <f>"有效期自"</f>
        <v>有效期自</v>
      </c>
      <c r="J1" s="1" t="str">
        <f>"有效期至"</f>
        <v>有效期至</v>
      </c>
      <c r="K1" s="1" t="str">
        <f>"来源"</f>
        <v>来源</v>
      </c>
    </row>
    <row r="2" spans="1:11">
      <c r="A2" s="1" t="str">
        <f>"天津市华夏车辆制造有限公司"</f>
        <v>天津市华夏车辆制造有限公司</v>
      </c>
      <c r="B2" s="1" t="str">
        <f>"高新技术企业"</f>
        <v>高新技术企业</v>
      </c>
      <c r="C2" s="1" t="str">
        <f>"GR202312003437"</f>
        <v>GR202312003437</v>
      </c>
      <c r="D2" s="1" t="str">
        <f t="shared" ref="D2:D10" si="0">"科技型企业"</f>
        <v>科技型企业</v>
      </c>
      <c r="E2" s="1" t="str">
        <f>"国家级"</f>
        <v>国家级</v>
      </c>
      <c r="F2" s="1" t="str">
        <f>"全国高新技术企业认定管理工作领导小组办公室"</f>
        <v>全国高新技术企业认定管理工作领导小组办公室</v>
      </c>
      <c r="G2" s="1" t="str">
        <f>"2023"</f>
        <v>2023</v>
      </c>
      <c r="H2" s="1" t="str">
        <f>"2023-12-28"</f>
        <v>2023-12-28</v>
      </c>
      <c r="I2" s="1" t="str">
        <f>"2023-12-08"</f>
        <v>2023-12-08</v>
      </c>
      <c r="J2" s="1" t="str">
        <f>"2026-12-08"</f>
        <v>2026-12-08</v>
      </c>
      <c r="K2" s="1" t="str">
        <f>"对天津市认定机构2023年认定报备的第二批高新技术企业进行备案的公告"</f>
        <v>对天津市认定机构2023年认定报备的第二批高新技术企业进行备案的公告</v>
      </c>
    </row>
    <row r="3" spans="1:11">
      <c r="A3" s="1" t="str">
        <f>"丰田汽车技术中心（中国）有限公司"</f>
        <v>丰田汽车技术中心（中国）有限公司</v>
      </c>
      <c r="B3" s="1" t="str">
        <f>"劳动关系和谐企业"</f>
        <v>劳动关系和谐企业</v>
      </c>
      <c r="C3" s="1" t="str">
        <f t="shared" ref="C3:C7" si="1">"-"</f>
        <v>-</v>
      </c>
      <c r="D3" s="1" t="str">
        <f>"荣誉"</f>
        <v>荣誉</v>
      </c>
      <c r="E3" s="1" t="str">
        <f>"区/县级"</f>
        <v>区/县级</v>
      </c>
      <c r="F3" s="1" t="str">
        <f>"天津高新区协调劳动关系三方委员会办公室"</f>
        <v>天津高新区协调劳动关系三方委员会办公室</v>
      </c>
      <c r="G3" s="1" t="str">
        <f>"2023"</f>
        <v>2023</v>
      </c>
      <c r="H3" s="1" t="str">
        <f>"2023-12-12"</f>
        <v>2023-12-12</v>
      </c>
      <c r="I3" s="1" t="str">
        <f>"-"</f>
        <v>-</v>
      </c>
      <c r="J3" s="1" t="str">
        <f t="shared" ref="J3:J8" si="2">"-"</f>
        <v>-</v>
      </c>
      <c r="K3" s="1" t="str">
        <f>"2023年度天津高新区区级劳动关系和谐企业名单"</f>
        <v>2023年度天津高新区区级劳动关系和谐企业名单</v>
      </c>
    </row>
    <row r="4" spans="1:11">
      <c r="A4" s="1" t="str">
        <f>"天津亚星世纪实业股份有限公司"</f>
        <v>天津亚星世纪实业股份有限公司</v>
      </c>
      <c r="B4" s="1" t="str">
        <f>"高新技术企业"</f>
        <v>高新技术企业</v>
      </c>
      <c r="C4" s="1" t="str">
        <f>"GR202212000927"</f>
        <v>GR202212000927</v>
      </c>
      <c r="D4" s="1" t="str">
        <f t="shared" si="0"/>
        <v>科技型企业</v>
      </c>
      <c r="E4" s="1" t="str">
        <f t="shared" ref="E4:E12" si="3">"国家级"</f>
        <v>国家级</v>
      </c>
      <c r="F4" s="1" t="str">
        <f>"全国高新技术企业认定管理工作领导小组办公室"</f>
        <v>全国高新技术企业认定管理工作领导小组办公室</v>
      </c>
      <c r="G4" s="1" t="str">
        <f>"2022"</f>
        <v>2022</v>
      </c>
      <c r="H4" s="1" t="str">
        <f>"2022-12-16"</f>
        <v>2022-12-16</v>
      </c>
      <c r="I4" s="1" t="str">
        <f>"2022-11-15"</f>
        <v>2022-11-15</v>
      </c>
      <c r="J4" s="1" t="str">
        <f>"2025-11-15"</f>
        <v>2025-11-15</v>
      </c>
      <c r="K4" s="1" t="str">
        <f>"关于天津市认定机构2022年认定的第二批高新技术企业进行备案的公告"</f>
        <v>关于天津市认定机构2022年认定的第二批高新技术企业进行备案的公告</v>
      </c>
    </row>
    <row r="5" spans="1:11">
      <c r="A5" s="1" t="str">
        <f>"松美可（天津）汽车配件有限公司"</f>
        <v>松美可（天津）汽车配件有限公司</v>
      </c>
      <c r="B5" s="1" t="str">
        <f>"绿色工厂"</f>
        <v>绿色工厂</v>
      </c>
      <c r="C5" s="1" t="str">
        <f t="shared" si="1"/>
        <v>-</v>
      </c>
      <c r="D5" s="1" t="str">
        <f>"制造业企业"</f>
        <v>制造业企业</v>
      </c>
      <c r="E5" s="1" t="str">
        <f t="shared" ref="E5:E7" si="4">"省级"</f>
        <v>省级</v>
      </c>
      <c r="F5" s="1" t="str">
        <f t="shared" ref="F5:F7" si="5">"天津市工业和信息化局"</f>
        <v>天津市工业和信息化局</v>
      </c>
      <c r="G5" s="1" t="str">
        <f t="shared" ref="G5:G11" si="6">"2024"</f>
        <v>2024</v>
      </c>
      <c r="H5" s="1" t="str">
        <f>"2025-07-16"</f>
        <v>2025-07-16</v>
      </c>
      <c r="I5" s="1" t="str">
        <f>"-"</f>
        <v>-</v>
      </c>
      <c r="J5" s="1" t="str">
        <f t="shared" si="2"/>
        <v>-</v>
      </c>
      <c r="K5" s="1" t="str">
        <f>"2024年度天津市绿色制造名单（绿色工厂）"</f>
        <v>2024年度天津市绿色制造名单（绿色工厂）</v>
      </c>
    </row>
    <row r="6" spans="1:11">
      <c r="A6" s="1" t="str">
        <f t="shared" ref="A6:A9" si="7">"天津星原工业科技有限公司"</f>
        <v>天津星原工业科技有限公司</v>
      </c>
      <c r="B6" s="1" t="str">
        <f>"专精特新中小企业"</f>
        <v>专精特新中小企业</v>
      </c>
      <c r="C6" s="1" t="str">
        <f t="shared" si="1"/>
        <v>-</v>
      </c>
      <c r="D6" s="1" t="str">
        <f t="shared" si="0"/>
        <v>科技型企业</v>
      </c>
      <c r="E6" s="1" t="str">
        <f t="shared" si="4"/>
        <v>省级</v>
      </c>
      <c r="F6" s="1" t="str">
        <f t="shared" si="5"/>
        <v>天津市工业和信息化局</v>
      </c>
      <c r="G6" s="1" t="str">
        <f>"2025"</f>
        <v>2025</v>
      </c>
      <c r="H6" s="1" t="str">
        <f>"2025-07-25"</f>
        <v>2025-07-25</v>
      </c>
      <c r="I6" s="1" t="str">
        <f>"2025-07-25"</f>
        <v>2025-07-25</v>
      </c>
      <c r="J6" s="1" t="str">
        <f>"2028-07-25"</f>
        <v>2028-07-25</v>
      </c>
      <c r="K6" s="1" t="str">
        <f>"天津市工业和信息化局、天津市财政局关于印发2025年度第一批天津市专精特新中小企业复核认定名单的通知"</f>
        <v>天津市工业和信息化局、天津市财政局关于印发2025年度第一批天津市专精特新中小企业复核认定名单的通知</v>
      </c>
    </row>
    <row r="7" spans="1:11">
      <c r="A7" s="1" t="str">
        <f t="shared" si="7"/>
        <v>天津星原工业科技有限公司</v>
      </c>
      <c r="B7" s="1" t="str">
        <f>"创新型中小企业"</f>
        <v>创新型中小企业</v>
      </c>
      <c r="C7" s="1" t="str">
        <f t="shared" si="1"/>
        <v>-</v>
      </c>
      <c r="D7" s="1" t="str">
        <f t="shared" si="0"/>
        <v>科技型企业</v>
      </c>
      <c r="E7" s="1" t="str">
        <f t="shared" si="4"/>
        <v>省级</v>
      </c>
      <c r="F7" s="1" t="str">
        <f t="shared" si="5"/>
        <v>天津市工业和信息化局</v>
      </c>
      <c r="G7" s="1" t="str">
        <f>"2025"</f>
        <v>2025</v>
      </c>
      <c r="H7" s="1" t="str">
        <f>"2025-06-20"</f>
        <v>2025-06-20</v>
      </c>
      <c r="I7" s="1" t="str">
        <f>"2025-06-20"</f>
        <v>2025-06-20</v>
      </c>
      <c r="J7" s="1" t="str">
        <f>"2028-06-20"</f>
        <v>2028-06-20</v>
      </c>
      <c r="K7" s="1" t="str">
        <f>"2025年度第一批天津市创新型中小企业拟通过企业名单公示"</f>
        <v>2025年度第一批天津市创新型中小企业拟通过企业名单公示</v>
      </c>
    </row>
    <row r="8" spans="1:11">
      <c r="A8" s="1" t="str">
        <f t="shared" si="7"/>
        <v>天津星原工业科技有限公司</v>
      </c>
      <c r="B8" s="1" t="str">
        <f>"科技型中小企业"</f>
        <v>科技型中小企业</v>
      </c>
      <c r="C8" s="1" t="str">
        <f>"2024120113A8009457"</f>
        <v>2024120113A8009457</v>
      </c>
      <c r="D8" s="1" t="str">
        <f t="shared" si="0"/>
        <v>科技型企业</v>
      </c>
      <c r="E8" s="1" t="str">
        <f t="shared" si="3"/>
        <v>国家级</v>
      </c>
      <c r="F8" s="1" t="str">
        <f>"天津市科学技术局"</f>
        <v>天津市科学技术局</v>
      </c>
      <c r="G8" s="1" t="str">
        <f t="shared" si="6"/>
        <v>2024</v>
      </c>
      <c r="H8" s="1" t="str">
        <f>"2024-10-23"</f>
        <v>2024-10-23</v>
      </c>
      <c r="I8" s="1" t="str">
        <f>"2024-10-23"</f>
        <v>2024-10-23</v>
      </c>
      <c r="J8" s="1" t="str">
        <f t="shared" si="2"/>
        <v>-</v>
      </c>
      <c r="K8" s="1" t="str">
        <f>"天津市2024年第6批入库科技型中小企业名单公告"</f>
        <v>天津市2024年第6批入库科技型中小企业名单公告</v>
      </c>
    </row>
    <row r="9" spans="1:11">
      <c r="A9" s="1" t="str">
        <f t="shared" si="7"/>
        <v>天津星原工业科技有限公司</v>
      </c>
      <c r="B9" s="1" t="str">
        <f t="shared" ref="B9:B12" si="8">"高新技术企业"</f>
        <v>高新技术企业</v>
      </c>
      <c r="C9" s="1" t="str">
        <f>"GR202312001877"</f>
        <v>GR202312001877</v>
      </c>
      <c r="D9" s="1" t="str">
        <f t="shared" si="0"/>
        <v>科技型企业</v>
      </c>
      <c r="E9" s="1" t="str">
        <f t="shared" si="3"/>
        <v>国家级</v>
      </c>
      <c r="F9" s="1" t="str">
        <f t="shared" ref="F9:F12" si="9">"全国高新技术企业认定管理工作领导小组办公室"</f>
        <v>全国高新技术企业认定管理工作领导小组办公室</v>
      </c>
      <c r="G9" s="1" t="str">
        <f t="shared" ref="G9:G14" si="10">"2023"</f>
        <v>2023</v>
      </c>
      <c r="H9" s="1" t="str">
        <f>"2023-12-28"</f>
        <v>2023-12-28</v>
      </c>
      <c r="I9" s="1" t="str">
        <f>"2023-12-08"</f>
        <v>2023-12-08</v>
      </c>
      <c r="J9" s="1" t="str">
        <f>"2026-12-08"</f>
        <v>2026-12-08</v>
      </c>
      <c r="K9" s="1" t="str">
        <f>"对天津市认定机构2023年认定报备的第二批高新技术企业进行备案的公告"</f>
        <v>对天津市认定机构2023年认定报备的第二批高新技术企业进行备案的公告</v>
      </c>
    </row>
    <row r="10" spans="1:11">
      <c r="A10" s="1" t="str">
        <f>"梦达驰汽车系统（天津）有限公司"</f>
        <v>梦达驰汽车系统（天津）有限公司</v>
      </c>
      <c r="B10" s="1" t="str">
        <f t="shared" si="8"/>
        <v>高新技术企业</v>
      </c>
      <c r="C10" s="1" t="str">
        <f>"GR202412003071"</f>
        <v>GR202412003071</v>
      </c>
      <c r="D10" s="1" t="str">
        <f t="shared" si="0"/>
        <v>科技型企业</v>
      </c>
      <c r="E10" s="1" t="str">
        <f t="shared" si="3"/>
        <v>国家级</v>
      </c>
      <c r="F10" s="1" t="str">
        <f t="shared" si="9"/>
        <v>全国高新技术企业认定管理工作领导小组办公室</v>
      </c>
      <c r="G10" s="1" t="str">
        <f t="shared" si="6"/>
        <v>2024</v>
      </c>
      <c r="H10" s="1" t="str">
        <f>"2024-12-18"</f>
        <v>2024-12-18</v>
      </c>
      <c r="I10" s="1" t="str">
        <f>"2024-12-03"</f>
        <v>2024-12-03</v>
      </c>
      <c r="J10" s="1" t="str">
        <f>"2027-12-03"</f>
        <v>2027-12-03</v>
      </c>
      <c r="K10" s="1" t="str">
        <f>"对天津市认定机构2024年认定报备的第二批高新技术企业进行备案的公告"</f>
        <v>对天津市认定机构2024年认定报备的第二批高新技术企业进行备案的公告</v>
      </c>
    </row>
    <row r="11" spans="1:11">
      <c r="A11" s="1" t="str">
        <f t="shared" ref="A11:A13" si="11">"天津泓德汽车玻璃有限公司"</f>
        <v>天津泓德汽车玻璃有限公司</v>
      </c>
      <c r="B11" s="1" t="str">
        <f>"绿色工厂"</f>
        <v>绿色工厂</v>
      </c>
      <c r="C11" s="1" t="str">
        <f t="shared" ref="C11:C16" si="12">"-"</f>
        <v>-</v>
      </c>
      <c r="D11" s="1" t="str">
        <f>"制造业企业"</f>
        <v>制造业企业</v>
      </c>
      <c r="E11" s="1" t="str">
        <f t="shared" si="3"/>
        <v>国家级</v>
      </c>
      <c r="F11" s="1" t="str">
        <f>"中华人民共和国工业和信息化部"</f>
        <v>中华人民共和国工业和信息化部</v>
      </c>
      <c r="G11" s="1" t="str">
        <f t="shared" si="6"/>
        <v>2024</v>
      </c>
      <c r="H11" s="1" t="str">
        <f>"2025-01-22"</f>
        <v>2025-01-22</v>
      </c>
      <c r="I11" s="1" t="str">
        <f>"-"</f>
        <v>-</v>
      </c>
      <c r="J11" s="1" t="str">
        <f t="shared" ref="J11:J14" si="13">"-"</f>
        <v>-</v>
      </c>
      <c r="K11" s="1" t="str">
        <f>"工业和信息化部办公厅关于公布2024年度绿色制造名单的通知（绿色工厂）"</f>
        <v>工业和信息化部办公厅关于公布2024年度绿色制造名单的通知（绿色工厂）</v>
      </c>
    </row>
    <row r="12" spans="1:11">
      <c r="A12" s="1" t="str">
        <f t="shared" si="11"/>
        <v>天津泓德汽车玻璃有限公司</v>
      </c>
      <c r="B12" s="1" t="str">
        <f t="shared" si="8"/>
        <v>高新技术企业</v>
      </c>
      <c r="C12" s="1" t="str">
        <f>"GR202312000329"</f>
        <v>GR202312000329</v>
      </c>
      <c r="D12" s="1" t="str">
        <f t="shared" ref="D12:D15" si="14">"科技型企业"</f>
        <v>科技型企业</v>
      </c>
      <c r="E12" s="1" t="str">
        <f t="shared" si="3"/>
        <v>国家级</v>
      </c>
      <c r="F12" s="1" t="str">
        <f t="shared" si="9"/>
        <v>全国高新技术企业认定管理工作领导小组办公室</v>
      </c>
      <c r="G12" s="1" t="str">
        <f t="shared" si="10"/>
        <v>2023</v>
      </c>
      <c r="H12" s="1" t="str">
        <f>"2023-11-27"</f>
        <v>2023-11-27</v>
      </c>
      <c r="I12" s="1" t="str">
        <f>"2023-11-06"</f>
        <v>2023-11-06</v>
      </c>
      <c r="J12" s="1" t="str">
        <f>"2026-11-06"</f>
        <v>2026-11-06</v>
      </c>
      <c r="K12" s="1" t="str">
        <f>"对天津市认定机构2023年认定报备的第一批高新技术企业进行备案的公告"</f>
        <v>对天津市认定机构2023年认定报备的第一批高新技术企业进行备案的公告</v>
      </c>
    </row>
    <row r="13" spans="1:11">
      <c r="A13" s="1" t="str">
        <f t="shared" si="11"/>
        <v>天津泓德汽车玻璃有限公司</v>
      </c>
      <c r="B13" s="1" t="str">
        <f>"企业技术中心"</f>
        <v>企业技术中心</v>
      </c>
      <c r="C13" s="1" t="str">
        <f t="shared" si="12"/>
        <v>-</v>
      </c>
      <c r="D13" s="1" t="str">
        <f t="shared" si="14"/>
        <v>科技型企业</v>
      </c>
      <c r="E13" s="1" t="str">
        <f t="shared" ref="E13:E16" si="15">"省级"</f>
        <v>省级</v>
      </c>
      <c r="F13" s="1" t="str">
        <f>"天津市工业和信息化局，天津市发展改革委，天津市科技局，天津市财政局"</f>
        <v>天津市工业和信息化局，天津市发展改革委，天津市科技局，天津市财政局</v>
      </c>
      <c r="G13" s="1" t="str">
        <f t="shared" si="10"/>
        <v>2023</v>
      </c>
      <c r="H13" s="1" t="str">
        <f>"2023-10-07"</f>
        <v>2023-10-07</v>
      </c>
      <c r="I13" s="1" t="str">
        <f>"2023-10-07"</f>
        <v>2023-10-07</v>
      </c>
      <c r="J13" s="1" t="str">
        <f t="shared" si="13"/>
        <v>-</v>
      </c>
      <c r="K13" s="1" t="str">
        <f>"2023全部天津市企业技术中心名单"</f>
        <v>2023全部天津市企业技术中心名单</v>
      </c>
    </row>
    <row r="14" spans="1:11">
      <c r="A14" s="1" t="str">
        <f>"天津惠德汽车进气系统股份有限公司"</f>
        <v>天津惠德汽车进气系统股份有限公司</v>
      </c>
      <c r="B14" s="1" t="str">
        <f>"企业技术中心"</f>
        <v>企业技术中心</v>
      </c>
      <c r="C14" s="1" t="str">
        <f t="shared" si="12"/>
        <v>-</v>
      </c>
      <c r="D14" s="1" t="str">
        <f t="shared" si="14"/>
        <v>科技型企业</v>
      </c>
      <c r="E14" s="1" t="str">
        <f t="shared" si="15"/>
        <v>省级</v>
      </c>
      <c r="F14" s="1" t="str">
        <f>"天津市工业和信息化局，天津市发展改革委，天津市科技局，天津市财政局"</f>
        <v>天津市工业和信息化局，天津市发展改革委，天津市科技局，天津市财政局</v>
      </c>
      <c r="G14" s="1" t="str">
        <f t="shared" si="10"/>
        <v>2023</v>
      </c>
      <c r="H14" s="1" t="str">
        <f>"2023-10-07"</f>
        <v>2023-10-07</v>
      </c>
      <c r="I14" s="1" t="str">
        <f>"2023-10-07"</f>
        <v>2023-10-07</v>
      </c>
      <c r="J14" s="1" t="str">
        <f t="shared" si="13"/>
        <v>-</v>
      </c>
      <c r="K14" s="1" t="str">
        <f>"2023全部天津市企业技术中心名单"</f>
        <v>2023全部天津市企业技术中心名单</v>
      </c>
    </row>
    <row r="15" spans="1:11">
      <c r="A15" s="1" t="str">
        <f t="shared" ref="A15:A18" si="16">"天津科世得润汽车部件有限公司"</f>
        <v>天津科世得润汽车部件有限公司</v>
      </c>
      <c r="B15" s="1" t="str">
        <f>"专精特新中小企业"</f>
        <v>专精特新中小企业</v>
      </c>
      <c r="C15" s="1" t="str">
        <f t="shared" si="12"/>
        <v>-</v>
      </c>
      <c r="D15" s="1" t="str">
        <f t="shared" si="14"/>
        <v>科技型企业</v>
      </c>
      <c r="E15" s="1" t="str">
        <f t="shared" si="15"/>
        <v>省级</v>
      </c>
      <c r="F15" s="1" t="str">
        <f t="shared" ref="F15:F21" si="17">"天津市工业和信息化局"</f>
        <v>天津市工业和信息化局</v>
      </c>
      <c r="G15" s="1" t="str">
        <f>"2025"</f>
        <v>2025</v>
      </c>
      <c r="H15" s="1" t="str">
        <f>"2025-07-25"</f>
        <v>2025-07-25</v>
      </c>
      <c r="I15" s="1" t="str">
        <f>"2025-07-25"</f>
        <v>2025-07-25</v>
      </c>
      <c r="J15" s="1" t="str">
        <f>"2028-07-25"</f>
        <v>2028-07-25</v>
      </c>
      <c r="K15" s="1" t="str">
        <f>"天津市工业和信息化局、天津市财政局关于印发2025年度第一批天津市专精特新中小企业申报认定名单的通知"</f>
        <v>天津市工业和信息化局、天津市财政局关于印发2025年度第一批天津市专精特新中小企业申报认定名单的通知</v>
      </c>
    </row>
    <row r="16" spans="1:11">
      <c r="A16" s="1" t="str">
        <f t="shared" si="16"/>
        <v>天津科世得润汽车部件有限公司</v>
      </c>
      <c r="B16" s="1" t="str">
        <f>"专精特新“种子”企业"</f>
        <v>专精特新“种子”企业</v>
      </c>
      <c r="C16" s="1" t="str">
        <f t="shared" si="12"/>
        <v>-</v>
      </c>
      <c r="D16" s="1" t="str">
        <f>"荣誉"</f>
        <v>荣誉</v>
      </c>
      <c r="E16" s="1" t="str">
        <f t="shared" si="15"/>
        <v>省级</v>
      </c>
      <c r="F16" s="1" t="str">
        <f t="shared" si="17"/>
        <v>天津市工业和信息化局</v>
      </c>
      <c r="G16" s="1" t="str">
        <f t="shared" ref="G16:G19" si="18">"2024"</f>
        <v>2024</v>
      </c>
      <c r="H16" s="1" t="str">
        <f>"2025-06-04"</f>
        <v>2025-06-04</v>
      </c>
      <c r="I16" s="1" t="str">
        <f t="shared" ref="I16:I21" si="19">"-"</f>
        <v>-</v>
      </c>
      <c r="J16" s="1" t="str">
        <f t="shared" ref="J16:J23" si="20">"-"</f>
        <v>-</v>
      </c>
      <c r="K16" s="1" t="str">
        <f>"天津市工业和信息化局市财政局关于公告2024年度天津市专精特新“种子”企业名单的通知"</f>
        <v>天津市工业和信息化局市财政局关于公告2024年度天津市专精特新“种子”企业名单的通知</v>
      </c>
    </row>
    <row r="17" spans="1:11">
      <c r="A17" s="1" t="str">
        <f t="shared" si="16"/>
        <v>天津科世得润汽车部件有限公司</v>
      </c>
      <c r="B17" s="1" t="str">
        <f>"高新技术企业"</f>
        <v>高新技术企业</v>
      </c>
      <c r="C17" s="1" t="str">
        <f>"GR202412003091"</f>
        <v>GR202412003091</v>
      </c>
      <c r="D17" s="1" t="str">
        <f>"科技型企业"</f>
        <v>科技型企业</v>
      </c>
      <c r="E17" s="1" t="str">
        <f>"国家级"</f>
        <v>国家级</v>
      </c>
      <c r="F17" s="1" t="str">
        <f>"全国高新技术企业认定管理工作领导小组办公室"</f>
        <v>全国高新技术企业认定管理工作领导小组办公室</v>
      </c>
      <c r="G17" s="1" t="str">
        <f t="shared" si="18"/>
        <v>2024</v>
      </c>
      <c r="H17" s="1" t="str">
        <f>"2024-12-18"</f>
        <v>2024-12-18</v>
      </c>
      <c r="I17" s="1" t="str">
        <f>"2024-12-03"</f>
        <v>2024-12-03</v>
      </c>
      <c r="J17" s="1" t="str">
        <f>"2027-12-03"</f>
        <v>2027-12-03</v>
      </c>
      <c r="K17" s="1" t="str">
        <f>"对天津市认定机构2024年认定报备的第二批高新技术企业进行备案的公告"</f>
        <v>对天津市认定机构2024年认定报备的第二批高新技术企业进行备案的公告</v>
      </c>
    </row>
    <row r="18" spans="1:11">
      <c r="A18" s="1" t="str">
        <f t="shared" si="16"/>
        <v>天津科世得润汽车部件有限公司</v>
      </c>
      <c r="B18" s="1" t="str">
        <f>"创新型中小企业"</f>
        <v>创新型中小企业</v>
      </c>
      <c r="C18" s="1" t="str">
        <f t="shared" ref="C18:C25" si="21">"-"</f>
        <v>-</v>
      </c>
      <c r="D18" s="1" t="str">
        <f>"科技型企业"</f>
        <v>科技型企业</v>
      </c>
      <c r="E18" s="1" t="str">
        <f t="shared" ref="E18:E21" si="22">"省级"</f>
        <v>省级</v>
      </c>
      <c r="F18" s="1" t="str">
        <f t="shared" si="17"/>
        <v>天津市工业和信息化局</v>
      </c>
      <c r="G18" s="1" t="str">
        <f t="shared" si="18"/>
        <v>2024</v>
      </c>
      <c r="H18" s="1" t="str">
        <f>"2024-09-30"</f>
        <v>2024-09-30</v>
      </c>
      <c r="I18" s="1" t="str">
        <f>"2024-09-30"</f>
        <v>2024-09-30</v>
      </c>
      <c r="J18" s="1" t="str">
        <f>"2027-09-30"</f>
        <v>2027-09-30</v>
      </c>
      <c r="K18" s="1" t="str">
        <f>"关于对拟公告2024年度第三批天津市创新型中小企业名单的公示"</f>
        <v>关于对拟公告2024年度第三批天津市创新型中小企业名单的公示</v>
      </c>
    </row>
    <row r="19" spans="1:11">
      <c r="A19" s="1" t="str">
        <f t="shared" ref="A19:A22" si="23">"天津电装电机有限公司"</f>
        <v>天津电装电机有限公司</v>
      </c>
      <c r="B19" s="1" t="str">
        <f>"绿色供应链管理企业"</f>
        <v>绿色供应链管理企业</v>
      </c>
      <c r="C19" s="1" t="str">
        <f t="shared" si="21"/>
        <v>-</v>
      </c>
      <c r="D19" s="1" t="str">
        <f t="shared" ref="D19:D23" si="24">"制造业企业"</f>
        <v>制造业企业</v>
      </c>
      <c r="E19" s="1" t="str">
        <f t="shared" si="22"/>
        <v>省级</v>
      </c>
      <c r="F19" s="1" t="str">
        <f t="shared" si="17"/>
        <v>天津市工业和信息化局</v>
      </c>
      <c r="G19" s="1" t="str">
        <f t="shared" si="18"/>
        <v>2024</v>
      </c>
      <c r="H19" s="1" t="str">
        <f>"2025-07-16"</f>
        <v>2025-07-16</v>
      </c>
      <c r="I19" s="1" t="str">
        <f t="shared" si="19"/>
        <v>-</v>
      </c>
      <c r="J19" s="1" t="str">
        <f t="shared" si="20"/>
        <v>-</v>
      </c>
      <c r="K19" s="1" t="str">
        <f>"2024年度天津市绿色制造名单（绿色供应链企业）"</f>
        <v>2024年度天津市绿色制造名单（绿色供应链企业）</v>
      </c>
    </row>
    <row r="20" spans="1:11">
      <c r="A20" s="1" t="str">
        <f t="shared" si="23"/>
        <v>天津电装电机有限公司</v>
      </c>
      <c r="B20" s="1" t="str">
        <f>"先进级智能工厂"</f>
        <v>先进级智能工厂</v>
      </c>
      <c r="C20" s="1" t="str">
        <f t="shared" si="21"/>
        <v>-</v>
      </c>
      <c r="D20" s="1" t="str">
        <f t="shared" si="24"/>
        <v>制造业企业</v>
      </c>
      <c r="E20" s="1" t="str">
        <f t="shared" si="22"/>
        <v>省级</v>
      </c>
      <c r="F20" s="1" t="str">
        <f t="shared" si="17"/>
        <v>天津市工业和信息化局</v>
      </c>
      <c r="G20" s="1" t="str">
        <f>"2025"</f>
        <v>2025</v>
      </c>
      <c r="H20" s="1" t="str">
        <f>"2025-05-20"</f>
        <v>2025-05-20</v>
      </c>
      <c r="I20" s="1" t="str">
        <f t="shared" si="19"/>
        <v>-</v>
      </c>
      <c r="J20" s="1" t="str">
        <f t="shared" si="20"/>
        <v>-</v>
      </c>
      <c r="K20" s="1" t="str">
        <f>"2025年第一批天津市先进级智能工厂名单"</f>
        <v>2025年第一批天津市先进级智能工厂名单</v>
      </c>
    </row>
    <row r="21" spans="1:11">
      <c r="A21" s="1" t="str">
        <f t="shared" si="23"/>
        <v>天津电装电机有限公司</v>
      </c>
      <c r="B21" s="1" t="str">
        <f>"数字化车间"</f>
        <v>数字化车间</v>
      </c>
      <c r="C21" s="1" t="str">
        <f t="shared" si="21"/>
        <v>-</v>
      </c>
      <c r="D21" s="1" t="str">
        <f t="shared" si="24"/>
        <v>制造业企业</v>
      </c>
      <c r="E21" s="1" t="str">
        <f t="shared" si="22"/>
        <v>省级</v>
      </c>
      <c r="F21" s="1" t="str">
        <f t="shared" si="17"/>
        <v>天津市工业和信息化局</v>
      </c>
      <c r="G21" s="1" t="str">
        <f>"2024"</f>
        <v>2024</v>
      </c>
      <c r="H21" s="1" t="str">
        <f>"2024-09-02"</f>
        <v>2024-09-02</v>
      </c>
      <c r="I21" s="1" t="str">
        <f t="shared" si="19"/>
        <v>-</v>
      </c>
      <c r="J21" s="1" t="str">
        <f t="shared" si="20"/>
        <v>-</v>
      </c>
      <c r="K21" s="1" t="str">
        <f>"2024年第一批天津市数字化车间名单"</f>
        <v>2024年第一批天津市数字化车间名单</v>
      </c>
    </row>
    <row r="22" spans="1:11">
      <c r="A22" s="1" t="str">
        <f t="shared" si="23"/>
        <v>天津电装电机有限公司</v>
      </c>
      <c r="B22" s="1" t="str">
        <f>"绿色工厂"</f>
        <v>绿色工厂</v>
      </c>
      <c r="C22" s="1" t="str">
        <f t="shared" si="21"/>
        <v>-</v>
      </c>
      <c r="D22" s="1" t="str">
        <f t="shared" si="24"/>
        <v>制造业企业</v>
      </c>
      <c r="E22" s="1" t="str">
        <f t="shared" ref="E22:E26" si="25">"国家级"</f>
        <v>国家级</v>
      </c>
      <c r="F22" s="1" t="str">
        <f>"工业和信息化部办公厅"</f>
        <v>工业和信息化部办公厅</v>
      </c>
      <c r="G22" s="1" t="str">
        <f t="shared" ref="G22:G26" si="26">"2022"</f>
        <v>2022</v>
      </c>
      <c r="H22" s="1" t="str">
        <f>"2023-03-24"</f>
        <v>2023-03-24</v>
      </c>
      <c r="I22" s="1" t="str">
        <f>"2023-03-23"</f>
        <v>2023-03-23</v>
      </c>
      <c r="J22" s="1" t="str">
        <f t="shared" si="20"/>
        <v>-</v>
      </c>
      <c r="K22" s="1" t="str">
        <f>"工业和信息化部办公厅关于公布2022年度绿色制造名单的通知（绿色工厂名单）"</f>
        <v>工业和信息化部办公厅关于公布2022年度绿色制造名单的通知（绿色工厂名单）</v>
      </c>
    </row>
    <row r="23" spans="1:11">
      <c r="A23" s="1" t="str">
        <f>"爱德克斯（天津）汽车零部件有限公司"</f>
        <v>爱德克斯（天津）汽车零部件有限公司</v>
      </c>
      <c r="B23" s="1" t="str">
        <f>"绿色工厂"</f>
        <v>绿色工厂</v>
      </c>
      <c r="C23" s="1" t="str">
        <f t="shared" si="21"/>
        <v>-</v>
      </c>
      <c r="D23" s="1" t="str">
        <f t="shared" si="24"/>
        <v>制造业企业</v>
      </c>
      <c r="E23" s="1" t="str">
        <f t="shared" si="25"/>
        <v>国家级</v>
      </c>
      <c r="F23" s="1" t="str">
        <f>"工业和信息化部办公厅"</f>
        <v>工业和信息化部办公厅</v>
      </c>
      <c r="G23" s="1" t="str">
        <f>"2021"</f>
        <v>2021</v>
      </c>
      <c r="H23" s="1" t="str">
        <f>"2022-01-21"</f>
        <v>2022-01-21</v>
      </c>
      <c r="I23" s="1" t="str">
        <f>"2022-01-15"</f>
        <v>2022-01-15</v>
      </c>
      <c r="J23" s="1" t="str">
        <f t="shared" si="20"/>
        <v>-</v>
      </c>
      <c r="K23" s="1" t="str">
        <f>"工业和信息化部办公厅关于公布2021年度绿色制造名单的通知（绿色工厂名单）"</f>
        <v>工业和信息化部办公厅关于公布2021年度绿色制造名单的通知（绿色工厂名单）</v>
      </c>
    </row>
    <row r="24" spans="1:11">
      <c r="A24" s="1" t="str">
        <f t="shared" ref="A24:A26" si="27">"天津三五汽车部件有限公司"</f>
        <v>天津三五汽车部件有限公司</v>
      </c>
      <c r="B24" s="1" t="str">
        <f>"专精特新中小企业"</f>
        <v>专精特新中小企业</v>
      </c>
      <c r="C24" s="1" t="str">
        <f t="shared" si="21"/>
        <v>-</v>
      </c>
      <c r="D24" s="1" t="str">
        <f t="shared" ref="D24:D26" si="28">"科技型企业"</f>
        <v>科技型企业</v>
      </c>
      <c r="E24" s="1" t="str">
        <f t="shared" ref="E24:E27" si="29">"省级"</f>
        <v>省级</v>
      </c>
      <c r="F24" s="1" t="str">
        <f>"天津市工业和信息化局，天津市财政局"</f>
        <v>天津市工业和信息化局，天津市财政局</v>
      </c>
      <c r="G24" s="1" t="str">
        <f>"2023"</f>
        <v>2023</v>
      </c>
      <c r="H24" s="1" t="str">
        <f>"2023-05-17"</f>
        <v>2023-05-17</v>
      </c>
      <c r="I24" s="1" t="str">
        <f>"2023-05-17"</f>
        <v>2023-05-17</v>
      </c>
      <c r="J24" s="1" t="str">
        <f>"2026-05-17"</f>
        <v>2026-05-17</v>
      </c>
      <c r="K24" s="1" t="str">
        <f>"2023年度第一批天津市专精特新中小企业认定名单（第二部分）"</f>
        <v>2023年度第一批天津市专精特新中小企业认定名单（第二部分）</v>
      </c>
    </row>
    <row r="25" spans="1:11">
      <c r="A25" s="1" t="str">
        <f t="shared" si="27"/>
        <v>天津三五汽车部件有限公司</v>
      </c>
      <c r="B25" s="1" t="str">
        <f>"创新型中小企业"</f>
        <v>创新型中小企业</v>
      </c>
      <c r="C25" s="1" t="str">
        <f t="shared" si="21"/>
        <v>-</v>
      </c>
      <c r="D25" s="1" t="str">
        <f t="shared" si="28"/>
        <v>科技型企业</v>
      </c>
      <c r="E25" s="1" t="str">
        <f t="shared" si="29"/>
        <v>省级</v>
      </c>
      <c r="F25" s="1" t="str">
        <f t="shared" ref="F25:F31" si="30">"天津市工业和信息化局"</f>
        <v>天津市工业和信息化局</v>
      </c>
      <c r="G25" s="1" t="str">
        <f t="shared" si="26"/>
        <v>2022</v>
      </c>
      <c r="H25" s="1" t="str">
        <f>"2022-12-30"</f>
        <v>2022-12-30</v>
      </c>
      <c r="I25" s="1" t="str">
        <f>"2022-12-30"</f>
        <v>2022-12-30</v>
      </c>
      <c r="J25" s="1" t="str">
        <f>"2025-12-30"</f>
        <v>2025-12-30</v>
      </c>
      <c r="K25" s="1" t="str">
        <f>"天津市2022年度创新型中小企业公告名单"</f>
        <v>天津市2022年度创新型中小企业公告名单</v>
      </c>
    </row>
    <row r="26" spans="1:11">
      <c r="A26" s="1" t="str">
        <f t="shared" si="27"/>
        <v>天津三五汽车部件有限公司</v>
      </c>
      <c r="B26" s="1" t="str">
        <f>"高新技术企业"</f>
        <v>高新技术企业</v>
      </c>
      <c r="C26" s="1" t="str">
        <f>"GR202212000944"</f>
        <v>GR202212000944</v>
      </c>
      <c r="D26" s="1" t="str">
        <f t="shared" si="28"/>
        <v>科技型企业</v>
      </c>
      <c r="E26" s="1" t="str">
        <f t="shared" si="25"/>
        <v>国家级</v>
      </c>
      <c r="F26" s="1" t="str">
        <f>"全国高新技术企业认定管理工作领导小组办公室"</f>
        <v>全国高新技术企业认定管理工作领导小组办公室</v>
      </c>
      <c r="G26" s="1" t="str">
        <f t="shared" si="26"/>
        <v>2022</v>
      </c>
      <c r="H26" s="1" t="str">
        <f>"2022-12-16"</f>
        <v>2022-12-16</v>
      </c>
      <c r="I26" s="1" t="str">
        <f>"2022-11-15"</f>
        <v>2022-11-15</v>
      </c>
      <c r="J26" s="1" t="str">
        <f>"2025-11-15"</f>
        <v>2025-11-15</v>
      </c>
      <c r="K26" s="1" t="str">
        <f>"关于天津市认定机构2022年认定的第二批高新技术企业进行备案的公告"</f>
        <v>关于天津市认定机构2022年认定的第二批高新技术企业进行备案的公告</v>
      </c>
    </row>
    <row r="27" spans="1:11">
      <c r="A27" s="1" t="str">
        <f>"天津丰田合成有限公司"</f>
        <v>天津丰田合成有限公司</v>
      </c>
      <c r="B27" s="1" t="str">
        <f>"先进级智能工厂"</f>
        <v>先进级智能工厂</v>
      </c>
      <c r="C27" s="1" t="str">
        <f t="shared" ref="C27:C31" si="31">"-"</f>
        <v>-</v>
      </c>
      <c r="D27" s="1" t="str">
        <f>"制造业企业"</f>
        <v>制造业企业</v>
      </c>
      <c r="E27" s="1" t="str">
        <f t="shared" si="29"/>
        <v>省级</v>
      </c>
      <c r="F27" s="1" t="str">
        <f t="shared" si="30"/>
        <v>天津市工业和信息化局</v>
      </c>
      <c r="G27" s="1" t="str">
        <f>"2024"</f>
        <v>2024</v>
      </c>
      <c r="H27" s="1" t="str">
        <f>"2024-12-27"</f>
        <v>2024-12-27</v>
      </c>
      <c r="I27" s="1" t="str">
        <f>"-"</f>
        <v>-</v>
      </c>
      <c r="J27" s="1" t="str">
        <f t="shared" ref="J27:J29" si="32">"-"</f>
        <v>-</v>
      </c>
      <c r="K27" s="1" t="str">
        <f>"2024年天津市先进级智能工厂名单"</f>
        <v>2024年天津市先进级智能工厂名单</v>
      </c>
    </row>
    <row r="28" spans="1:11">
      <c r="A28" s="1" t="str">
        <f>"捷太格特汽车部件（天津）有限公司"</f>
        <v>捷太格特汽车部件（天津）有限公司</v>
      </c>
      <c r="B28" s="1" t="str">
        <f>"绿色工厂"</f>
        <v>绿色工厂</v>
      </c>
      <c r="C28" s="1" t="str">
        <f t="shared" si="31"/>
        <v>-</v>
      </c>
      <c r="D28" s="1" t="str">
        <f>"制造业企业"</f>
        <v>制造业企业</v>
      </c>
      <c r="E28" s="1" t="str">
        <f t="shared" ref="E28:E32" si="33">"国家级"</f>
        <v>国家级</v>
      </c>
      <c r="F28" s="1" t="str">
        <f>"工业和信息化部办公厅"</f>
        <v>工业和信息化部办公厅</v>
      </c>
      <c r="G28" s="1" t="str">
        <f>"2021"</f>
        <v>2021</v>
      </c>
      <c r="H28" s="1" t="str">
        <f>"2022-01-21"</f>
        <v>2022-01-21</v>
      </c>
      <c r="I28" s="1" t="str">
        <f>"2022-01-15"</f>
        <v>2022-01-15</v>
      </c>
      <c r="J28" s="1" t="str">
        <f t="shared" si="32"/>
        <v>-</v>
      </c>
      <c r="K28" s="1" t="str">
        <f>"工业和信息化部办公厅关于公布2021年度绿色制造名单的通知（绿色工厂名单）"</f>
        <v>工业和信息化部办公厅关于公布2021年度绿色制造名单的通知（绿色工厂名单）</v>
      </c>
    </row>
    <row r="29" spans="1:11">
      <c r="A29" s="1" t="str">
        <f t="shared" ref="A29:A32" si="34">"天津环渤海汽车车身制造有限公司"</f>
        <v>天津环渤海汽车车身制造有限公司</v>
      </c>
      <c r="B29" s="1" t="str">
        <f>"科技型中小企业"</f>
        <v>科技型中小企业</v>
      </c>
      <c r="C29" s="1" t="str">
        <f>"2024120111A8004596"</f>
        <v>2024120111A8004596</v>
      </c>
      <c r="D29" s="1" t="str">
        <f t="shared" ref="D29:D49" si="35">"科技型企业"</f>
        <v>科技型企业</v>
      </c>
      <c r="E29" s="1" t="str">
        <f t="shared" si="33"/>
        <v>国家级</v>
      </c>
      <c r="F29" s="1" t="str">
        <f>"天津市科学技术局"</f>
        <v>天津市科学技术局</v>
      </c>
      <c r="G29" s="1" t="str">
        <f>"2024"</f>
        <v>2024</v>
      </c>
      <c r="H29" s="1" t="str">
        <f>"2024-09-18"</f>
        <v>2024-09-18</v>
      </c>
      <c r="I29" s="1" t="str">
        <f>"2024-09-18"</f>
        <v>2024-09-18</v>
      </c>
      <c r="J29" s="1" t="str">
        <f t="shared" si="32"/>
        <v>-</v>
      </c>
      <c r="K29" s="1" t="str">
        <f>"天津市2024年第4批入库科技型中小企业名单公告"</f>
        <v>天津市2024年第4批入库科技型中小企业名单公告</v>
      </c>
    </row>
    <row r="30" spans="1:11">
      <c r="A30" s="1" t="str">
        <f t="shared" si="34"/>
        <v>天津环渤海汽车车身制造有限公司</v>
      </c>
      <c r="B30" s="1" t="str">
        <f>"专精特新中小企业"</f>
        <v>专精特新中小企业</v>
      </c>
      <c r="C30" s="1" t="str">
        <f t="shared" si="31"/>
        <v>-</v>
      </c>
      <c r="D30" s="1" t="str">
        <f t="shared" si="35"/>
        <v>科技型企业</v>
      </c>
      <c r="E30" s="1" t="str">
        <f t="shared" ref="E30:E33" si="36">"省级"</f>
        <v>省级</v>
      </c>
      <c r="F30" s="1" t="str">
        <f t="shared" si="30"/>
        <v>天津市工业和信息化局</v>
      </c>
      <c r="G30" s="1" t="str">
        <f t="shared" ref="G30:G36" si="37">"2023"</f>
        <v>2023</v>
      </c>
      <c r="H30" s="1" t="str">
        <f>"2024-02-08"</f>
        <v>2024-02-08</v>
      </c>
      <c r="I30" s="1" t="str">
        <f>"2024-02-08"</f>
        <v>2024-02-08</v>
      </c>
      <c r="J30" s="1" t="str">
        <f>"2027-02-08"</f>
        <v>2027-02-08</v>
      </c>
      <c r="K30" s="1" t="str">
        <f>"2023年度第二批天津市专精特新中小企业拟认定名单的公示"</f>
        <v>2023年度第二批天津市专精特新中小企业拟认定名单的公示</v>
      </c>
    </row>
    <row r="31" spans="1:11">
      <c r="A31" s="1" t="str">
        <f t="shared" si="34"/>
        <v>天津环渤海汽车车身制造有限公司</v>
      </c>
      <c r="B31" s="1" t="str">
        <f>"创新型中小企业"</f>
        <v>创新型中小企业</v>
      </c>
      <c r="C31" s="1" t="str">
        <f t="shared" si="31"/>
        <v>-</v>
      </c>
      <c r="D31" s="1" t="str">
        <f t="shared" si="35"/>
        <v>科技型企业</v>
      </c>
      <c r="E31" s="1" t="str">
        <f t="shared" si="36"/>
        <v>省级</v>
      </c>
      <c r="F31" s="1" t="str">
        <f t="shared" si="30"/>
        <v>天津市工业和信息化局</v>
      </c>
      <c r="G31" s="1" t="str">
        <f t="shared" si="37"/>
        <v>2023</v>
      </c>
      <c r="H31" s="1" t="str">
        <f>"2023-06-21"</f>
        <v>2023-06-21</v>
      </c>
      <c r="I31" s="1" t="str">
        <f>"2023-06-21"</f>
        <v>2023-06-21</v>
      </c>
      <c r="J31" s="1" t="str">
        <f>"2026-06-21"</f>
        <v>2026-06-21</v>
      </c>
      <c r="K31" s="1" t="str">
        <f>"天津市2023年度第一批创新型中小企业公告名单"</f>
        <v>天津市2023年度第一批创新型中小企业公告名单</v>
      </c>
    </row>
    <row r="32" spans="1:11">
      <c r="A32" s="1" t="str">
        <f t="shared" si="34"/>
        <v>天津环渤海汽车车身制造有限公司</v>
      </c>
      <c r="B32" s="1" t="str">
        <f>"高新技术企业"</f>
        <v>高新技术企业</v>
      </c>
      <c r="C32" s="1" t="str">
        <f>"GR202212000247"</f>
        <v>GR202212000247</v>
      </c>
      <c r="D32" s="1" t="str">
        <f t="shared" si="35"/>
        <v>科技型企业</v>
      </c>
      <c r="E32" s="1" t="str">
        <f t="shared" si="33"/>
        <v>国家级</v>
      </c>
      <c r="F32" s="1" t="str">
        <f>"全国高新技术企业认定管理工作领导小组办公室"</f>
        <v>全国高新技术企业认定管理工作领导小组办公室</v>
      </c>
      <c r="G32" s="1" t="str">
        <f>"2022"</f>
        <v>2022</v>
      </c>
      <c r="H32" s="1" t="str">
        <f>"2022-11-03"</f>
        <v>2022-11-03</v>
      </c>
      <c r="I32" s="1" t="str">
        <f>"2022-10-13"</f>
        <v>2022-10-13</v>
      </c>
      <c r="J32" s="1" t="str">
        <f>"2025-10-13"</f>
        <v>2025-10-13</v>
      </c>
      <c r="K32" s="1" t="str">
        <f>"关于对天津市认定机构2022年认定的第一批高新技术企业进行备案的公告"</f>
        <v>关于对天津市认定机构2022年认定的第一批高新技术企业进行备案的公告</v>
      </c>
    </row>
    <row r="33" spans="1:11">
      <c r="A33" s="1" t="str">
        <f t="shared" ref="A33:A36" si="38">"天津普天单向器有限公司"</f>
        <v>天津普天单向器有限公司</v>
      </c>
      <c r="B33" s="1" t="str">
        <f>"创新型中小企业"</f>
        <v>创新型中小企业</v>
      </c>
      <c r="C33" s="1" t="str">
        <f t="shared" ref="C33:C37" si="39">"-"</f>
        <v>-</v>
      </c>
      <c r="D33" s="1" t="str">
        <f t="shared" si="35"/>
        <v>科技型企业</v>
      </c>
      <c r="E33" s="1" t="str">
        <f t="shared" si="36"/>
        <v>省级</v>
      </c>
      <c r="F33" s="1" t="str">
        <f>"天津市工业和信息化局"</f>
        <v>天津市工业和信息化局</v>
      </c>
      <c r="G33" s="1" t="str">
        <f t="shared" ref="G33:G38" si="40">"2025"</f>
        <v>2025</v>
      </c>
      <c r="H33" s="1" t="str">
        <f>"2025-06-20"</f>
        <v>2025-06-20</v>
      </c>
      <c r="I33" s="1" t="str">
        <f>"2025-06-20"</f>
        <v>2025-06-20</v>
      </c>
      <c r="J33" s="1" t="str">
        <f>"2028-06-20"</f>
        <v>2028-06-20</v>
      </c>
      <c r="K33" s="1" t="str">
        <f>"2025年度第一批天津市创新型中小企业拟通过企业名单公示"</f>
        <v>2025年度第一批天津市创新型中小企业拟通过企业名单公示</v>
      </c>
    </row>
    <row r="34" spans="1:11">
      <c r="A34" s="1" t="str">
        <f t="shared" si="38"/>
        <v>天津普天单向器有限公司</v>
      </c>
      <c r="B34" s="1" t="str">
        <f>"高新技术企业"</f>
        <v>高新技术企业</v>
      </c>
      <c r="C34" s="1" t="str">
        <f>"GR202312000682"</f>
        <v>GR202312000682</v>
      </c>
      <c r="D34" s="1" t="str">
        <f t="shared" si="35"/>
        <v>科技型企业</v>
      </c>
      <c r="E34" s="1" t="str">
        <f t="shared" ref="E34:E40" si="41">"国家级"</f>
        <v>国家级</v>
      </c>
      <c r="F34" s="1" t="str">
        <f>"全国高新技术企业认定管理工作领导小组办公室"</f>
        <v>全国高新技术企业认定管理工作领导小组办公室</v>
      </c>
      <c r="G34" s="1" t="str">
        <f t="shared" si="37"/>
        <v>2023</v>
      </c>
      <c r="H34" s="1" t="str">
        <f>"2023-11-27"</f>
        <v>2023-11-27</v>
      </c>
      <c r="I34" s="1" t="str">
        <f>"2023-11-06"</f>
        <v>2023-11-06</v>
      </c>
      <c r="J34" s="1" t="str">
        <f>"2026-11-06"</f>
        <v>2026-11-06</v>
      </c>
      <c r="K34" s="1" t="str">
        <f>"对天津市认定机构2023年认定报备的第一批高新技术企业进行备案的公告"</f>
        <v>对天津市认定机构2023年认定报备的第一批高新技术企业进行备案的公告</v>
      </c>
    </row>
    <row r="35" spans="1:11">
      <c r="A35" s="1" t="str">
        <f t="shared" si="38"/>
        <v>天津普天单向器有限公司</v>
      </c>
      <c r="B35" s="1" t="str">
        <f>"企业技术中心"</f>
        <v>企业技术中心</v>
      </c>
      <c r="C35" s="1" t="str">
        <f t="shared" si="39"/>
        <v>-</v>
      </c>
      <c r="D35" s="1" t="str">
        <f t="shared" si="35"/>
        <v>科技型企业</v>
      </c>
      <c r="E35" s="1" t="str">
        <f t="shared" ref="E35:E37" si="42">"省级"</f>
        <v>省级</v>
      </c>
      <c r="F35" s="1" t="str">
        <f>"天津市工业和信息化局，天津市发展改革委，天津市科技局，天津市财政局"</f>
        <v>天津市工业和信息化局，天津市发展改革委，天津市科技局，天津市财政局</v>
      </c>
      <c r="G35" s="1" t="str">
        <f t="shared" si="37"/>
        <v>2023</v>
      </c>
      <c r="H35" s="1" t="str">
        <f>"2023-10-07"</f>
        <v>2023-10-07</v>
      </c>
      <c r="I35" s="1" t="str">
        <f>"2023-10-07"</f>
        <v>2023-10-07</v>
      </c>
      <c r="J35" s="1" t="str">
        <f>"-"</f>
        <v>-</v>
      </c>
      <c r="K35" s="1" t="str">
        <f>"2023全部天津市企业技术中心名单"</f>
        <v>2023全部天津市企业技术中心名单</v>
      </c>
    </row>
    <row r="36" spans="1:11">
      <c r="A36" s="1" t="str">
        <f t="shared" si="38"/>
        <v>天津普天单向器有限公司</v>
      </c>
      <c r="B36" s="1" t="str">
        <f>"专精特新中小企业"</f>
        <v>专精特新中小企业</v>
      </c>
      <c r="C36" s="1" t="str">
        <f t="shared" si="39"/>
        <v>-</v>
      </c>
      <c r="D36" s="1" t="str">
        <f t="shared" si="35"/>
        <v>科技型企业</v>
      </c>
      <c r="E36" s="1" t="str">
        <f t="shared" si="42"/>
        <v>省级</v>
      </c>
      <c r="F36" s="1" t="str">
        <f>"天津市工业和信息化局，天津市财政局"</f>
        <v>天津市工业和信息化局，天津市财政局</v>
      </c>
      <c r="G36" s="1" t="str">
        <f t="shared" si="37"/>
        <v>2023</v>
      </c>
      <c r="H36" s="1" t="str">
        <f>"2023-04-10"</f>
        <v>2023-04-10</v>
      </c>
      <c r="I36" s="1" t="str">
        <f>"2023-04-10"</f>
        <v>2023-04-10</v>
      </c>
      <c r="J36" s="1" t="str">
        <f>"2026-04-10"</f>
        <v>2026-04-10</v>
      </c>
      <c r="K36" s="1" t="str">
        <f>"2023年度第一批天津市专精特新中小企业拟认定名单（第一部分）"</f>
        <v>2023年度第一批天津市专精特新中小企业拟认定名单（第一部分）</v>
      </c>
    </row>
    <row r="37" spans="1:11">
      <c r="A37" s="1" t="str">
        <f>"天津恒福赛汽车部件有限公司"</f>
        <v>天津恒福赛汽车部件有限公司</v>
      </c>
      <c r="B37" s="1" t="str">
        <f>"创新型中小企业"</f>
        <v>创新型中小企业</v>
      </c>
      <c r="C37" s="1" t="str">
        <f t="shared" si="39"/>
        <v>-</v>
      </c>
      <c r="D37" s="1" t="str">
        <f t="shared" si="35"/>
        <v>科技型企业</v>
      </c>
      <c r="E37" s="1" t="str">
        <f t="shared" si="42"/>
        <v>省级</v>
      </c>
      <c r="F37" s="1" t="str">
        <f>"天津市工业和信息化局"</f>
        <v>天津市工业和信息化局</v>
      </c>
      <c r="G37" s="1" t="str">
        <f t="shared" si="40"/>
        <v>2025</v>
      </c>
      <c r="H37" s="1" t="str">
        <f>"2025-06-20"</f>
        <v>2025-06-20</v>
      </c>
      <c r="I37" s="1" t="str">
        <f>"2025-06-20"</f>
        <v>2025-06-20</v>
      </c>
      <c r="J37" s="1" t="str">
        <f>"2028-06-20"</f>
        <v>2028-06-20</v>
      </c>
      <c r="K37" s="1" t="str">
        <f>"2025年度第一批天津市创新型中小企业拟通过企业名单公示"</f>
        <v>2025年度第一批天津市创新型中小企业拟通过企业名单公示</v>
      </c>
    </row>
    <row r="38" spans="1:11">
      <c r="A38" s="1" t="str">
        <f>"天津杰作实业有限公司"</f>
        <v>天津杰作实业有限公司</v>
      </c>
      <c r="B38" s="1" t="str">
        <f>"科技型中小企业"</f>
        <v>科技型中小企业</v>
      </c>
      <c r="C38" s="1" t="str">
        <f>"2025120116A8005623"</f>
        <v>2025120116A8005623</v>
      </c>
      <c r="D38" s="1" t="str">
        <f t="shared" si="35"/>
        <v>科技型企业</v>
      </c>
      <c r="E38" s="1" t="str">
        <f t="shared" si="41"/>
        <v>国家级</v>
      </c>
      <c r="F38" s="1" t="str">
        <f>"天津市科学技术局、天津市天开高教科创园管理委员会"</f>
        <v>天津市科学技术局、天津市天开高教科创园管理委员会</v>
      </c>
      <c r="G38" s="1" t="str">
        <f t="shared" si="40"/>
        <v>2025</v>
      </c>
      <c r="H38" s="1" t="str">
        <f>"2025-09-18"</f>
        <v>2025-09-18</v>
      </c>
      <c r="I38" s="1" t="str">
        <f>"2025-09-18"</f>
        <v>2025-09-18</v>
      </c>
      <c r="J38" s="1" t="str">
        <f>"-"</f>
        <v>-</v>
      </c>
      <c r="K38" s="1" t="str">
        <f>"天津市2025年第四批入库科技型中小企业名单公告"</f>
        <v>天津市2025年第四批入库科技型中小企业名单公告</v>
      </c>
    </row>
    <row r="39" spans="1:11">
      <c r="A39" s="1" t="str">
        <f>"天津杰作实业有限公司"</f>
        <v>天津杰作实业有限公司</v>
      </c>
      <c r="B39" s="1" t="str">
        <f t="shared" ref="B39:B42" si="43">"高新技术企业"</f>
        <v>高新技术企业</v>
      </c>
      <c r="C39" s="1" t="str">
        <f>"GR202412002967"</f>
        <v>GR202412002967</v>
      </c>
      <c r="D39" s="1" t="str">
        <f t="shared" si="35"/>
        <v>科技型企业</v>
      </c>
      <c r="E39" s="1" t="str">
        <f t="shared" si="41"/>
        <v>国家级</v>
      </c>
      <c r="F39" s="1" t="str">
        <f t="shared" ref="F39:F42" si="44">"全国高新技术企业认定管理工作领导小组办公室"</f>
        <v>全国高新技术企业认定管理工作领导小组办公室</v>
      </c>
      <c r="G39" s="1" t="str">
        <f t="shared" ref="G39:G43" si="45">"2024"</f>
        <v>2024</v>
      </c>
      <c r="H39" s="1" t="str">
        <f>"2024-12-18"</f>
        <v>2024-12-18</v>
      </c>
      <c r="I39" s="1" t="str">
        <f>"2024-12-03"</f>
        <v>2024-12-03</v>
      </c>
      <c r="J39" s="1" t="str">
        <f>"2027-12-03"</f>
        <v>2027-12-03</v>
      </c>
      <c r="K39" s="1" t="str">
        <f>"对天津市认定机构2024年认定报备的第二批高新技术企业进行备案的公告"</f>
        <v>对天津市认定机构2024年认定报备的第二批高新技术企业进行备案的公告</v>
      </c>
    </row>
    <row r="40" spans="1:11">
      <c r="A40" s="1" t="str">
        <f>"天津市环球汽车配件有限公司"</f>
        <v>天津市环球汽车配件有限公司</v>
      </c>
      <c r="B40" s="1" t="str">
        <f t="shared" si="43"/>
        <v>高新技术企业</v>
      </c>
      <c r="C40" s="1" t="str">
        <f>"GR202212003838"</f>
        <v>GR202212003838</v>
      </c>
      <c r="D40" s="1" t="str">
        <f t="shared" si="35"/>
        <v>科技型企业</v>
      </c>
      <c r="E40" s="1" t="str">
        <f t="shared" si="41"/>
        <v>国家级</v>
      </c>
      <c r="F40" s="1" t="str">
        <f t="shared" si="44"/>
        <v>全国高新技术企业认定管理工作领导小组办公室</v>
      </c>
      <c r="G40" s="1" t="str">
        <f>"2022"</f>
        <v>2022</v>
      </c>
      <c r="H40" s="1" t="str">
        <f>"2023-01-09"</f>
        <v>2023-01-09</v>
      </c>
      <c r="I40" s="1" t="str">
        <f>"2022-12-19"</f>
        <v>2022-12-19</v>
      </c>
      <c r="J40" s="1" t="str">
        <f>"2025-12-19"</f>
        <v>2025-12-19</v>
      </c>
      <c r="K40" s="1" t="str">
        <f>"关于对天津市认定机构2022年认定的第三批高新技术企业进行备案的公告"</f>
        <v>关于对天津市认定机构2022年认定的第三批高新技术企业进行备案的公告</v>
      </c>
    </row>
    <row r="41" spans="1:11">
      <c r="A41" s="1" t="str">
        <f t="shared" ref="A41:A44" si="46">"天津海化汽车塑料制品有限公司"</f>
        <v>天津海化汽车塑料制品有限公司</v>
      </c>
      <c r="B41" s="1" t="str">
        <f>"专精特新中小企业"</f>
        <v>专精特新中小企业</v>
      </c>
      <c r="C41" s="1" t="str">
        <f>"-"</f>
        <v>-</v>
      </c>
      <c r="D41" s="1" t="str">
        <f t="shared" si="35"/>
        <v>科技型企业</v>
      </c>
      <c r="E41" s="1" t="str">
        <f>"省级"</f>
        <v>省级</v>
      </c>
      <c r="F41" s="1" t="str">
        <f>"天津市工业和信息化局"</f>
        <v>天津市工业和信息化局</v>
      </c>
      <c r="G41" s="1" t="str">
        <f t="shared" si="45"/>
        <v>2024</v>
      </c>
      <c r="H41" s="1" t="str">
        <f>"2025-01-20"</f>
        <v>2025-01-20</v>
      </c>
      <c r="I41" s="1" t="str">
        <f>"2025-01-20"</f>
        <v>2025-01-20</v>
      </c>
      <c r="J41" s="1" t="str">
        <f>"2028-01-20"</f>
        <v>2028-01-20</v>
      </c>
      <c r="K41" s="1" t="str">
        <f>"天津市工业和信息化局和天津市财政局关于印发2024年度天津市专精特新中小企业认定名单的通知"</f>
        <v>天津市工业和信息化局和天津市财政局关于印发2024年度天津市专精特新中小企业认定名单的通知</v>
      </c>
    </row>
    <row r="42" spans="1:11">
      <c r="A42" s="1" t="str">
        <f t="shared" si="46"/>
        <v>天津海化汽车塑料制品有限公司</v>
      </c>
      <c r="B42" s="1" t="str">
        <f t="shared" si="43"/>
        <v>高新技术企业</v>
      </c>
      <c r="C42" s="1" t="str">
        <f>"GR202412001407"</f>
        <v>GR202412001407</v>
      </c>
      <c r="D42" s="1" t="str">
        <f t="shared" si="35"/>
        <v>科技型企业</v>
      </c>
      <c r="E42" s="1" t="str">
        <f t="shared" ref="E42:E46" si="47">"国家级"</f>
        <v>国家级</v>
      </c>
      <c r="F42" s="1" t="str">
        <f t="shared" si="44"/>
        <v>全国高新技术企业认定管理工作领导小组办公室</v>
      </c>
      <c r="G42" s="1" t="str">
        <f t="shared" si="45"/>
        <v>2024</v>
      </c>
      <c r="H42" s="1" t="str">
        <f>"2024-12-18"</f>
        <v>2024-12-18</v>
      </c>
      <c r="I42" s="1" t="str">
        <f>"2024-12-03"</f>
        <v>2024-12-03</v>
      </c>
      <c r="J42" s="1" t="str">
        <f>"2027-12-03"</f>
        <v>2027-12-03</v>
      </c>
      <c r="K42" s="1" t="str">
        <f>"对天津市认定机构2024年认定报备的第二批高新技术企业进行备案的公告"</f>
        <v>对天津市认定机构2024年认定报备的第二批高新技术企业进行备案的公告</v>
      </c>
    </row>
    <row r="43" spans="1:11">
      <c r="A43" s="1" t="str">
        <f t="shared" si="46"/>
        <v>天津海化汽车塑料制品有限公司</v>
      </c>
      <c r="B43" s="1" t="str">
        <f t="shared" ref="B43:B46" si="48">"科技型中小企业"</f>
        <v>科技型中小企业</v>
      </c>
      <c r="C43" s="1" t="str">
        <f>"2024120111A8003346"</f>
        <v>2024120111A8003346</v>
      </c>
      <c r="D43" s="1" t="str">
        <f t="shared" si="35"/>
        <v>科技型企业</v>
      </c>
      <c r="E43" s="1" t="str">
        <f t="shared" si="47"/>
        <v>国家级</v>
      </c>
      <c r="F43" s="1" t="str">
        <f t="shared" ref="F43:F46" si="49">"天津市科学技术局"</f>
        <v>天津市科学技术局</v>
      </c>
      <c r="G43" s="1" t="str">
        <f t="shared" si="45"/>
        <v>2024</v>
      </c>
      <c r="H43" s="1" t="str">
        <f>"2024-09-02"</f>
        <v>2024-09-02</v>
      </c>
      <c r="I43" s="1" t="str">
        <f>"2024-09-02"</f>
        <v>2024-09-02</v>
      </c>
      <c r="J43" s="1" t="str">
        <f t="shared" ref="J43:J46" si="50">"-"</f>
        <v>-</v>
      </c>
      <c r="K43" s="1" t="str">
        <f>"天津市2024年第3批入库科技型中小企业名单公告"</f>
        <v>天津市2024年第3批入库科技型中小企业名单公告</v>
      </c>
    </row>
    <row r="44" spans="1:11">
      <c r="A44" s="1" t="str">
        <f t="shared" si="46"/>
        <v>天津海化汽车塑料制品有限公司</v>
      </c>
      <c r="B44" s="1" t="str">
        <f>"创新型中小企业"</f>
        <v>创新型中小企业</v>
      </c>
      <c r="C44" s="1" t="str">
        <f>"-"</f>
        <v>-</v>
      </c>
      <c r="D44" s="1" t="str">
        <f t="shared" si="35"/>
        <v>科技型企业</v>
      </c>
      <c r="E44" s="1" t="str">
        <f>"省级"</f>
        <v>省级</v>
      </c>
      <c r="F44" s="1" t="str">
        <f>"天津市工业和信息化局"</f>
        <v>天津市工业和信息化局</v>
      </c>
      <c r="G44" s="1" t="str">
        <f>"2022"</f>
        <v>2022</v>
      </c>
      <c r="H44" s="1" t="str">
        <f>"2022-12-30"</f>
        <v>2022-12-30</v>
      </c>
      <c r="I44" s="1" t="str">
        <f>"2022-12-30"</f>
        <v>2022-12-30</v>
      </c>
      <c r="J44" s="1" t="str">
        <f>"2025-12-30"</f>
        <v>2025-12-30</v>
      </c>
      <c r="K44" s="1" t="str">
        <f>"天津市2022年度创新型中小企业公告名单"</f>
        <v>天津市2022年度创新型中小企业公告名单</v>
      </c>
    </row>
    <row r="45" spans="1:11">
      <c r="A45" s="1" t="str">
        <f>"天津市万华车料有限公司"</f>
        <v>天津市万华车料有限公司</v>
      </c>
      <c r="B45" s="1" t="str">
        <f t="shared" si="48"/>
        <v>科技型中小企业</v>
      </c>
      <c r="C45" s="1" t="str">
        <f>"2024120113A0006750"</f>
        <v>2024120113A0006750</v>
      </c>
      <c r="D45" s="1" t="str">
        <f t="shared" si="35"/>
        <v>科技型企业</v>
      </c>
      <c r="E45" s="1" t="str">
        <f t="shared" si="47"/>
        <v>国家级</v>
      </c>
      <c r="F45" s="1" t="str">
        <f t="shared" si="49"/>
        <v>天津市科学技术局</v>
      </c>
      <c r="G45" s="1" t="str">
        <f t="shared" ref="G45:G52" si="51">"2024"</f>
        <v>2024</v>
      </c>
      <c r="H45" s="1" t="str">
        <f>"2024-10-12"</f>
        <v>2024-10-12</v>
      </c>
      <c r="I45" s="1" t="str">
        <f>"2024-10-12"</f>
        <v>2024-10-12</v>
      </c>
      <c r="J45" s="1" t="str">
        <f t="shared" si="50"/>
        <v>-</v>
      </c>
      <c r="K45" s="1" t="str">
        <f>"天津市2024年第5批入库科技型中小企业名单公告"</f>
        <v>天津市2024年第5批入库科技型中小企业名单公告</v>
      </c>
    </row>
    <row r="46" spans="1:11">
      <c r="A46" s="1" t="str">
        <f t="shared" ref="A46:A48" si="52">"天津锦城汽车电装有限公司"</f>
        <v>天津锦城汽车电装有限公司</v>
      </c>
      <c r="B46" s="1" t="str">
        <f t="shared" si="48"/>
        <v>科技型中小企业</v>
      </c>
      <c r="C46" s="1" t="str">
        <f>"2025120113A8003070"</f>
        <v>2025120113A8003070</v>
      </c>
      <c r="D46" s="1" t="str">
        <f t="shared" si="35"/>
        <v>科技型企业</v>
      </c>
      <c r="E46" s="1" t="str">
        <f t="shared" si="47"/>
        <v>国家级</v>
      </c>
      <c r="F46" s="1" t="str">
        <f t="shared" si="49"/>
        <v>天津市科学技术局</v>
      </c>
      <c r="G46" s="1" t="str">
        <f t="shared" ref="G46:G49" si="53">"2025"</f>
        <v>2025</v>
      </c>
      <c r="H46" s="1" t="str">
        <f>"2025-09-04"</f>
        <v>2025-09-04</v>
      </c>
      <c r="I46" s="1" t="str">
        <f>"2025-09-04"</f>
        <v>2025-09-04</v>
      </c>
      <c r="J46" s="1" t="str">
        <f t="shared" si="50"/>
        <v>-</v>
      </c>
      <c r="K46" s="1" t="str">
        <f>"天津市2025年第3批入库科技型中小企业名单公告"</f>
        <v>天津市2025年第3批入库科技型中小企业名单公告</v>
      </c>
    </row>
    <row r="47" spans="1:11">
      <c r="A47" s="1" t="str">
        <f t="shared" si="52"/>
        <v>天津锦城汽车电装有限公司</v>
      </c>
      <c r="B47" s="1" t="str">
        <f>"创新型中小企业"</f>
        <v>创新型中小企业</v>
      </c>
      <c r="C47" s="1" t="str">
        <f>"-"</f>
        <v>-</v>
      </c>
      <c r="D47" s="1" t="str">
        <f t="shared" si="35"/>
        <v>科技型企业</v>
      </c>
      <c r="E47" s="1" t="str">
        <f>"省级"</f>
        <v>省级</v>
      </c>
      <c r="F47" s="1" t="str">
        <f>"天津市工业和信息化局"</f>
        <v>天津市工业和信息化局</v>
      </c>
      <c r="G47" s="1" t="str">
        <f t="shared" si="53"/>
        <v>2025</v>
      </c>
      <c r="H47" s="1" t="str">
        <f>"2025-06-20"</f>
        <v>2025-06-20</v>
      </c>
      <c r="I47" s="1" t="str">
        <f>"2025-06-20"</f>
        <v>2025-06-20</v>
      </c>
      <c r="J47" s="1" t="str">
        <f>"2028-06-20"</f>
        <v>2028-06-20</v>
      </c>
      <c r="K47" s="1" t="str">
        <f>"2025年度第一批天津市创新型中小企业拟通过企业名单公示"</f>
        <v>2025年度第一批天津市创新型中小企业拟通过企业名单公示</v>
      </c>
    </row>
    <row r="48" spans="1:11">
      <c r="A48" s="1" t="str">
        <f t="shared" si="52"/>
        <v>天津锦城汽车电装有限公司</v>
      </c>
      <c r="B48" s="1" t="str">
        <f>"高新技术企业"</f>
        <v>高新技术企业</v>
      </c>
      <c r="C48" s="1" t="str">
        <f>"GR202412000573"</f>
        <v>GR202412000573</v>
      </c>
      <c r="D48" s="1" t="str">
        <f t="shared" si="35"/>
        <v>科技型企业</v>
      </c>
      <c r="E48" s="1" t="str">
        <f t="shared" ref="E48:E52" si="54">"国家级"</f>
        <v>国家级</v>
      </c>
      <c r="F48" s="1" t="str">
        <f>"全国高新技术企业认定管理工作领导小组办公室"</f>
        <v>全国高新技术企业认定管理工作领导小组办公室</v>
      </c>
      <c r="G48" s="1" t="str">
        <f t="shared" si="51"/>
        <v>2024</v>
      </c>
      <c r="H48" s="1" t="str">
        <f>"2024-12-04"</f>
        <v>2024-12-04</v>
      </c>
      <c r="I48" s="1" t="str">
        <f>"2024-10-31"</f>
        <v>2024-10-31</v>
      </c>
      <c r="J48" s="1" t="str">
        <f>"2027-10-31"</f>
        <v>2027-10-31</v>
      </c>
      <c r="K48" s="1" t="str">
        <f>"对天津市认定机构2024年认定报备的第一批高新技术企业进行备案的公告"</f>
        <v>对天津市认定机构2024年认定报备的第一批高新技术企业进行备案的公告</v>
      </c>
    </row>
    <row r="49" spans="1:11">
      <c r="A49" s="1" t="str">
        <f>"天津昆文汽车电子有限公司"</f>
        <v>天津昆文汽车电子有限公司</v>
      </c>
      <c r="B49" s="1" t="str">
        <f>"科技型中小企业"</f>
        <v>科技型中小企业</v>
      </c>
      <c r="C49" s="1" t="str">
        <f>"2025120116A0001785"</f>
        <v>2025120116A0001785</v>
      </c>
      <c r="D49" s="1" t="str">
        <f t="shared" si="35"/>
        <v>科技型企业</v>
      </c>
      <c r="E49" s="1" t="str">
        <f t="shared" si="54"/>
        <v>国家级</v>
      </c>
      <c r="F49" s="1" t="str">
        <f>"天津市科学技术局、天津市天开高教科创园管理委员会"</f>
        <v>天津市科学技术局、天津市天开高教科创园管理委员会</v>
      </c>
      <c r="G49" s="1" t="str">
        <f t="shared" si="53"/>
        <v>2025</v>
      </c>
      <c r="H49" s="1" t="str">
        <f>"2025-08-19"</f>
        <v>2025-08-19</v>
      </c>
      <c r="I49" s="1" t="str">
        <f>"2025-08-19"</f>
        <v>2025-08-19</v>
      </c>
      <c r="J49" s="1" t="str">
        <f t="shared" ref="J49:J52" si="55">"-"</f>
        <v>-</v>
      </c>
      <c r="K49" s="1" t="str">
        <f>"天津市2025年第二批入库科技型中小企业名单公告"</f>
        <v>天津市2025年第二批入库科技型中小企业名单公告</v>
      </c>
    </row>
    <row r="50" spans="1:11">
      <c r="A50" s="1" t="str">
        <f>"天津昆文汽车电子有限公司"</f>
        <v>天津昆文汽车电子有限公司</v>
      </c>
      <c r="B50" s="1" t="str">
        <f>"中小企业数字化转型城市试点数字化转型二级项目"</f>
        <v>中小企业数字化转型城市试点数字化转型二级项目</v>
      </c>
      <c r="C50" s="1" t="str">
        <f t="shared" ref="C50:C54" si="56">"-"</f>
        <v>-</v>
      </c>
      <c r="D50" s="1" t="str">
        <f>"荣誉"</f>
        <v>荣誉</v>
      </c>
      <c r="E50" s="1" t="str">
        <f>"区/县级"</f>
        <v>区/县级</v>
      </c>
      <c r="F50" s="1" t="str">
        <f>"滨海新区工业和信息化局"</f>
        <v>滨海新区工业和信息化局</v>
      </c>
      <c r="G50" s="1" t="str">
        <f t="shared" si="51"/>
        <v>2024</v>
      </c>
      <c r="H50" s="1" t="str">
        <f>"2024-11-27"</f>
        <v>2024-11-27</v>
      </c>
      <c r="I50" s="1" t="str">
        <f>"-"</f>
        <v>-</v>
      </c>
      <c r="J50" s="1" t="str">
        <f t="shared" si="55"/>
        <v>-</v>
      </c>
      <c r="K50" s="1" t="str">
        <f>"拟支持滨海新区中小企业数字化转型城市试点第三、四批数字化转型二级项目表"</f>
        <v>拟支持滨海新区中小企业数字化转型城市试点第三、四批数字化转型二级项目表</v>
      </c>
    </row>
    <row r="51" spans="1:11">
      <c r="A51" s="1" t="str">
        <f t="shared" ref="A51:A54" si="57">"天津广瑞达汽车电子有限公司"</f>
        <v>天津广瑞达汽车电子有限公司</v>
      </c>
      <c r="B51" s="1" t="str">
        <f>"高新技术企业"</f>
        <v>高新技术企业</v>
      </c>
      <c r="C51" s="1" t="str">
        <f>"GR202412001920"</f>
        <v>GR202412001920</v>
      </c>
      <c r="D51" s="1" t="str">
        <f t="shared" ref="D51:D78" si="58">"科技型企业"</f>
        <v>科技型企业</v>
      </c>
      <c r="E51" s="1" t="str">
        <f t="shared" si="54"/>
        <v>国家级</v>
      </c>
      <c r="F51" s="1" t="str">
        <f>"全国高新技术企业认定管理工作领导小组办公室"</f>
        <v>全国高新技术企业认定管理工作领导小组办公室</v>
      </c>
      <c r="G51" s="1" t="str">
        <f t="shared" si="51"/>
        <v>2024</v>
      </c>
      <c r="H51" s="1" t="str">
        <f>"2024-12-18"</f>
        <v>2024-12-18</v>
      </c>
      <c r="I51" s="1" t="str">
        <f>"2024-12-03"</f>
        <v>2024-12-03</v>
      </c>
      <c r="J51" s="1" t="str">
        <f>"2027-12-03"</f>
        <v>2027-12-03</v>
      </c>
      <c r="K51" s="1" t="str">
        <f>"对天津市认定机构2024年认定报备的第二批高新技术企业进行备案的公告"</f>
        <v>对天津市认定机构2024年认定报备的第二批高新技术企业进行备案的公告</v>
      </c>
    </row>
    <row r="52" spans="1:11">
      <c r="A52" s="1" t="str">
        <f t="shared" si="57"/>
        <v>天津广瑞达汽车电子有限公司</v>
      </c>
      <c r="B52" s="1" t="str">
        <f>"科技型中小企业"</f>
        <v>科技型中小企业</v>
      </c>
      <c r="C52" s="1" t="str">
        <f>"2024120111A8010581"</f>
        <v>2024120111A8010581</v>
      </c>
      <c r="D52" s="1" t="str">
        <f t="shared" si="58"/>
        <v>科技型企业</v>
      </c>
      <c r="E52" s="1" t="str">
        <f t="shared" si="54"/>
        <v>国家级</v>
      </c>
      <c r="F52" s="1" t="str">
        <f>"天津市科学技术局"</f>
        <v>天津市科学技术局</v>
      </c>
      <c r="G52" s="1" t="str">
        <f t="shared" si="51"/>
        <v>2024</v>
      </c>
      <c r="H52" s="1" t="str">
        <f>"2024-11-21"</f>
        <v>2024-11-21</v>
      </c>
      <c r="I52" s="1" t="str">
        <f>"2024-11-21"</f>
        <v>2024-11-21</v>
      </c>
      <c r="J52" s="1" t="str">
        <f t="shared" si="55"/>
        <v>-</v>
      </c>
      <c r="K52" s="1" t="str">
        <f>"天津市2024年第7批入库科技型中小企业名单公告"</f>
        <v>天津市2024年第7批入库科技型中小企业名单公告</v>
      </c>
    </row>
    <row r="53" spans="1:11">
      <c r="A53" s="1" t="str">
        <f t="shared" si="57"/>
        <v>天津广瑞达汽车电子有限公司</v>
      </c>
      <c r="B53" s="1" t="str">
        <f>"专精特新中小企业"</f>
        <v>专精特新中小企业</v>
      </c>
      <c r="C53" s="1" t="str">
        <f t="shared" si="56"/>
        <v>-</v>
      </c>
      <c r="D53" s="1" t="str">
        <f t="shared" si="58"/>
        <v>科技型企业</v>
      </c>
      <c r="E53" s="1" t="str">
        <f t="shared" ref="E53:E56" si="59">"省级"</f>
        <v>省级</v>
      </c>
      <c r="F53" s="1" t="str">
        <f t="shared" ref="F53:F56" si="60">"天津市工业和信息化局"</f>
        <v>天津市工业和信息化局</v>
      </c>
      <c r="G53" s="1" t="str">
        <f t="shared" ref="G53:G57" si="61">"2023"</f>
        <v>2023</v>
      </c>
      <c r="H53" s="1" t="str">
        <f>"2024-02-08"</f>
        <v>2024-02-08</v>
      </c>
      <c r="I53" s="1" t="str">
        <f>"2024-02-08"</f>
        <v>2024-02-08</v>
      </c>
      <c r="J53" s="1" t="str">
        <f>"2027-02-08"</f>
        <v>2027-02-08</v>
      </c>
      <c r="K53" s="1" t="str">
        <f>"2023年度第二批天津市专精特新中小企业拟认定名单的公示"</f>
        <v>2023年度第二批天津市专精特新中小企业拟认定名单的公示</v>
      </c>
    </row>
    <row r="54" spans="1:11">
      <c r="A54" s="1" t="str">
        <f t="shared" si="57"/>
        <v>天津广瑞达汽车电子有限公司</v>
      </c>
      <c r="B54" s="1" t="str">
        <f>"创新型中小企业"</f>
        <v>创新型中小企业</v>
      </c>
      <c r="C54" s="1" t="str">
        <f t="shared" si="56"/>
        <v>-</v>
      </c>
      <c r="D54" s="1" t="str">
        <f t="shared" si="58"/>
        <v>科技型企业</v>
      </c>
      <c r="E54" s="1" t="str">
        <f t="shared" si="59"/>
        <v>省级</v>
      </c>
      <c r="F54" s="1" t="str">
        <f t="shared" si="60"/>
        <v>天津市工业和信息化局</v>
      </c>
      <c r="G54" s="1" t="str">
        <f t="shared" si="61"/>
        <v>2023</v>
      </c>
      <c r="H54" s="1" t="str">
        <f>"2023-09-15"</f>
        <v>2023-09-15</v>
      </c>
      <c r="I54" s="1" t="str">
        <f>"2023-09-15"</f>
        <v>2023-09-15</v>
      </c>
      <c r="J54" s="1" t="str">
        <f>"2026-09-15"</f>
        <v>2026-09-15</v>
      </c>
      <c r="K54" s="1" t="str">
        <f>"天津市2023年度第三批创新型中小企业公告名单"</f>
        <v>天津市2023年度第三批创新型中小企业公告名单</v>
      </c>
    </row>
    <row r="55" spans="1:11">
      <c r="A55" s="1" t="str">
        <f t="shared" ref="A55:A58" si="62">"天津杰特汽车三元催化器有限公司"</f>
        <v>天津杰特汽车三元催化器有限公司</v>
      </c>
      <c r="B55" s="1" t="str">
        <f>"科技型中小企业"</f>
        <v>科技型中小企业</v>
      </c>
      <c r="C55" s="1" t="str">
        <f>"2025120111A8005073"</f>
        <v>2025120111A8005073</v>
      </c>
      <c r="D55" s="1" t="str">
        <f t="shared" si="58"/>
        <v>科技型企业</v>
      </c>
      <c r="E55" s="1" t="str">
        <f t="shared" ref="E55:E60" si="63">"国家级"</f>
        <v>国家级</v>
      </c>
      <c r="F55" s="1" t="str">
        <f>"天津市科学技术局、天津市天开高教科创园管理委员会"</f>
        <v>天津市科学技术局、天津市天开高教科创园管理委员会</v>
      </c>
      <c r="G55" s="1" t="str">
        <f>"2025"</f>
        <v>2025</v>
      </c>
      <c r="H55" s="1" t="str">
        <f>"2025-09-18"</f>
        <v>2025-09-18</v>
      </c>
      <c r="I55" s="1" t="str">
        <f>"2025-09-18"</f>
        <v>2025-09-18</v>
      </c>
      <c r="J55" s="1" t="str">
        <f>"-"</f>
        <v>-</v>
      </c>
      <c r="K55" s="1" t="str">
        <f>"天津市2025年第四批入库科技型中小企业名单公告"</f>
        <v>天津市2025年第四批入库科技型中小企业名单公告</v>
      </c>
    </row>
    <row r="56" spans="1:11">
      <c r="A56" s="1" t="str">
        <f t="shared" si="62"/>
        <v>天津杰特汽车三元催化器有限公司</v>
      </c>
      <c r="B56" s="1" t="str">
        <f>"专精特新中小企业"</f>
        <v>专精特新中小企业</v>
      </c>
      <c r="C56" s="1" t="str">
        <f t="shared" ref="C56:C61" si="64">"-"</f>
        <v>-</v>
      </c>
      <c r="D56" s="1" t="str">
        <f t="shared" si="58"/>
        <v>科技型企业</v>
      </c>
      <c r="E56" s="1" t="str">
        <f t="shared" si="59"/>
        <v>省级</v>
      </c>
      <c r="F56" s="1" t="str">
        <f t="shared" si="60"/>
        <v>天津市工业和信息化局</v>
      </c>
      <c r="G56" s="1" t="str">
        <f t="shared" si="61"/>
        <v>2023</v>
      </c>
      <c r="H56" s="1" t="str">
        <f>"2024-02-08"</f>
        <v>2024-02-08</v>
      </c>
      <c r="I56" s="1" t="str">
        <f>"2024-02-08"</f>
        <v>2024-02-08</v>
      </c>
      <c r="J56" s="1" t="str">
        <f>"2027-02-08"</f>
        <v>2027-02-08</v>
      </c>
      <c r="K56" s="1" t="str">
        <f>"2023年度第二批天津市专精特新中小企业拟认定名单的公示"</f>
        <v>2023年度第二批天津市专精特新中小企业拟认定名单的公示</v>
      </c>
    </row>
    <row r="57" spans="1:11">
      <c r="A57" s="1" t="str">
        <f t="shared" si="62"/>
        <v>天津杰特汽车三元催化器有限公司</v>
      </c>
      <c r="B57" s="1" t="str">
        <f>"高新技术企业"</f>
        <v>高新技术企业</v>
      </c>
      <c r="C57" s="1" t="str">
        <f>"GR202312000873"</f>
        <v>GR202312000873</v>
      </c>
      <c r="D57" s="1" t="str">
        <f t="shared" si="58"/>
        <v>科技型企业</v>
      </c>
      <c r="E57" s="1" t="str">
        <f t="shared" si="63"/>
        <v>国家级</v>
      </c>
      <c r="F57" s="1" t="str">
        <f>"全国高新技术企业认定管理工作领导小组办公室"</f>
        <v>全国高新技术企业认定管理工作领导小组办公室</v>
      </c>
      <c r="G57" s="1" t="str">
        <f t="shared" si="61"/>
        <v>2023</v>
      </c>
      <c r="H57" s="1" t="str">
        <f>"2023-12-28"</f>
        <v>2023-12-28</v>
      </c>
      <c r="I57" s="1" t="str">
        <f>"2023-12-08"</f>
        <v>2023-12-08</v>
      </c>
      <c r="J57" s="1" t="str">
        <f>"2026-12-08"</f>
        <v>2026-12-08</v>
      </c>
      <c r="K57" s="1" t="str">
        <f>"对天津市认定机构2023年认定报备的第二批高新技术企业进行备案的公告"</f>
        <v>对天津市认定机构2023年认定报备的第二批高新技术企业进行备案的公告</v>
      </c>
    </row>
    <row r="58" spans="1:11">
      <c r="A58" s="1" t="str">
        <f t="shared" si="62"/>
        <v>天津杰特汽车三元催化器有限公司</v>
      </c>
      <c r="B58" s="1" t="str">
        <f t="shared" ref="B58:B63" si="65">"创新型中小企业"</f>
        <v>创新型中小企业</v>
      </c>
      <c r="C58" s="1" t="str">
        <f t="shared" si="64"/>
        <v>-</v>
      </c>
      <c r="D58" s="1" t="str">
        <f t="shared" si="58"/>
        <v>科技型企业</v>
      </c>
      <c r="E58" s="1" t="str">
        <f t="shared" ref="E58:E63" si="66">"省级"</f>
        <v>省级</v>
      </c>
      <c r="F58" s="1" t="str">
        <f t="shared" ref="F58:F63" si="67">"天津市工业和信息化局"</f>
        <v>天津市工业和信息化局</v>
      </c>
      <c r="G58" s="1" t="str">
        <f t="shared" ref="G58:G64" si="68">"2022"</f>
        <v>2022</v>
      </c>
      <c r="H58" s="1" t="str">
        <f t="shared" ref="H58:H63" si="69">"2022-12-30"</f>
        <v>2022-12-30</v>
      </c>
      <c r="I58" s="1" t="str">
        <f t="shared" ref="I58:I63" si="70">"2022-12-30"</f>
        <v>2022-12-30</v>
      </c>
      <c r="J58" s="1" t="str">
        <f t="shared" ref="J58:J63" si="71">"2025-12-30"</f>
        <v>2025-12-30</v>
      </c>
      <c r="K58" s="1" t="str">
        <f t="shared" ref="K58:K63" si="72">"天津市2022年度创新型中小企业公告名单"</f>
        <v>天津市2022年度创新型中小企业公告名单</v>
      </c>
    </row>
    <row r="59" spans="1:11">
      <c r="A59" s="1" t="str">
        <f t="shared" ref="A59:A61" si="73">"天津万德汽车部件有限公司"</f>
        <v>天津万德汽车部件有限公司</v>
      </c>
      <c r="B59" s="1" t="str">
        <f>"科技型中小企业"</f>
        <v>科技型中小企业</v>
      </c>
      <c r="C59" s="1" t="str">
        <f>"2024120111A8005454"</f>
        <v>2024120111A8005454</v>
      </c>
      <c r="D59" s="1" t="str">
        <f t="shared" si="58"/>
        <v>科技型企业</v>
      </c>
      <c r="E59" s="1" t="str">
        <f t="shared" si="63"/>
        <v>国家级</v>
      </c>
      <c r="F59" s="1" t="str">
        <f>"天津市科学技术局"</f>
        <v>天津市科学技术局</v>
      </c>
      <c r="G59" s="1" t="str">
        <f>"2024"</f>
        <v>2024</v>
      </c>
      <c r="H59" s="1" t="str">
        <f>"2024-09-18"</f>
        <v>2024-09-18</v>
      </c>
      <c r="I59" s="1" t="str">
        <f>"2024-09-18"</f>
        <v>2024-09-18</v>
      </c>
      <c r="J59" s="1" t="str">
        <f>"-"</f>
        <v>-</v>
      </c>
      <c r="K59" s="1" t="str">
        <f>"天津市2024年第4批入库科技型中小企业名单公告"</f>
        <v>天津市2024年第4批入库科技型中小企业名单公告</v>
      </c>
    </row>
    <row r="60" spans="1:11">
      <c r="A60" s="1" t="str">
        <f t="shared" si="73"/>
        <v>天津万德汽车部件有限公司</v>
      </c>
      <c r="B60" s="1" t="str">
        <f>"高新技术企业"</f>
        <v>高新技术企业</v>
      </c>
      <c r="C60" s="1" t="str">
        <f>"GR202312000221"</f>
        <v>GR202312000221</v>
      </c>
      <c r="D60" s="1" t="str">
        <f t="shared" si="58"/>
        <v>科技型企业</v>
      </c>
      <c r="E60" s="1" t="str">
        <f t="shared" si="63"/>
        <v>国家级</v>
      </c>
      <c r="F60" s="1" t="str">
        <f>"全国高新技术企业认定管理工作领导小组办公室"</f>
        <v>全国高新技术企业认定管理工作领导小组办公室</v>
      </c>
      <c r="G60" s="1" t="str">
        <f>"2023"</f>
        <v>2023</v>
      </c>
      <c r="H60" s="1" t="str">
        <f>"2023-11-27"</f>
        <v>2023-11-27</v>
      </c>
      <c r="I60" s="1" t="str">
        <f>"2023-11-06"</f>
        <v>2023-11-06</v>
      </c>
      <c r="J60" s="1" t="str">
        <f>"2026-11-06"</f>
        <v>2026-11-06</v>
      </c>
      <c r="K60" s="1" t="str">
        <f>"对天津市认定机构2023年认定报备的第一批高新技术企业进行备案的公告"</f>
        <v>对天津市认定机构2023年认定报备的第一批高新技术企业进行备案的公告</v>
      </c>
    </row>
    <row r="61" spans="1:11">
      <c r="A61" s="1" t="str">
        <f t="shared" si="73"/>
        <v>天津万德汽车部件有限公司</v>
      </c>
      <c r="B61" s="1" t="str">
        <f t="shared" si="65"/>
        <v>创新型中小企业</v>
      </c>
      <c r="C61" s="1" t="str">
        <f t="shared" si="64"/>
        <v>-</v>
      </c>
      <c r="D61" s="1" t="str">
        <f t="shared" si="58"/>
        <v>科技型企业</v>
      </c>
      <c r="E61" s="1" t="str">
        <f t="shared" si="66"/>
        <v>省级</v>
      </c>
      <c r="F61" s="1" t="str">
        <f t="shared" si="67"/>
        <v>天津市工业和信息化局</v>
      </c>
      <c r="G61" s="1" t="str">
        <f t="shared" si="68"/>
        <v>2022</v>
      </c>
      <c r="H61" s="1" t="str">
        <f t="shared" si="69"/>
        <v>2022-12-30</v>
      </c>
      <c r="I61" s="1" t="str">
        <f t="shared" si="70"/>
        <v>2022-12-30</v>
      </c>
      <c r="J61" s="1" t="str">
        <f t="shared" si="71"/>
        <v>2025-12-30</v>
      </c>
      <c r="K61" s="1" t="str">
        <f t="shared" si="72"/>
        <v>天津市2022年度创新型中小企业公告名单</v>
      </c>
    </row>
    <row r="62" spans="1:11">
      <c r="A62" s="1" t="str">
        <f t="shared" ref="A62:A64" si="74">"天津富松汽车零部件有限公司"</f>
        <v>天津富松汽车零部件有限公司</v>
      </c>
      <c r="B62" s="1" t="str">
        <f t="shared" ref="B62:B67" si="75">"科技型中小企业"</f>
        <v>科技型中小企业</v>
      </c>
      <c r="C62" s="1" t="str">
        <f>"2025120111A8002025"</f>
        <v>2025120111A8002025</v>
      </c>
      <c r="D62" s="1" t="str">
        <f t="shared" si="58"/>
        <v>科技型企业</v>
      </c>
      <c r="E62" s="1" t="str">
        <f t="shared" ref="E62:E68" si="76">"国家级"</f>
        <v>国家级</v>
      </c>
      <c r="F62" s="1" t="str">
        <f>"天津市科学技术局、天津市天开高教科创园管理委员会"</f>
        <v>天津市科学技术局、天津市天开高教科创园管理委员会</v>
      </c>
      <c r="G62" s="1" t="str">
        <f>"2025"</f>
        <v>2025</v>
      </c>
      <c r="H62" s="1" t="str">
        <f>"2025-08-19"</f>
        <v>2025-08-19</v>
      </c>
      <c r="I62" s="1" t="str">
        <f>"2025-08-19"</f>
        <v>2025-08-19</v>
      </c>
      <c r="J62" s="1" t="str">
        <f t="shared" ref="J62:J67" si="77">"-"</f>
        <v>-</v>
      </c>
      <c r="K62" s="1" t="str">
        <f>"天津市2025年第二批入库科技型中小企业名单公告"</f>
        <v>天津市2025年第二批入库科技型中小企业名单公告</v>
      </c>
    </row>
    <row r="63" spans="1:11">
      <c r="A63" s="1" t="str">
        <f t="shared" si="74"/>
        <v>天津富松汽车零部件有限公司</v>
      </c>
      <c r="B63" s="1" t="str">
        <f t="shared" si="65"/>
        <v>创新型中小企业</v>
      </c>
      <c r="C63" s="1" t="str">
        <f>"-"</f>
        <v>-</v>
      </c>
      <c r="D63" s="1" t="str">
        <f t="shared" si="58"/>
        <v>科技型企业</v>
      </c>
      <c r="E63" s="1" t="str">
        <f t="shared" si="66"/>
        <v>省级</v>
      </c>
      <c r="F63" s="1" t="str">
        <f t="shared" si="67"/>
        <v>天津市工业和信息化局</v>
      </c>
      <c r="G63" s="1" t="str">
        <f t="shared" si="68"/>
        <v>2022</v>
      </c>
      <c r="H63" s="1" t="str">
        <f t="shared" si="69"/>
        <v>2022-12-30</v>
      </c>
      <c r="I63" s="1" t="str">
        <f t="shared" si="70"/>
        <v>2022-12-30</v>
      </c>
      <c r="J63" s="1" t="str">
        <f t="shared" si="71"/>
        <v>2025-12-30</v>
      </c>
      <c r="K63" s="1" t="str">
        <f t="shared" si="72"/>
        <v>天津市2022年度创新型中小企业公告名单</v>
      </c>
    </row>
    <row r="64" spans="1:11">
      <c r="A64" s="1" t="str">
        <f t="shared" si="74"/>
        <v>天津富松汽车零部件有限公司</v>
      </c>
      <c r="B64" s="1" t="str">
        <f t="shared" ref="B64:B68" si="78">"高新技术企业"</f>
        <v>高新技术企业</v>
      </c>
      <c r="C64" s="1" t="str">
        <f>"GR202212000616"</f>
        <v>GR202212000616</v>
      </c>
      <c r="D64" s="1" t="str">
        <f t="shared" si="58"/>
        <v>科技型企业</v>
      </c>
      <c r="E64" s="1" t="str">
        <f t="shared" si="76"/>
        <v>国家级</v>
      </c>
      <c r="F64" s="1" t="str">
        <f t="shared" ref="F64:F68" si="79">"全国高新技术企业认定管理工作领导小组办公室"</f>
        <v>全国高新技术企业认定管理工作领导小组办公室</v>
      </c>
      <c r="G64" s="1" t="str">
        <f t="shared" si="68"/>
        <v>2022</v>
      </c>
      <c r="H64" s="1" t="str">
        <f>"2022-12-16"</f>
        <v>2022-12-16</v>
      </c>
      <c r="I64" s="1" t="str">
        <f>"2022-11-15"</f>
        <v>2022-11-15</v>
      </c>
      <c r="J64" s="1" t="str">
        <f>"2025-11-15"</f>
        <v>2025-11-15</v>
      </c>
      <c r="K64" s="1" t="str">
        <f>"关于天津市认定机构2022年认定的第二批高新技术企业进行备案的公告"</f>
        <v>关于天津市认定机构2022年认定的第二批高新技术企业进行备案的公告</v>
      </c>
    </row>
    <row r="65" spans="1:11">
      <c r="A65" s="1" t="str">
        <f>"天津昊辰通达汽车检具有限公司"</f>
        <v>天津昊辰通达汽车检具有限公司</v>
      </c>
      <c r="B65" s="1" t="str">
        <f t="shared" si="75"/>
        <v>科技型中小企业</v>
      </c>
      <c r="C65" s="1" t="str">
        <f>"2024120113A8010816"</f>
        <v>2024120113A8010816</v>
      </c>
      <c r="D65" s="1" t="str">
        <f t="shared" si="58"/>
        <v>科技型企业</v>
      </c>
      <c r="E65" s="1" t="str">
        <f t="shared" si="76"/>
        <v>国家级</v>
      </c>
      <c r="F65" s="1" t="str">
        <f>"天津市科学技术局"</f>
        <v>天津市科学技术局</v>
      </c>
      <c r="G65" s="1" t="str">
        <f>"2024"</f>
        <v>2024</v>
      </c>
      <c r="H65" s="1" t="str">
        <f>"2024-11-21"</f>
        <v>2024-11-21</v>
      </c>
      <c r="I65" s="1" t="str">
        <f>"2024-11-21"</f>
        <v>2024-11-21</v>
      </c>
      <c r="J65" s="1" t="str">
        <f t="shared" si="77"/>
        <v>-</v>
      </c>
      <c r="K65" s="1" t="str">
        <f>"天津市2024年第7批入库科技型中小企业名单公告"</f>
        <v>天津市2024年第7批入库科技型中小企业名单公告</v>
      </c>
    </row>
    <row r="66" spans="1:11">
      <c r="A66" s="1" t="str">
        <f>"天津昊辰通达汽车检具有限公司"</f>
        <v>天津昊辰通达汽车检具有限公司</v>
      </c>
      <c r="B66" s="1" t="str">
        <f t="shared" si="78"/>
        <v>高新技术企业</v>
      </c>
      <c r="C66" s="1" t="str">
        <f>"GR202312000294"</f>
        <v>GR202312000294</v>
      </c>
      <c r="D66" s="1" t="str">
        <f t="shared" si="58"/>
        <v>科技型企业</v>
      </c>
      <c r="E66" s="1" t="str">
        <f t="shared" si="76"/>
        <v>国家级</v>
      </c>
      <c r="F66" s="1" t="str">
        <f t="shared" si="79"/>
        <v>全国高新技术企业认定管理工作领导小组办公室</v>
      </c>
      <c r="G66" s="1" t="str">
        <f t="shared" ref="G66:G71" si="80">"2023"</f>
        <v>2023</v>
      </c>
      <c r="H66" s="1" t="str">
        <f>"2023-11-27"</f>
        <v>2023-11-27</v>
      </c>
      <c r="I66" s="1" t="str">
        <f>"2023-11-06"</f>
        <v>2023-11-06</v>
      </c>
      <c r="J66" s="1" t="str">
        <f>"2026-11-06"</f>
        <v>2026-11-06</v>
      </c>
      <c r="K66" s="1" t="str">
        <f>"对天津市认定机构2023年认定报备的第一批高新技术企业进行备案的公告"</f>
        <v>对天津市认定机构2023年认定报备的第一批高新技术企业进行备案的公告</v>
      </c>
    </row>
    <row r="67" spans="1:11">
      <c r="A67" s="1" t="str">
        <f t="shared" ref="A67:A69" si="81">"天津信诺达汽车线束有限公司"</f>
        <v>天津信诺达汽车线束有限公司</v>
      </c>
      <c r="B67" s="1" t="str">
        <f t="shared" si="75"/>
        <v>科技型中小企业</v>
      </c>
      <c r="C67" s="1" t="str">
        <f>"2024120111A8001131"</f>
        <v>2024120111A8001131</v>
      </c>
      <c r="D67" s="1" t="str">
        <f t="shared" si="58"/>
        <v>科技型企业</v>
      </c>
      <c r="E67" s="1" t="str">
        <f t="shared" si="76"/>
        <v>国家级</v>
      </c>
      <c r="F67" s="1" t="str">
        <f>"天津市科学技术局"</f>
        <v>天津市科学技术局</v>
      </c>
      <c r="G67" s="1" t="str">
        <f>"2024"</f>
        <v>2024</v>
      </c>
      <c r="H67" s="1" t="str">
        <f>"2024-08-01"</f>
        <v>2024-08-01</v>
      </c>
      <c r="I67" s="1" t="str">
        <f>"2024-08-01"</f>
        <v>2024-08-01</v>
      </c>
      <c r="J67" s="1" t="str">
        <f t="shared" si="77"/>
        <v>-</v>
      </c>
      <c r="K67" s="1" t="str">
        <f>"天津市2024年第1批入库科技型中小企业名单公告"</f>
        <v>天津市2024年第1批入库科技型中小企业名单公告</v>
      </c>
    </row>
    <row r="68" spans="1:11">
      <c r="A68" s="1" t="str">
        <f t="shared" si="81"/>
        <v>天津信诺达汽车线束有限公司</v>
      </c>
      <c r="B68" s="1" t="str">
        <f t="shared" si="78"/>
        <v>高新技术企业</v>
      </c>
      <c r="C68" s="1" t="str">
        <f>"GR202312001243"</f>
        <v>GR202312001243</v>
      </c>
      <c r="D68" s="1" t="str">
        <f t="shared" si="58"/>
        <v>科技型企业</v>
      </c>
      <c r="E68" s="1" t="str">
        <f t="shared" si="76"/>
        <v>国家级</v>
      </c>
      <c r="F68" s="1" t="str">
        <f t="shared" si="79"/>
        <v>全国高新技术企业认定管理工作领导小组办公室</v>
      </c>
      <c r="G68" s="1" t="str">
        <f t="shared" si="80"/>
        <v>2023</v>
      </c>
      <c r="H68" s="1" t="str">
        <f>"2023-12-28"</f>
        <v>2023-12-28</v>
      </c>
      <c r="I68" s="1" t="str">
        <f>"2023-12-08"</f>
        <v>2023-12-08</v>
      </c>
      <c r="J68" s="1" t="str">
        <f>"2026-12-08"</f>
        <v>2026-12-08</v>
      </c>
      <c r="K68" s="1" t="str">
        <f>"对天津市认定机构2023年认定报备的第二批高新技术企业进行备案的公告"</f>
        <v>对天津市认定机构2023年认定报备的第二批高新技术企业进行备案的公告</v>
      </c>
    </row>
    <row r="69" spans="1:11">
      <c r="A69" s="1" t="str">
        <f t="shared" si="81"/>
        <v>天津信诺达汽车线束有限公司</v>
      </c>
      <c r="B69" s="1" t="str">
        <f t="shared" ref="B69:B72" si="82">"创新型中小企业"</f>
        <v>创新型中小企业</v>
      </c>
      <c r="C69" s="1" t="str">
        <f t="shared" ref="C69:C72" si="83">"-"</f>
        <v>-</v>
      </c>
      <c r="D69" s="1" t="str">
        <f t="shared" si="58"/>
        <v>科技型企业</v>
      </c>
      <c r="E69" s="1" t="str">
        <f t="shared" ref="E69:E72" si="84">"省级"</f>
        <v>省级</v>
      </c>
      <c r="F69" s="1" t="str">
        <f t="shared" ref="F69:F72" si="85">"天津市工业和信息化局"</f>
        <v>天津市工业和信息化局</v>
      </c>
      <c r="G69" s="1" t="str">
        <f>"2022"</f>
        <v>2022</v>
      </c>
      <c r="H69" s="1" t="str">
        <f>"2022-12-30"</f>
        <v>2022-12-30</v>
      </c>
      <c r="I69" s="1" t="str">
        <f>"2022-12-30"</f>
        <v>2022-12-30</v>
      </c>
      <c r="J69" s="1" t="str">
        <f>"2025-12-30"</f>
        <v>2025-12-30</v>
      </c>
      <c r="K69" s="1" t="str">
        <f>"天津市2022年度创新型中小企业公告名单"</f>
        <v>天津市2022年度创新型中小企业公告名单</v>
      </c>
    </row>
    <row r="70" spans="1:11">
      <c r="A70" s="1" t="str">
        <f>"天津华天汽车配件有限公司"</f>
        <v>天津华天汽车配件有限公司</v>
      </c>
      <c r="B70" s="1" t="str">
        <f t="shared" si="82"/>
        <v>创新型中小企业</v>
      </c>
      <c r="C70" s="1" t="str">
        <f t="shared" si="83"/>
        <v>-</v>
      </c>
      <c r="D70" s="1" t="str">
        <f t="shared" si="58"/>
        <v>科技型企业</v>
      </c>
      <c r="E70" s="1" t="str">
        <f t="shared" si="84"/>
        <v>省级</v>
      </c>
      <c r="F70" s="1" t="str">
        <f t="shared" si="85"/>
        <v>天津市工业和信息化局</v>
      </c>
      <c r="G70" s="1" t="str">
        <f>"2025"</f>
        <v>2025</v>
      </c>
      <c r="H70" s="1" t="str">
        <f>"2025-06-20"</f>
        <v>2025-06-20</v>
      </c>
      <c r="I70" s="1" t="str">
        <f>"2025-06-20"</f>
        <v>2025-06-20</v>
      </c>
      <c r="J70" s="1" t="str">
        <f>"2028-06-20"</f>
        <v>2028-06-20</v>
      </c>
      <c r="K70" s="1" t="str">
        <f>"2025年度第一批天津市创新型中小企业拟通过企业名单公示"</f>
        <v>2025年度第一批天津市创新型中小企业拟通过企业名单公示</v>
      </c>
    </row>
    <row r="71" spans="1:11">
      <c r="A71" s="1" t="str">
        <f>"天津晨嘉汽车零部件有限公司"</f>
        <v>天津晨嘉汽车零部件有限公司</v>
      </c>
      <c r="B71" s="1" t="str">
        <f>"高新技术企业"</f>
        <v>高新技术企业</v>
      </c>
      <c r="C71" s="1" t="str">
        <f>"GR202312000239"</f>
        <v>GR202312000239</v>
      </c>
      <c r="D71" s="1" t="str">
        <f t="shared" si="58"/>
        <v>科技型企业</v>
      </c>
      <c r="E71" s="1" t="str">
        <f t="shared" ref="E71:E74" si="86">"国家级"</f>
        <v>国家级</v>
      </c>
      <c r="F71" s="1" t="str">
        <f>"全国高新技术企业认定管理工作领导小组办公室"</f>
        <v>全国高新技术企业认定管理工作领导小组办公室</v>
      </c>
      <c r="G71" s="1" t="str">
        <f t="shared" si="80"/>
        <v>2023</v>
      </c>
      <c r="H71" s="1" t="str">
        <f>"2023-11-27"</f>
        <v>2023-11-27</v>
      </c>
      <c r="I71" s="1" t="str">
        <f>"2023-11-06"</f>
        <v>2023-11-06</v>
      </c>
      <c r="J71" s="1" t="str">
        <f>"2026-11-06"</f>
        <v>2026-11-06</v>
      </c>
      <c r="K71" s="1" t="str">
        <f>"对天津市认定机构2023年认定报备的第一批高新技术企业进行备案的公告"</f>
        <v>对天津市认定机构2023年认定报备的第一批高新技术企业进行备案的公告</v>
      </c>
    </row>
    <row r="72" spans="1:11">
      <c r="A72" s="1" t="str">
        <f>"天津晨嘉汽车零部件有限公司"</f>
        <v>天津晨嘉汽车零部件有限公司</v>
      </c>
      <c r="B72" s="1" t="str">
        <f t="shared" si="82"/>
        <v>创新型中小企业</v>
      </c>
      <c r="C72" s="1" t="str">
        <f t="shared" si="83"/>
        <v>-</v>
      </c>
      <c r="D72" s="1" t="str">
        <f t="shared" si="58"/>
        <v>科技型企业</v>
      </c>
      <c r="E72" s="1" t="str">
        <f t="shared" si="84"/>
        <v>省级</v>
      </c>
      <c r="F72" s="1" t="str">
        <f t="shared" si="85"/>
        <v>天津市工业和信息化局</v>
      </c>
      <c r="G72" s="1" t="str">
        <f>"2022"</f>
        <v>2022</v>
      </c>
      <c r="H72" s="1" t="str">
        <f>"2022-12-30"</f>
        <v>2022-12-30</v>
      </c>
      <c r="I72" s="1" t="str">
        <f>"2022-12-30"</f>
        <v>2022-12-30</v>
      </c>
      <c r="J72" s="1" t="str">
        <f>"2025-12-30"</f>
        <v>2025-12-30</v>
      </c>
      <c r="K72" s="1" t="str">
        <f>"天津市2022年度创新型中小企业公告名单"</f>
        <v>天津市2022年度创新型中小企业公告名单</v>
      </c>
    </row>
    <row r="73" spans="1:11">
      <c r="A73" s="1" t="str">
        <f>"天津敏驰汽车部品有限公司"</f>
        <v>天津敏驰汽车部品有限公司</v>
      </c>
      <c r="B73" s="1" t="str">
        <f>"高新技术企业"</f>
        <v>高新技术企业</v>
      </c>
      <c r="C73" s="1" t="str">
        <f>"GR202412000003"</f>
        <v>GR202412000003</v>
      </c>
      <c r="D73" s="1" t="str">
        <f t="shared" si="58"/>
        <v>科技型企业</v>
      </c>
      <c r="E73" s="1" t="str">
        <f t="shared" si="86"/>
        <v>国家级</v>
      </c>
      <c r="F73" s="1" t="str">
        <f>"全国高新技术企业认定管理工作领导小组办公室"</f>
        <v>全国高新技术企业认定管理工作领导小组办公室</v>
      </c>
      <c r="G73" s="1" t="str">
        <f>"2024"</f>
        <v>2024</v>
      </c>
      <c r="H73" s="1" t="str">
        <f>"2024-12-04"</f>
        <v>2024-12-04</v>
      </c>
      <c r="I73" s="1" t="str">
        <f>"2024-10-31"</f>
        <v>2024-10-31</v>
      </c>
      <c r="J73" s="1" t="str">
        <f>"2027-10-31"</f>
        <v>2027-10-31</v>
      </c>
      <c r="K73" s="1" t="str">
        <f>"对天津市认定机构2024年认定报备的第一批高新技术企业进行备案的公告"</f>
        <v>对天津市认定机构2024年认定报备的第一批高新技术企业进行备案的公告</v>
      </c>
    </row>
    <row r="74" spans="1:11">
      <c r="A74" s="1" t="str">
        <f>"天津敏驰汽车部品有限公司"</f>
        <v>天津敏驰汽车部品有限公司</v>
      </c>
      <c r="B74" s="1" t="str">
        <f>"科技型中小企业"</f>
        <v>科技型中小企业</v>
      </c>
      <c r="C74" s="1" t="str">
        <f>"2024120113A8009248"</f>
        <v>2024120113A8009248</v>
      </c>
      <c r="D74" s="1" t="str">
        <f t="shared" si="58"/>
        <v>科技型企业</v>
      </c>
      <c r="E74" s="1" t="str">
        <f t="shared" si="86"/>
        <v>国家级</v>
      </c>
      <c r="F74" s="1" t="str">
        <f>"天津市科学技术局"</f>
        <v>天津市科学技术局</v>
      </c>
      <c r="G74" s="1" t="str">
        <f>"2024"</f>
        <v>2024</v>
      </c>
      <c r="H74" s="1" t="str">
        <f>"2024-10-23"</f>
        <v>2024-10-23</v>
      </c>
      <c r="I74" s="1" t="str">
        <f>"2024-10-23"</f>
        <v>2024-10-23</v>
      </c>
      <c r="J74" s="1" t="str">
        <f t="shared" ref="J74:J79" si="87">"-"</f>
        <v>-</v>
      </c>
      <c r="K74" s="1" t="str">
        <f>"天津市2024年第6批入库科技型中小企业名单公告"</f>
        <v>天津市2024年第6批入库科技型中小企业名单公告</v>
      </c>
    </row>
    <row r="75" spans="1:11">
      <c r="A75" s="1" t="str">
        <f t="shared" ref="A75:A77" si="88">"天津福赛汽车部件有限公司"</f>
        <v>天津福赛汽车部件有限公司</v>
      </c>
      <c r="B75" s="1" t="str">
        <f>"企业技术中心"</f>
        <v>企业技术中心</v>
      </c>
      <c r="C75" s="1" t="str">
        <f t="shared" ref="C75:C77" si="89">"-"</f>
        <v>-</v>
      </c>
      <c r="D75" s="1" t="str">
        <f t="shared" si="58"/>
        <v>科技型企业</v>
      </c>
      <c r="E75" s="1" t="str">
        <f t="shared" ref="E75:E77" si="90">"省级"</f>
        <v>省级</v>
      </c>
      <c r="F75" s="1" t="str">
        <f>"天津市工业和信息化局，天津市发展改革委，天津市科技局，天津市财政局"</f>
        <v>天津市工业和信息化局，天津市发展改革委，天津市科技局，天津市财政局</v>
      </c>
      <c r="G75" s="1" t="str">
        <f>"2023"</f>
        <v>2023</v>
      </c>
      <c r="H75" s="1" t="str">
        <f>"2023-10-07"</f>
        <v>2023-10-07</v>
      </c>
      <c r="I75" s="1" t="str">
        <f>"2023-10-07"</f>
        <v>2023-10-07</v>
      </c>
      <c r="J75" s="1" t="str">
        <f t="shared" si="87"/>
        <v>-</v>
      </c>
      <c r="K75" s="1" t="str">
        <f>"2023全部天津市企业技术中心名单"</f>
        <v>2023全部天津市企业技术中心名单</v>
      </c>
    </row>
    <row r="76" spans="1:11">
      <c r="A76" s="1" t="str">
        <f t="shared" si="88"/>
        <v>天津福赛汽车部件有限公司</v>
      </c>
      <c r="B76" s="1" t="str">
        <f>"专精特新中小企业"</f>
        <v>专精特新中小企业</v>
      </c>
      <c r="C76" s="1" t="str">
        <f t="shared" si="89"/>
        <v>-</v>
      </c>
      <c r="D76" s="1" t="str">
        <f t="shared" si="58"/>
        <v>科技型企业</v>
      </c>
      <c r="E76" s="1" t="str">
        <f t="shared" si="90"/>
        <v>省级</v>
      </c>
      <c r="F76" s="1" t="str">
        <f>"天津市工业和信息化局，天津市财政局"</f>
        <v>天津市工业和信息化局，天津市财政局</v>
      </c>
      <c r="G76" s="1" t="str">
        <f>"2023"</f>
        <v>2023</v>
      </c>
      <c r="H76" s="1" t="str">
        <f>"2023-05-17"</f>
        <v>2023-05-17</v>
      </c>
      <c r="I76" s="1" t="str">
        <f>"2023-05-17"</f>
        <v>2023-05-17</v>
      </c>
      <c r="J76" s="1" t="str">
        <f>"2026-05-17"</f>
        <v>2026-05-17</v>
      </c>
      <c r="K76" s="1" t="str">
        <f>"2023年度第一批天津市专精特新中小企业认定名单（第二部分）"</f>
        <v>2023年度第一批天津市专精特新中小企业认定名单（第二部分）</v>
      </c>
    </row>
    <row r="77" spans="1:11">
      <c r="A77" s="1" t="str">
        <f t="shared" si="88"/>
        <v>天津福赛汽车部件有限公司</v>
      </c>
      <c r="B77" s="1" t="str">
        <f>"创新型中小企业"</f>
        <v>创新型中小企业</v>
      </c>
      <c r="C77" s="1" t="str">
        <f t="shared" si="89"/>
        <v>-</v>
      </c>
      <c r="D77" s="1" t="str">
        <f t="shared" si="58"/>
        <v>科技型企业</v>
      </c>
      <c r="E77" s="1" t="str">
        <f t="shared" si="90"/>
        <v>省级</v>
      </c>
      <c r="F77" s="1" t="str">
        <f t="shared" ref="F77:F80" si="91">"天津市工业和信息化局"</f>
        <v>天津市工业和信息化局</v>
      </c>
      <c r="G77" s="1" t="str">
        <f>"2022"</f>
        <v>2022</v>
      </c>
      <c r="H77" s="1" t="str">
        <f>"2022-12-30"</f>
        <v>2022-12-30</v>
      </c>
      <c r="I77" s="1" t="str">
        <f>"2022-12-30"</f>
        <v>2022-12-30</v>
      </c>
      <c r="J77" s="1" t="str">
        <f>"2025-12-30"</f>
        <v>2025-12-30</v>
      </c>
      <c r="K77" s="1" t="str">
        <f>"天津市2022年度创新型中小企业公告名单"</f>
        <v>天津市2022年度创新型中小企业公告名单</v>
      </c>
    </row>
    <row r="78" spans="1:11">
      <c r="A78" s="1" t="str">
        <f t="shared" ref="A78:A81" si="92">"天津市赛奥美德工贸有限公司"</f>
        <v>天津市赛奥美德工贸有限公司</v>
      </c>
      <c r="B78" s="1" t="str">
        <f>"科技型中小企业"</f>
        <v>科技型中小企业</v>
      </c>
      <c r="C78" s="1" t="str">
        <f>"2025120111A8002331"</f>
        <v>2025120111A8002331</v>
      </c>
      <c r="D78" s="1" t="str">
        <f t="shared" si="58"/>
        <v>科技型企业</v>
      </c>
      <c r="E78" s="1" t="str">
        <f t="shared" ref="E78:E83" si="93">"国家级"</f>
        <v>国家级</v>
      </c>
      <c r="F78" s="1" t="str">
        <f>"天津市科学技术局、天津市天开高教科创园管理委员会"</f>
        <v>天津市科学技术局、天津市天开高教科创园管理委员会</v>
      </c>
      <c r="G78" s="1" t="str">
        <f>"2025"</f>
        <v>2025</v>
      </c>
      <c r="H78" s="1" t="str">
        <f>"2025-08-19"</f>
        <v>2025-08-19</v>
      </c>
      <c r="I78" s="1" t="str">
        <f>"2025-08-19"</f>
        <v>2025-08-19</v>
      </c>
      <c r="J78" s="1" t="str">
        <f t="shared" si="87"/>
        <v>-</v>
      </c>
      <c r="K78" s="1" t="str">
        <f>"天津市2025年第二批入库科技型中小企业名单公告"</f>
        <v>天津市2025年第二批入库科技型中小企业名单公告</v>
      </c>
    </row>
    <row r="79" spans="1:11">
      <c r="A79" s="1" t="str">
        <f t="shared" si="92"/>
        <v>天津市赛奥美德工贸有限公司</v>
      </c>
      <c r="B79" s="1" t="str">
        <f>"专精特新“种子”企业"</f>
        <v>专精特新“种子”企业</v>
      </c>
      <c r="C79" s="1" t="str">
        <f t="shared" ref="C79:C84" si="94">"-"</f>
        <v>-</v>
      </c>
      <c r="D79" s="1" t="str">
        <f>"荣誉"</f>
        <v>荣誉</v>
      </c>
      <c r="E79" s="1" t="str">
        <f t="shared" ref="E79:E84" si="95">"省级"</f>
        <v>省级</v>
      </c>
      <c r="F79" s="1" t="str">
        <f t="shared" si="91"/>
        <v>天津市工业和信息化局</v>
      </c>
      <c r="G79" s="1" t="str">
        <f t="shared" ref="G79:G83" si="96">"2024"</f>
        <v>2024</v>
      </c>
      <c r="H79" s="1" t="str">
        <f>"2025-06-04"</f>
        <v>2025-06-04</v>
      </c>
      <c r="I79" s="1" t="str">
        <f>"-"</f>
        <v>-</v>
      </c>
      <c r="J79" s="1" t="str">
        <f t="shared" si="87"/>
        <v>-</v>
      </c>
      <c r="K79" s="1" t="str">
        <f>"天津市工业和信息化局市财政局关于公告2024年度天津市专精特新“种子”企业名单的通知"</f>
        <v>天津市工业和信息化局市财政局关于公告2024年度天津市专精特新“种子”企业名单的通知</v>
      </c>
    </row>
    <row r="80" spans="1:11">
      <c r="A80" s="1" t="str">
        <f t="shared" si="92"/>
        <v>天津市赛奥美德工贸有限公司</v>
      </c>
      <c r="B80" s="1" t="str">
        <f>"创新型中小企业"</f>
        <v>创新型中小企业</v>
      </c>
      <c r="C80" s="1" t="str">
        <f t="shared" si="94"/>
        <v>-</v>
      </c>
      <c r="D80" s="1" t="str">
        <f t="shared" ref="D80:D92" si="97">"科技型企业"</f>
        <v>科技型企业</v>
      </c>
      <c r="E80" s="1" t="str">
        <f t="shared" si="95"/>
        <v>省级</v>
      </c>
      <c r="F80" s="1" t="str">
        <f t="shared" si="91"/>
        <v>天津市工业和信息化局</v>
      </c>
      <c r="G80" s="1" t="str">
        <f t="shared" si="96"/>
        <v>2024</v>
      </c>
      <c r="H80" s="1" t="str">
        <f>"2024-04-17"</f>
        <v>2024-04-17</v>
      </c>
      <c r="I80" s="1" t="str">
        <f>"2024-04-17"</f>
        <v>2024-04-17</v>
      </c>
      <c r="J80" s="1" t="str">
        <f>"2027-04-17"</f>
        <v>2027-04-17</v>
      </c>
      <c r="K80" s="1" t="str">
        <f>"天津市工业和信息化局关于公告2024年度第一批创新型中小企业名单的通知"</f>
        <v>天津市工业和信息化局关于公告2024年度第一批创新型中小企业名单的通知</v>
      </c>
    </row>
    <row r="81" spans="1:11">
      <c r="A81" s="1" t="str">
        <f t="shared" si="92"/>
        <v>天津市赛奥美德工贸有限公司</v>
      </c>
      <c r="B81" s="1" t="str">
        <f t="shared" ref="B81:B88" si="98">"高新技术企业"</f>
        <v>高新技术企业</v>
      </c>
      <c r="C81" s="1" t="str">
        <f>"GR202312000353"</f>
        <v>GR202312000353</v>
      </c>
      <c r="D81" s="1" t="str">
        <f t="shared" si="97"/>
        <v>科技型企业</v>
      </c>
      <c r="E81" s="1" t="str">
        <f t="shared" si="93"/>
        <v>国家级</v>
      </c>
      <c r="F81" s="1" t="str">
        <f t="shared" ref="F81:F88" si="99">"全国高新技术企业认定管理工作领导小组办公室"</f>
        <v>全国高新技术企业认定管理工作领导小组办公室</v>
      </c>
      <c r="G81" s="1" t="str">
        <f>"2023"</f>
        <v>2023</v>
      </c>
      <c r="H81" s="1" t="str">
        <f>"2023-11-27"</f>
        <v>2023-11-27</v>
      </c>
      <c r="I81" s="1" t="str">
        <f>"2023-11-06"</f>
        <v>2023-11-06</v>
      </c>
      <c r="J81" s="1" t="str">
        <f>"2026-11-06"</f>
        <v>2026-11-06</v>
      </c>
      <c r="K81" s="1" t="str">
        <f>"对天津市认定机构2023年认定报备的第一批高新技术企业进行备案的公告"</f>
        <v>对天津市认定机构2023年认定报备的第一批高新技术企业进行备案的公告</v>
      </c>
    </row>
    <row r="82" spans="1:11">
      <c r="A82" s="1" t="str">
        <f t="shared" ref="A82:A84" si="100">"天津电达汽车部件有限公司"</f>
        <v>天津电达汽车部件有限公司</v>
      </c>
      <c r="B82" s="1" t="str">
        <f t="shared" si="98"/>
        <v>高新技术企业</v>
      </c>
      <c r="C82" s="1" t="str">
        <f>"GR202412000218"</f>
        <v>GR202412000218</v>
      </c>
      <c r="D82" s="1" t="str">
        <f t="shared" si="97"/>
        <v>科技型企业</v>
      </c>
      <c r="E82" s="1" t="str">
        <f t="shared" si="93"/>
        <v>国家级</v>
      </c>
      <c r="F82" s="1" t="str">
        <f t="shared" si="99"/>
        <v>全国高新技术企业认定管理工作领导小组办公室</v>
      </c>
      <c r="G82" s="1" t="str">
        <f t="shared" si="96"/>
        <v>2024</v>
      </c>
      <c r="H82" s="1" t="str">
        <f>"2024-12-04"</f>
        <v>2024-12-04</v>
      </c>
      <c r="I82" s="1" t="str">
        <f>"2024-10-31"</f>
        <v>2024-10-31</v>
      </c>
      <c r="J82" s="1" t="str">
        <f>"2027-10-31"</f>
        <v>2027-10-31</v>
      </c>
      <c r="K82" s="1" t="str">
        <f>"对天津市认定机构2024年认定报备的第一批高新技术企业进行备案的公告"</f>
        <v>对天津市认定机构2024年认定报备的第一批高新技术企业进行备案的公告</v>
      </c>
    </row>
    <row r="83" spans="1:11">
      <c r="A83" s="1" t="str">
        <f t="shared" si="100"/>
        <v>天津电达汽车部件有限公司</v>
      </c>
      <c r="B83" s="1" t="str">
        <f>"科技型中小企业"</f>
        <v>科技型中小企业</v>
      </c>
      <c r="C83" s="1" t="str">
        <f>"2024120111A8003301"</f>
        <v>2024120111A8003301</v>
      </c>
      <c r="D83" s="1" t="str">
        <f t="shared" si="97"/>
        <v>科技型企业</v>
      </c>
      <c r="E83" s="1" t="str">
        <f t="shared" si="93"/>
        <v>国家级</v>
      </c>
      <c r="F83" s="1" t="str">
        <f>"天津市科学技术局"</f>
        <v>天津市科学技术局</v>
      </c>
      <c r="G83" s="1" t="str">
        <f t="shared" si="96"/>
        <v>2024</v>
      </c>
      <c r="H83" s="1" t="str">
        <f>"2024-09-02"</f>
        <v>2024-09-02</v>
      </c>
      <c r="I83" s="1" t="str">
        <f>"2024-09-02"</f>
        <v>2024-09-02</v>
      </c>
      <c r="J83" s="1" t="str">
        <f>"-"</f>
        <v>-</v>
      </c>
      <c r="K83" s="1" t="str">
        <f>"天津市2024年第3批入库科技型中小企业名单公告"</f>
        <v>天津市2024年第3批入库科技型中小企业名单公告</v>
      </c>
    </row>
    <row r="84" spans="1:11">
      <c r="A84" s="1" t="str">
        <f t="shared" si="100"/>
        <v>天津电达汽车部件有限公司</v>
      </c>
      <c r="B84" s="1" t="str">
        <f>"创新型中小企业"</f>
        <v>创新型中小企业</v>
      </c>
      <c r="C84" s="1" t="str">
        <f t="shared" si="94"/>
        <v>-</v>
      </c>
      <c r="D84" s="1" t="str">
        <f t="shared" si="97"/>
        <v>科技型企业</v>
      </c>
      <c r="E84" s="1" t="str">
        <f t="shared" si="95"/>
        <v>省级</v>
      </c>
      <c r="F84" s="1" t="str">
        <f>"天津市工业和信息化局"</f>
        <v>天津市工业和信息化局</v>
      </c>
      <c r="G84" s="1" t="str">
        <f t="shared" ref="G84:G88" si="101">"2022"</f>
        <v>2022</v>
      </c>
      <c r="H84" s="1" t="str">
        <f>"2022-12-30"</f>
        <v>2022-12-30</v>
      </c>
      <c r="I84" s="1" t="str">
        <f>"2022-12-30"</f>
        <v>2022-12-30</v>
      </c>
      <c r="J84" s="1" t="str">
        <f>"2025-12-30"</f>
        <v>2025-12-30</v>
      </c>
      <c r="K84" s="1" t="str">
        <f>"天津市2022年度创新型中小企业公告名单"</f>
        <v>天津市2022年度创新型中小企业公告名单</v>
      </c>
    </row>
    <row r="85" spans="1:11">
      <c r="A85" s="1" t="str">
        <f>"天津日马精密锻压有限公司"</f>
        <v>天津日马精密锻压有限公司</v>
      </c>
      <c r="B85" s="1" t="str">
        <f t="shared" si="98"/>
        <v>高新技术企业</v>
      </c>
      <c r="C85" s="1" t="str">
        <f>"GR202212000105"</f>
        <v>GR202212000105</v>
      </c>
      <c r="D85" s="1" t="str">
        <f t="shared" si="97"/>
        <v>科技型企业</v>
      </c>
      <c r="E85" s="1" t="str">
        <f t="shared" ref="E85:E92" si="102">"国家级"</f>
        <v>国家级</v>
      </c>
      <c r="F85" s="1" t="str">
        <f t="shared" si="99"/>
        <v>全国高新技术企业认定管理工作领导小组办公室</v>
      </c>
      <c r="G85" s="1" t="str">
        <f t="shared" si="101"/>
        <v>2022</v>
      </c>
      <c r="H85" s="1" t="str">
        <f>"2022-11-03"</f>
        <v>2022-11-03</v>
      </c>
      <c r="I85" s="1" t="str">
        <f>"2022-10-13"</f>
        <v>2022-10-13</v>
      </c>
      <c r="J85" s="1" t="str">
        <f>"2025-10-13"</f>
        <v>2025-10-13</v>
      </c>
      <c r="K85" s="1" t="str">
        <f>"关于对天津市认定机构2022年认定的第一批高新技术企业进行备案的公告"</f>
        <v>关于对天津市认定机构2022年认定的第一批高新技术企业进行备案的公告</v>
      </c>
    </row>
    <row r="86" spans="1:11">
      <c r="A86" s="1" t="str">
        <f>"天津市拓达车辆配件有限公司"</f>
        <v>天津市拓达车辆配件有限公司</v>
      </c>
      <c r="B86" s="1" t="str">
        <f t="shared" si="98"/>
        <v>高新技术企业</v>
      </c>
      <c r="C86" s="1" t="str">
        <f>"GR202212000622"</f>
        <v>GR202212000622</v>
      </c>
      <c r="D86" s="1" t="str">
        <f t="shared" si="97"/>
        <v>科技型企业</v>
      </c>
      <c r="E86" s="1" t="str">
        <f t="shared" si="102"/>
        <v>国家级</v>
      </c>
      <c r="F86" s="1" t="str">
        <f t="shared" si="99"/>
        <v>全国高新技术企业认定管理工作领导小组办公室</v>
      </c>
      <c r="G86" s="1" t="str">
        <f t="shared" si="101"/>
        <v>2022</v>
      </c>
      <c r="H86" s="1" t="str">
        <f>"2022-12-16"</f>
        <v>2022-12-16</v>
      </c>
      <c r="I86" s="1" t="str">
        <f>"2022-11-15"</f>
        <v>2022-11-15</v>
      </c>
      <c r="J86" s="1" t="str">
        <f>"2025-11-15"</f>
        <v>2025-11-15</v>
      </c>
      <c r="K86" s="1" t="str">
        <f>"关于天津市认定机构2022年认定的第二批高新技术企业进行备案的公告"</f>
        <v>关于天津市认定机构2022年认定的第二批高新技术企业进行备案的公告</v>
      </c>
    </row>
    <row r="87" spans="1:11">
      <c r="A87" s="1" t="str">
        <f>"天津华恒汽车部件有限公司"</f>
        <v>天津华恒汽车部件有限公司</v>
      </c>
      <c r="B87" s="1" t="str">
        <f t="shared" si="98"/>
        <v>高新技术企业</v>
      </c>
      <c r="C87" s="1" t="str">
        <f>"GR202212002188"</f>
        <v>GR202212002188</v>
      </c>
      <c r="D87" s="1" t="str">
        <f t="shared" si="97"/>
        <v>科技型企业</v>
      </c>
      <c r="E87" s="1" t="str">
        <f t="shared" si="102"/>
        <v>国家级</v>
      </c>
      <c r="F87" s="1" t="str">
        <f t="shared" si="99"/>
        <v>全国高新技术企业认定管理工作领导小组办公室</v>
      </c>
      <c r="G87" s="1" t="str">
        <f t="shared" si="101"/>
        <v>2022</v>
      </c>
      <c r="H87" s="1" t="str">
        <f>"2023-01-09"</f>
        <v>2023-01-09</v>
      </c>
      <c r="I87" s="1" t="str">
        <f>"2022-12-19"</f>
        <v>2022-12-19</v>
      </c>
      <c r="J87" s="1" t="str">
        <f>"2025-12-19"</f>
        <v>2025-12-19</v>
      </c>
      <c r="K87" s="1" t="str">
        <f>"关于对天津市认定机构2022年认定的第三批高新技术企业进行备案的公告"</f>
        <v>关于对天津市认定机构2022年认定的第三批高新技术企业进行备案的公告</v>
      </c>
    </row>
    <row r="88" spans="1:11">
      <c r="A88" s="1" t="str">
        <f>"天津先众汽车部件有限公司"</f>
        <v>天津先众汽车部件有限公司</v>
      </c>
      <c r="B88" s="1" t="str">
        <f t="shared" si="98"/>
        <v>高新技术企业</v>
      </c>
      <c r="C88" s="1" t="str">
        <f>"GR202212002741"</f>
        <v>GR202212002741</v>
      </c>
      <c r="D88" s="1" t="str">
        <f t="shared" si="97"/>
        <v>科技型企业</v>
      </c>
      <c r="E88" s="1" t="str">
        <f t="shared" si="102"/>
        <v>国家级</v>
      </c>
      <c r="F88" s="1" t="str">
        <f t="shared" si="99"/>
        <v>全国高新技术企业认定管理工作领导小组办公室</v>
      </c>
      <c r="G88" s="1" t="str">
        <f t="shared" si="101"/>
        <v>2022</v>
      </c>
      <c r="H88" s="1" t="str">
        <f>"2023-01-09"</f>
        <v>2023-01-09</v>
      </c>
      <c r="I88" s="1" t="str">
        <f>"2022-12-19"</f>
        <v>2022-12-19</v>
      </c>
      <c r="J88" s="1" t="str">
        <f>"2025-12-19"</f>
        <v>2025-12-19</v>
      </c>
      <c r="K88" s="1" t="str">
        <f>"关于对天津市认定机构2022年认定的第三批高新技术企业进行备案的公告"</f>
        <v>关于对天津市认定机构2022年认定的第三批高新技术企业进行备案的公告</v>
      </c>
    </row>
    <row r="89" spans="1:11">
      <c r="A89" s="1" t="str">
        <f>"天津未来汽车部品有限公司"</f>
        <v>天津未来汽车部品有限公司</v>
      </c>
      <c r="B89" s="1" t="str">
        <f t="shared" ref="B89:B92" si="103">"科技型中小企业"</f>
        <v>科技型中小企业</v>
      </c>
      <c r="C89" s="1" t="str">
        <f>"2024120113A8012582"</f>
        <v>2024120113A8012582</v>
      </c>
      <c r="D89" s="1" t="str">
        <f t="shared" si="97"/>
        <v>科技型企业</v>
      </c>
      <c r="E89" s="1" t="str">
        <f t="shared" si="102"/>
        <v>国家级</v>
      </c>
      <c r="F89" s="1" t="str">
        <f t="shared" ref="F89:F92" si="104">"天津市科学技术局"</f>
        <v>天津市科学技术局</v>
      </c>
      <c r="G89" s="1" t="str">
        <f t="shared" ref="G89:G92" si="105">"2024"</f>
        <v>2024</v>
      </c>
      <c r="H89" s="1" t="str">
        <f t="shared" ref="H89:H92" si="106">"2024-11-21"</f>
        <v>2024-11-21</v>
      </c>
      <c r="I89" s="1" t="str">
        <f t="shared" ref="I89:I92" si="107">"2024-11-21"</f>
        <v>2024-11-21</v>
      </c>
      <c r="J89" s="1" t="str">
        <f t="shared" ref="J89:J92" si="108">"-"</f>
        <v>-</v>
      </c>
      <c r="K89" s="1" t="str">
        <f t="shared" ref="K89:K92" si="109">"天津市2024年第7批入库科技型中小企业名单公告"</f>
        <v>天津市2024年第7批入库科技型中小企业名单公告</v>
      </c>
    </row>
    <row r="90" spans="1:11">
      <c r="A90" s="1" t="str">
        <f>"天津市恒达泰汽车部件有限公司"</f>
        <v>天津市恒达泰汽车部件有限公司</v>
      </c>
      <c r="B90" s="1" t="str">
        <f t="shared" si="103"/>
        <v>科技型中小企业</v>
      </c>
      <c r="C90" s="1" t="str">
        <f>"2025120113A0001872"</f>
        <v>2025120113A0001872</v>
      </c>
      <c r="D90" s="1" t="str">
        <f t="shared" si="97"/>
        <v>科技型企业</v>
      </c>
      <c r="E90" s="1" t="str">
        <f t="shared" si="102"/>
        <v>国家级</v>
      </c>
      <c r="F90" s="1" t="str">
        <f>"天津市科学技术局、天津市天开高教科创园管理委员会"</f>
        <v>天津市科学技术局、天津市天开高教科创园管理委员会</v>
      </c>
      <c r="G90" s="1" t="str">
        <f>"2025"</f>
        <v>2025</v>
      </c>
      <c r="H90" s="1" t="str">
        <f>"2025-08-19"</f>
        <v>2025-08-19</v>
      </c>
      <c r="I90" s="1" t="str">
        <f>"2025-08-19"</f>
        <v>2025-08-19</v>
      </c>
      <c r="J90" s="1" t="str">
        <f t="shared" si="108"/>
        <v>-</v>
      </c>
      <c r="K90" s="1" t="str">
        <f>"天津市2025年第二批入库科技型中小企业名单公告"</f>
        <v>天津市2025年第二批入库科技型中小企业名单公告</v>
      </c>
    </row>
    <row r="91" spans="1:11">
      <c r="A91" s="1" t="str">
        <f>"天津神川电机有限公司"</f>
        <v>天津神川电机有限公司</v>
      </c>
      <c r="B91" s="1" t="str">
        <f t="shared" si="103"/>
        <v>科技型中小企业</v>
      </c>
      <c r="C91" s="1" t="str">
        <f>"2024120110A0012911"</f>
        <v>2024120110A0012911</v>
      </c>
      <c r="D91" s="1" t="str">
        <f t="shared" si="97"/>
        <v>科技型企业</v>
      </c>
      <c r="E91" s="1" t="str">
        <f t="shared" si="102"/>
        <v>国家级</v>
      </c>
      <c r="F91" s="1" t="str">
        <f t="shared" si="104"/>
        <v>天津市科学技术局</v>
      </c>
      <c r="G91" s="1" t="str">
        <f t="shared" si="105"/>
        <v>2024</v>
      </c>
      <c r="H91" s="1" t="str">
        <f t="shared" si="106"/>
        <v>2024-11-21</v>
      </c>
      <c r="I91" s="1" t="str">
        <f t="shared" si="107"/>
        <v>2024-11-21</v>
      </c>
      <c r="J91" s="1" t="str">
        <f t="shared" si="108"/>
        <v>-</v>
      </c>
      <c r="K91" s="1" t="str">
        <f t="shared" si="109"/>
        <v>天津市2024年第7批入库科技型中小企业名单公告</v>
      </c>
    </row>
    <row r="92" spans="1:11">
      <c r="A92" s="1" t="str">
        <f>"天津申圣电器制造有限公司"</f>
        <v>天津申圣电器制造有限公司</v>
      </c>
      <c r="B92" s="1" t="str">
        <f t="shared" si="103"/>
        <v>科技型中小企业</v>
      </c>
      <c r="C92" s="1" t="str">
        <f>"2024120113A0012773"</f>
        <v>2024120113A0012773</v>
      </c>
      <c r="D92" s="1" t="str">
        <f t="shared" si="97"/>
        <v>科技型企业</v>
      </c>
      <c r="E92" s="1" t="str">
        <f t="shared" si="102"/>
        <v>国家级</v>
      </c>
      <c r="F92" s="1" t="str">
        <f t="shared" si="104"/>
        <v>天津市科学技术局</v>
      </c>
      <c r="G92" s="1" t="str">
        <f t="shared" si="105"/>
        <v>2024</v>
      </c>
      <c r="H92" s="1" t="str">
        <f t="shared" si="106"/>
        <v>2024-11-21</v>
      </c>
      <c r="I92" s="1" t="str">
        <f t="shared" si="107"/>
        <v>2024-11-21</v>
      </c>
      <c r="J92" s="1" t="str">
        <f t="shared" si="108"/>
        <v>-</v>
      </c>
      <c r="K92" s="1" t="str">
        <f t="shared" si="109"/>
        <v>天津市2024年第7批入库科技型中小企业名单公告</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76"/>
  <sheetViews>
    <sheetView tabSelected="1" workbookViewId="0">
      <selection activeCell="M4" sqref="M4"/>
    </sheetView>
  </sheetViews>
  <sheetFormatPr defaultColWidth="8.88888888888889" defaultRowHeight="14.4"/>
  <cols>
    <col min="1" max="10" width="10" style="1"/>
  </cols>
  <sheetData>
    <row r="1" spans="1:10">
      <c r="A1" s="1" t="str">
        <f>"企业名称"</f>
        <v>企业名称</v>
      </c>
      <c r="B1" s="1" t="str">
        <f>"发明名称"</f>
        <v>发明名称</v>
      </c>
      <c r="C1" s="1" t="str">
        <f>"专利类型"</f>
        <v>专利类型</v>
      </c>
      <c r="D1" s="1" t="str">
        <f>"法律状态"</f>
        <v>法律状态</v>
      </c>
      <c r="E1" s="1" t="str">
        <f>"申请号"</f>
        <v>申请号</v>
      </c>
      <c r="F1" s="1" t="str">
        <f>"申请日"</f>
        <v>申请日</v>
      </c>
      <c r="G1" s="1" t="str">
        <f>"公开(公告)号"</f>
        <v>公开(公告)号</v>
      </c>
      <c r="H1" s="1" t="str">
        <f>"公开(公告)日期"</f>
        <v>公开(公告)日期</v>
      </c>
      <c r="I1" s="1" t="str">
        <f>"发明人"</f>
        <v>发明人</v>
      </c>
      <c r="J1" s="1" t="str">
        <f>"申请(专利权)人"</f>
        <v>申请(专利权)人</v>
      </c>
    </row>
    <row r="2" spans="1:10">
      <c r="A2" s="1" t="str">
        <f t="shared" ref="A2:A11" si="0">"天津市津府工程机械有限公司"</f>
        <v>天津市津府工程机械有限公司</v>
      </c>
      <c r="B2" s="1" t="str">
        <f>"一种新型双涡轮液力变矩器机芯"</f>
        <v>一种新型双涡轮液力变矩器机芯</v>
      </c>
      <c r="C2" s="1" t="str">
        <f t="shared" ref="C2:C33" si="1">"实用新型"</f>
        <v>实用新型</v>
      </c>
      <c r="D2" s="1" t="str">
        <f t="shared" ref="D2:D11" si="2">"未缴年费专利权终止"</f>
        <v>未缴年费专利权终止</v>
      </c>
      <c r="E2" s="1" t="str">
        <f>"CN201620488832.7"</f>
        <v>CN201620488832.7</v>
      </c>
      <c r="F2" s="1" t="str">
        <f>"2016-05-25"</f>
        <v>2016-05-25</v>
      </c>
      <c r="G2" s="1" t="str">
        <f>"CN205806379U"</f>
        <v>CN205806379U</v>
      </c>
      <c r="H2" s="1" t="str">
        <f>"2016-12-14"</f>
        <v>2016-12-14</v>
      </c>
      <c r="I2" s="1" t="s">
        <v>4692</v>
      </c>
      <c r="J2" s="1" t="str">
        <f t="shared" ref="J2:J11" si="3">"天津市津府工程机械有限公司"</f>
        <v>天津市津府工程机械有限公司</v>
      </c>
    </row>
    <row r="3" spans="1:10">
      <c r="A3" s="1" t="str">
        <f t="shared" si="0"/>
        <v>天津市津府工程机械有限公司</v>
      </c>
      <c r="B3" s="1" t="str">
        <f>"一种双涡轮液力变矩器机芯"</f>
        <v>一种双涡轮液力变矩器机芯</v>
      </c>
      <c r="C3" s="1" t="str">
        <f t="shared" si="1"/>
        <v>实用新型</v>
      </c>
      <c r="D3" s="1" t="str">
        <f t="shared" si="2"/>
        <v>未缴年费专利权终止</v>
      </c>
      <c r="E3" s="1" t="str">
        <f>"CN201620489963.7"</f>
        <v>CN201620489963.7</v>
      </c>
      <c r="F3" s="1" t="str">
        <f>"2016-05-25"</f>
        <v>2016-05-25</v>
      </c>
      <c r="G3" s="1" t="str">
        <f>"CN205806376U"</f>
        <v>CN205806376U</v>
      </c>
      <c r="H3" s="1" t="str">
        <f>"2016-12-14"</f>
        <v>2016-12-14</v>
      </c>
      <c r="I3" s="1" t="s">
        <v>4692</v>
      </c>
      <c r="J3" s="1" t="str">
        <f t="shared" si="3"/>
        <v>天津市津府工程机械有限公司</v>
      </c>
    </row>
    <row r="4" spans="1:10">
      <c r="A4" s="1" t="str">
        <f t="shared" si="0"/>
        <v>天津市津府工程机械有限公司</v>
      </c>
      <c r="B4" s="1" t="str">
        <f>"工程机械用新型单涡轮液力变矩器"</f>
        <v>工程机械用新型单涡轮液力变矩器</v>
      </c>
      <c r="C4" s="1" t="str">
        <f t="shared" si="1"/>
        <v>实用新型</v>
      </c>
      <c r="D4" s="1" t="str">
        <f t="shared" si="2"/>
        <v>未缴年费专利权终止</v>
      </c>
      <c r="E4" s="1" t="str">
        <f>"CN201320618440.4"</f>
        <v>CN201320618440.4</v>
      </c>
      <c r="F4" s="1" t="str">
        <f>"2013-09-29"</f>
        <v>2013-09-29</v>
      </c>
      <c r="G4" s="1" t="str">
        <f>"CN203500419U"</f>
        <v>CN203500419U</v>
      </c>
      <c r="H4" s="1" t="str">
        <f>"2014-03-26"</f>
        <v>2014-03-26</v>
      </c>
      <c r="I4" s="1" t="s">
        <v>4692</v>
      </c>
      <c r="J4" s="1" t="str">
        <f t="shared" si="3"/>
        <v>天津市津府工程机械有限公司</v>
      </c>
    </row>
    <row r="5" spans="1:10">
      <c r="A5" s="1" t="str">
        <f t="shared" si="0"/>
        <v>天津市津府工程机械有限公司</v>
      </c>
      <c r="B5" s="1" t="str">
        <f>"一种新型单涡轮液力变矩器"</f>
        <v>一种新型单涡轮液力变矩器</v>
      </c>
      <c r="C5" s="1" t="str">
        <f t="shared" si="1"/>
        <v>实用新型</v>
      </c>
      <c r="D5" s="1" t="str">
        <f t="shared" si="2"/>
        <v>未缴年费专利权终止</v>
      </c>
      <c r="E5" s="1" t="str">
        <f>"CN201320619261.2"</f>
        <v>CN201320619261.2</v>
      </c>
      <c r="F5" s="1" t="str">
        <f>"2013-09-29"</f>
        <v>2013-09-29</v>
      </c>
      <c r="G5" s="1" t="str">
        <f>"CN203500418U"</f>
        <v>CN203500418U</v>
      </c>
      <c r="H5" s="1" t="str">
        <f>"2014-03-26"</f>
        <v>2014-03-26</v>
      </c>
      <c r="I5" s="1" t="s">
        <v>4692</v>
      </c>
      <c r="J5" s="1" t="str">
        <f t="shared" si="3"/>
        <v>天津市津府工程机械有限公司</v>
      </c>
    </row>
    <row r="6" spans="1:10">
      <c r="A6" s="1" t="str">
        <f t="shared" si="0"/>
        <v>天津市津府工程机械有限公司</v>
      </c>
      <c r="B6" s="1" t="str">
        <f>"新型双涡轮液力变矩器"</f>
        <v>新型双涡轮液力变矩器</v>
      </c>
      <c r="C6" s="1" t="str">
        <f t="shared" si="1"/>
        <v>实用新型</v>
      </c>
      <c r="D6" s="1" t="str">
        <f t="shared" si="2"/>
        <v>未缴年费专利权终止</v>
      </c>
      <c r="E6" s="1" t="str">
        <f>"CN201220149002.3"</f>
        <v>CN201220149002.3</v>
      </c>
      <c r="F6" s="1" t="str">
        <f t="shared" ref="F6:F11" si="4">"2012-04-10"</f>
        <v>2012-04-10</v>
      </c>
      <c r="G6" s="1" t="str">
        <f>"CN202531765U"</f>
        <v>CN202531765U</v>
      </c>
      <c r="H6" s="1" t="str">
        <f t="shared" ref="H6:H11" si="5">"2012-11-14"</f>
        <v>2012-11-14</v>
      </c>
      <c r="I6" s="1" t="s">
        <v>4692</v>
      </c>
      <c r="J6" s="1" t="str">
        <f t="shared" si="3"/>
        <v>天津市津府工程机械有限公司</v>
      </c>
    </row>
    <row r="7" spans="1:10">
      <c r="A7" s="1" t="str">
        <f t="shared" si="0"/>
        <v>天津市津府工程机械有限公司</v>
      </c>
      <c r="B7" s="1" t="str">
        <f>"一种新型双涡轮液力变矩器机芯"</f>
        <v>一种新型双涡轮液力变矩器机芯</v>
      </c>
      <c r="C7" s="1" t="str">
        <f t="shared" si="1"/>
        <v>实用新型</v>
      </c>
      <c r="D7" s="1" t="str">
        <f t="shared" si="2"/>
        <v>未缴年费专利权终止</v>
      </c>
      <c r="E7" s="1" t="str">
        <f>"CN201220160221.1"</f>
        <v>CN201220160221.1</v>
      </c>
      <c r="F7" s="1" t="str">
        <f>"2012-04-16"</f>
        <v>2012-04-16</v>
      </c>
      <c r="G7" s="1" t="str">
        <f>"CN202531770U"</f>
        <v>CN202531770U</v>
      </c>
      <c r="H7" s="1" t="str">
        <f t="shared" si="5"/>
        <v>2012-11-14</v>
      </c>
      <c r="I7" s="1" t="str">
        <f t="shared" ref="I7:I10" si="6">"陈树楼"</f>
        <v>陈树楼</v>
      </c>
      <c r="J7" s="1" t="str">
        <f t="shared" si="3"/>
        <v>天津市津府工程机械有限公司</v>
      </c>
    </row>
    <row r="8" spans="1:10">
      <c r="A8" s="1" t="str">
        <f t="shared" si="0"/>
        <v>天津市津府工程机械有限公司</v>
      </c>
      <c r="B8" s="1" t="str">
        <f>"一种新型液力变矩器装置"</f>
        <v>一种新型液力变矩器装置</v>
      </c>
      <c r="C8" s="1" t="str">
        <f t="shared" si="1"/>
        <v>实用新型</v>
      </c>
      <c r="D8" s="1" t="str">
        <f t="shared" si="2"/>
        <v>未缴年费专利权终止</v>
      </c>
      <c r="E8" s="1" t="str">
        <f>"CN201220158401.6"</f>
        <v>CN201220158401.6</v>
      </c>
      <c r="F8" s="1" t="str">
        <f>"2012-04-13"</f>
        <v>2012-04-13</v>
      </c>
      <c r="G8" s="1" t="str">
        <f>"CN202531766U"</f>
        <v>CN202531766U</v>
      </c>
      <c r="H8" s="1" t="str">
        <f t="shared" si="5"/>
        <v>2012-11-14</v>
      </c>
      <c r="I8" s="1" t="str">
        <f t="shared" si="6"/>
        <v>陈树楼</v>
      </c>
      <c r="J8" s="1" t="str">
        <f t="shared" si="3"/>
        <v>天津市津府工程机械有限公司</v>
      </c>
    </row>
    <row r="9" spans="1:10">
      <c r="A9" s="1" t="str">
        <f t="shared" si="0"/>
        <v>天津市津府工程机械有限公司</v>
      </c>
      <c r="B9" s="1" t="str">
        <f>"双涡轮液力变矩器机芯"</f>
        <v>双涡轮液力变矩器机芯</v>
      </c>
      <c r="C9" s="1" t="str">
        <f t="shared" si="1"/>
        <v>实用新型</v>
      </c>
      <c r="D9" s="1" t="str">
        <f t="shared" si="2"/>
        <v>未缴年费专利权终止</v>
      </c>
      <c r="E9" s="1" t="str">
        <f>"CN201220144582.7"</f>
        <v>CN201220144582.7</v>
      </c>
      <c r="F9" s="1" t="str">
        <f>"2012-04-09"</f>
        <v>2012-04-09</v>
      </c>
      <c r="G9" s="1" t="str">
        <f>"CN202531768U"</f>
        <v>CN202531768U</v>
      </c>
      <c r="H9" s="1" t="str">
        <f t="shared" si="5"/>
        <v>2012-11-14</v>
      </c>
      <c r="I9" s="1" t="str">
        <f t="shared" si="6"/>
        <v>陈树楼</v>
      </c>
      <c r="J9" s="1" t="str">
        <f t="shared" si="3"/>
        <v>天津市津府工程机械有限公司</v>
      </c>
    </row>
    <row r="10" spans="1:10">
      <c r="A10" s="1" t="str">
        <f t="shared" si="0"/>
        <v>天津市津府工程机械有限公司</v>
      </c>
      <c r="B10" s="1" t="str">
        <f>"改进的双涡轮液力变矩器机芯"</f>
        <v>改进的双涡轮液力变矩器机芯</v>
      </c>
      <c r="C10" s="1" t="str">
        <f t="shared" si="1"/>
        <v>实用新型</v>
      </c>
      <c r="D10" s="1" t="str">
        <f t="shared" si="2"/>
        <v>未缴年费专利权终止</v>
      </c>
      <c r="E10" s="1" t="str">
        <f>"CN201220148442.7"</f>
        <v>CN201220148442.7</v>
      </c>
      <c r="F10" s="1" t="str">
        <f t="shared" si="4"/>
        <v>2012-04-10</v>
      </c>
      <c r="G10" s="1" t="str">
        <f>"CN202531769U"</f>
        <v>CN202531769U</v>
      </c>
      <c r="H10" s="1" t="str">
        <f t="shared" si="5"/>
        <v>2012-11-14</v>
      </c>
      <c r="I10" s="1" t="str">
        <f t="shared" si="6"/>
        <v>陈树楼</v>
      </c>
      <c r="J10" s="1" t="str">
        <f t="shared" si="3"/>
        <v>天津市津府工程机械有限公司</v>
      </c>
    </row>
    <row r="11" spans="1:10">
      <c r="A11" s="1" t="str">
        <f t="shared" si="0"/>
        <v>天津市津府工程机械有限公司</v>
      </c>
      <c r="B11" s="1" t="str">
        <f>"改进的液力变矩器"</f>
        <v>改进的液力变矩器</v>
      </c>
      <c r="C11" s="1" t="str">
        <f t="shared" si="1"/>
        <v>实用新型</v>
      </c>
      <c r="D11" s="1" t="str">
        <f t="shared" si="2"/>
        <v>未缴年费专利权终止</v>
      </c>
      <c r="E11" s="1" t="str">
        <f>"CN201220149001.9"</f>
        <v>CN201220149001.9</v>
      </c>
      <c r="F11" s="1" t="str">
        <f t="shared" si="4"/>
        <v>2012-04-10</v>
      </c>
      <c r="G11" s="1" t="str">
        <f>"CN202531764U"</f>
        <v>CN202531764U</v>
      </c>
      <c r="H11" s="1" t="str">
        <f t="shared" si="5"/>
        <v>2012-11-14</v>
      </c>
      <c r="I11" s="1" t="s">
        <v>4692</v>
      </c>
      <c r="J11" s="1" t="str">
        <f t="shared" si="3"/>
        <v>天津市津府工程机械有限公司</v>
      </c>
    </row>
    <row r="12" spans="1:10">
      <c r="A12" s="1" t="str">
        <f t="shared" ref="A12:A44" si="7">"天津市华夏车辆制造有限公司"</f>
        <v>天津市华夏车辆制造有限公司</v>
      </c>
      <c r="B12" s="1" t="str">
        <f>"一种具有连续性调节裁切功能的摆剪模"</f>
        <v>一种具有连续性调节裁切功能的摆剪模</v>
      </c>
      <c r="C12" s="1" t="str">
        <f t="shared" si="1"/>
        <v>实用新型</v>
      </c>
      <c r="D12" s="1" t="str">
        <f t="shared" ref="D12:D34" si="8">"授权"</f>
        <v>授权</v>
      </c>
      <c r="E12" s="1" t="str">
        <f>"CN202322241940.7"</f>
        <v>CN202322241940.7</v>
      </c>
      <c r="F12" s="1" t="str">
        <f>"2023-08-21"</f>
        <v>2023-08-21</v>
      </c>
      <c r="G12" s="1" t="str">
        <f>"CN221289191U"</f>
        <v>CN221289191U</v>
      </c>
      <c r="H12" s="1" t="str">
        <f>"2024-07-09"</f>
        <v>2024-07-09</v>
      </c>
      <c r="I12" s="1" t="s">
        <v>4693</v>
      </c>
      <c r="J12" s="1" t="str">
        <f t="shared" ref="J12:J44" si="9">"天津市华夏车辆制造有限公司"</f>
        <v>天津市华夏车辆制造有限公司</v>
      </c>
    </row>
    <row r="13" spans="1:10">
      <c r="A13" s="1" t="str">
        <f t="shared" si="7"/>
        <v>天津市华夏车辆制造有限公司</v>
      </c>
      <c r="B13" s="1" t="str">
        <f>"一种用于汽车天窗翻边的高精度整形模具"</f>
        <v>一种用于汽车天窗翻边的高精度整形模具</v>
      </c>
      <c r="C13" s="1" t="str">
        <f t="shared" si="1"/>
        <v>实用新型</v>
      </c>
      <c r="D13" s="1" t="str">
        <f t="shared" si="8"/>
        <v>授权</v>
      </c>
      <c r="E13" s="1" t="str">
        <f>"CN202322220164.2"</f>
        <v>CN202322220164.2</v>
      </c>
      <c r="F13" s="1" t="str">
        <f t="shared" ref="F13:F16" si="10">"2023-08-17"</f>
        <v>2023-08-17</v>
      </c>
      <c r="G13" s="1" t="str">
        <f>"CN220781993U"</f>
        <v>CN220781993U</v>
      </c>
      <c r="H13" s="1" t="str">
        <f>"2024-04-16"</f>
        <v>2024-04-16</v>
      </c>
      <c r="I13" s="1" t="s">
        <v>4694</v>
      </c>
      <c r="J13" s="1" t="str">
        <f t="shared" si="9"/>
        <v>天津市华夏车辆制造有限公司</v>
      </c>
    </row>
    <row r="14" spans="1:10">
      <c r="A14" s="1" t="str">
        <f t="shared" si="7"/>
        <v>天津市华夏车辆制造有限公司</v>
      </c>
      <c r="B14" s="1" t="str">
        <f>"一种摆板机接料装置"</f>
        <v>一种摆板机接料装置</v>
      </c>
      <c r="C14" s="1" t="str">
        <f t="shared" si="1"/>
        <v>实用新型</v>
      </c>
      <c r="D14" s="1" t="str">
        <f t="shared" si="8"/>
        <v>授权</v>
      </c>
      <c r="E14" s="1" t="str">
        <f>"CN202322220166.1"</f>
        <v>CN202322220166.1</v>
      </c>
      <c r="F14" s="1" t="str">
        <f t="shared" si="10"/>
        <v>2023-08-17</v>
      </c>
      <c r="G14" s="1" t="str">
        <f>"CN220787595U"</f>
        <v>CN220787595U</v>
      </c>
      <c r="H14" s="1" t="str">
        <f>"2024-04-16"</f>
        <v>2024-04-16</v>
      </c>
      <c r="I14" s="1" t="s">
        <v>4695</v>
      </c>
      <c r="J14" s="1" t="str">
        <f t="shared" si="9"/>
        <v>天津市华夏车辆制造有限公司</v>
      </c>
    </row>
    <row r="15" spans="1:10">
      <c r="A15" s="1" t="str">
        <f t="shared" si="7"/>
        <v>天津市华夏车辆制造有限公司</v>
      </c>
      <c r="B15" s="1" t="str">
        <f>"一种摆板机下料导向机构"</f>
        <v>一种摆板机下料导向机构</v>
      </c>
      <c r="C15" s="1" t="str">
        <f t="shared" si="1"/>
        <v>实用新型</v>
      </c>
      <c r="D15" s="1" t="str">
        <f t="shared" si="8"/>
        <v>授权</v>
      </c>
      <c r="E15" s="1" t="str">
        <f>"CN202322220165.7"</f>
        <v>CN202322220165.7</v>
      </c>
      <c r="F15" s="1" t="str">
        <f t="shared" si="10"/>
        <v>2023-08-17</v>
      </c>
      <c r="G15" s="1" t="str">
        <f>"CN220765704U"</f>
        <v>CN220765704U</v>
      </c>
      <c r="H15" s="1" t="str">
        <f>"2024-04-12"</f>
        <v>2024-04-12</v>
      </c>
      <c r="I15" s="1" t="s">
        <v>4696</v>
      </c>
      <c r="J15" s="1" t="str">
        <f t="shared" si="9"/>
        <v>天津市华夏车辆制造有限公司</v>
      </c>
    </row>
    <row r="16" spans="1:10">
      <c r="A16" s="1" t="str">
        <f t="shared" si="7"/>
        <v>天津市华夏车辆制造有限公司</v>
      </c>
      <c r="B16" s="1" t="str">
        <f>"一种L梁定位移料机构"</f>
        <v>一种L梁定位移料机构</v>
      </c>
      <c r="C16" s="1" t="str">
        <f t="shared" si="1"/>
        <v>实用新型</v>
      </c>
      <c r="D16" s="1" t="str">
        <f t="shared" si="8"/>
        <v>授权</v>
      </c>
      <c r="E16" s="1" t="str">
        <f>"CN202322218329.2"</f>
        <v>CN202322218329.2</v>
      </c>
      <c r="F16" s="1" t="str">
        <f t="shared" si="10"/>
        <v>2023-08-17</v>
      </c>
      <c r="G16" s="1" t="str">
        <f>"CN220482294U"</f>
        <v>CN220482294U</v>
      </c>
      <c r="H16" s="1" t="str">
        <f>"2024-02-13"</f>
        <v>2024-02-13</v>
      </c>
      <c r="I16" s="1" t="s">
        <v>4697</v>
      </c>
      <c r="J16" s="1" t="str">
        <f t="shared" si="9"/>
        <v>天津市华夏车辆制造有限公司</v>
      </c>
    </row>
    <row r="17" spans="1:10">
      <c r="A17" s="1" t="str">
        <f t="shared" si="7"/>
        <v>天津市华夏车辆制造有限公司</v>
      </c>
      <c r="B17" s="1" t="str">
        <f>"一种制件分格存放装置"</f>
        <v>一种制件分格存放装置</v>
      </c>
      <c r="C17" s="1" t="str">
        <f t="shared" si="1"/>
        <v>实用新型</v>
      </c>
      <c r="D17" s="1" t="str">
        <f t="shared" si="8"/>
        <v>授权</v>
      </c>
      <c r="E17" s="1" t="str">
        <f>"CN202222980462.7"</f>
        <v>CN202222980462.7</v>
      </c>
      <c r="F17" s="1" t="str">
        <f t="shared" ref="F17:F19" si="11">"2022-11-09"</f>
        <v>2022-11-09</v>
      </c>
      <c r="G17" s="1" t="str">
        <f>"CN219447721U"</f>
        <v>CN219447721U</v>
      </c>
      <c r="H17" s="1" t="str">
        <f>"2023-08-01"</f>
        <v>2023-08-01</v>
      </c>
      <c r="I17" s="1" t="s">
        <v>4698</v>
      </c>
      <c r="J17" s="1" t="str">
        <f t="shared" si="9"/>
        <v>天津市华夏车辆制造有限公司</v>
      </c>
    </row>
    <row r="18" spans="1:10">
      <c r="A18" s="1" t="str">
        <f t="shared" si="7"/>
        <v>天津市华夏车辆制造有限公司</v>
      </c>
      <c r="B18" s="1" t="str">
        <f>"一种制件存放器具"</f>
        <v>一种制件存放器具</v>
      </c>
      <c r="C18" s="1" t="str">
        <f t="shared" si="1"/>
        <v>实用新型</v>
      </c>
      <c r="D18" s="1" t="str">
        <f t="shared" si="8"/>
        <v>授权</v>
      </c>
      <c r="E18" s="1" t="str">
        <f>"CN202222980421.8"</f>
        <v>CN202222980421.8</v>
      </c>
      <c r="F18" s="1" t="str">
        <f t="shared" si="11"/>
        <v>2022-11-09</v>
      </c>
      <c r="G18" s="1" t="str">
        <f>"CN219114014U"</f>
        <v>CN219114014U</v>
      </c>
      <c r="H18" s="1" t="str">
        <f t="shared" ref="H18:H20" si="12">"2023-06-02"</f>
        <v>2023-06-02</v>
      </c>
      <c r="I18" s="1" t="s">
        <v>4699</v>
      </c>
      <c r="J18" s="1" t="str">
        <f t="shared" si="9"/>
        <v>天津市华夏车辆制造有限公司</v>
      </c>
    </row>
    <row r="19" spans="1:10">
      <c r="A19" s="1" t="str">
        <f t="shared" si="7"/>
        <v>天津市华夏车辆制造有限公司</v>
      </c>
      <c r="B19" s="1" t="str">
        <f>"一种器具焊接夹具立体工装"</f>
        <v>一种器具焊接夹具立体工装</v>
      </c>
      <c r="C19" s="1" t="str">
        <f t="shared" si="1"/>
        <v>实用新型</v>
      </c>
      <c r="D19" s="1" t="str">
        <f t="shared" si="8"/>
        <v>授权</v>
      </c>
      <c r="E19" s="1" t="str">
        <f>"CN202222981412.0"</f>
        <v>CN202222981412.0</v>
      </c>
      <c r="F19" s="1" t="str">
        <f t="shared" si="11"/>
        <v>2022-11-09</v>
      </c>
      <c r="G19" s="1" t="str">
        <f>"CN219113274U"</f>
        <v>CN219113274U</v>
      </c>
      <c r="H19" s="1" t="str">
        <f t="shared" si="12"/>
        <v>2023-06-02</v>
      </c>
      <c r="I19" s="1" t="s">
        <v>4700</v>
      </c>
      <c r="J19" s="1" t="str">
        <f t="shared" si="9"/>
        <v>天津市华夏车辆制造有限公司</v>
      </c>
    </row>
    <row r="20" spans="1:10">
      <c r="A20" s="1" t="str">
        <f t="shared" si="7"/>
        <v>天津市华夏车辆制造有限公司</v>
      </c>
      <c r="B20" s="1" t="str">
        <f>"一种焊装扭力检测工装"</f>
        <v>一种焊装扭力检测工装</v>
      </c>
      <c r="C20" s="1" t="str">
        <f t="shared" si="1"/>
        <v>实用新型</v>
      </c>
      <c r="D20" s="1" t="str">
        <f t="shared" si="8"/>
        <v>授权</v>
      </c>
      <c r="E20" s="1" t="str">
        <f>"CN202223055808.9"</f>
        <v>CN202223055808.9</v>
      </c>
      <c r="F20" s="1" t="str">
        <f>"2022-11-17"</f>
        <v>2022-11-17</v>
      </c>
      <c r="G20" s="1" t="str">
        <f>"CN219113825U"</f>
        <v>CN219113825U</v>
      </c>
      <c r="H20" s="1" t="str">
        <f t="shared" si="12"/>
        <v>2023-06-02</v>
      </c>
      <c r="I20" s="1" t="s">
        <v>4693</v>
      </c>
      <c r="J20" s="1" t="str">
        <f t="shared" si="9"/>
        <v>天津市华夏车辆制造有限公司</v>
      </c>
    </row>
    <row r="21" spans="1:10">
      <c r="A21" s="1" t="str">
        <f t="shared" si="7"/>
        <v>天津市华夏车辆制造有限公司</v>
      </c>
      <c r="B21" s="1" t="str">
        <f>"一种汽车天窗框架检测机构"</f>
        <v>一种汽车天窗框架检测机构</v>
      </c>
      <c r="C21" s="1" t="str">
        <f t="shared" si="1"/>
        <v>实用新型</v>
      </c>
      <c r="D21" s="1" t="str">
        <f t="shared" si="8"/>
        <v>授权</v>
      </c>
      <c r="E21" s="1" t="str">
        <f>"CN202222994913.2"</f>
        <v>CN202222994913.2</v>
      </c>
      <c r="F21" s="1" t="str">
        <f>"2022-11-09"</f>
        <v>2022-11-09</v>
      </c>
      <c r="G21" s="1" t="str">
        <f>"CN218973398U"</f>
        <v>CN218973398U</v>
      </c>
      <c r="H21" s="1" t="str">
        <f>"2023-05-05"</f>
        <v>2023-05-05</v>
      </c>
      <c r="I21" s="1" t="s">
        <v>4701</v>
      </c>
      <c r="J21" s="1" t="str">
        <f t="shared" si="9"/>
        <v>天津市华夏车辆制造有限公司</v>
      </c>
    </row>
    <row r="22" spans="1:10">
      <c r="A22" s="1" t="str">
        <f t="shared" si="7"/>
        <v>天津市华夏车辆制造有限公司</v>
      </c>
      <c r="B22" s="1" t="str">
        <f>"一种异形板料存放运输托拍"</f>
        <v>一种异形板料存放运输托拍</v>
      </c>
      <c r="C22" s="1" t="str">
        <f t="shared" si="1"/>
        <v>实用新型</v>
      </c>
      <c r="D22" s="1" t="str">
        <f t="shared" si="8"/>
        <v>授权</v>
      </c>
      <c r="E22" s="1" t="str">
        <f>"CN202223086352.2"</f>
        <v>CN202223086352.2</v>
      </c>
      <c r="F22" s="1" t="str">
        <f>"2022-11-17"</f>
        <v>2022-11-17</v>
      </c>
      <c r="G22" s="1" t="str">
        <f>"CN218949774U"</f>
        <v>CN218949774U</v>
      </c>
      <c r="H22" s="1" t="str">
        <f>"2023-05-02"</f>
        <v>2023-05-02</v>
      </c>
      <c r="I22" s="1" t="s">
        <v>4701</v>
      </c>
      <c r="J22" s="1" t="str">
        <f t="shared" si="9"/>
        <v>天津市华夏车辆制造有限公司</v>
      </c>
    </row>
    <row r="23" spans="1:10">
      <c r="A23" s="1" t="str">
        <f t="shared" si="7"/>
        <v>天津市华夏车辆制造有限公司</v>
      </c>
      <c r="B23" s="1" t="str">
        <f>"一种吸盘式拆垛机构"</f>
        <v>一种吸盘式拆垛机构</v>
      </c>
      <c r="C23" s="1" t="str">
        <f t="shared" si="1"/>
        <v>实用新型</v>
      </c>
      <c r="D23" s="1" t="str">
        <f t="shared" si="8"/>
        <v>授权</v>
      </c>
      <c r="E23" s="1" t="str">
        <f>"CN202222981427.7"</f>
        <v>CN202222981427.7</v>
      </c>
      <c r="F23" s="1" t="str">
        <f>"2022-11-09"</f>
        <v>2022-11-09</v>
      </c>
      <c r="G23" s="1" t="str">
        <f>"CN218950456U"</f>
        <v>CN218950456U</v>
      </c>
      <c r="H23" s="1" t="str">
        <f>"2023-05-02"</f>
        <v>2023-05-02</v>
      </c>
      <c r="I23" s="1" t="s">
        <v>4702</v>
      </c>
      <c r="J23" s="1" t="str">
        <f t="shared" si="9"/>
        <v>天津市华夏车辆制造有限公司</v>
      </c>
    </row>
    <row r="24" spans="1:10">
      <c r="A24" s="1" t="str">
        <f t="shared" si="7"/>
        <v>天津市华夏车辆制造有限公司</v>
      </c>
      <c r="B24" s="1" t="str">
        <f>"一种防护式汽车发动机盖板"</f>
        <v>一种防护式汽车发动机盖板</v>
      </c>
      <c r="C24" s="1" t="str">
        <f t="shared" si="1"/>
        <v>实用新型</v>
      </c>
      <c r="D24" s="1" t="str">
        <f t="shared" si="8"/>
        <v>授权</v>
      </c>
      <c r="E24" s="1" t="str">
        <f>"CN202022470385.1"</f>
        <v>CN202022470385.1</v>
      </c>
      <c r="F24" s="1" t="str">
        <f t="shared" ref="F24:F33" si="13">"2020-10-30"</f>
        <v>2020-10-30</v>
      </c>
      <c r="G24" s="1" t="str">
        <f>"CN214215942U"</f>
        <v>CN214215942U</v>
      </c>
      <c r="H24" s="1" t="str">
        <f>"2021-09-17"</f>
        <v>2021-09-17</v>
      </c>
      <c r="I24" s="1" t="s">
        <v>4703</v>
      </c>
      <c r="J24" s="1" t="str">
        <f t="shared" si="9"/>
        <v>天津市华夏车辆制造有限公司</v>
      </c>
    </row>
    <row r="25" spans="1:10">
      <c r="A25" s="1" t="str">
        <f t="shared" si="7"/>
        <v>天津市华夏车辆制造有限公司</v>
      </c>
      <c r="B25" s="1" t="str">
        <f>"一种用于汽车顶盖分总成的连接结构"</f>
        <v>一种用于汽车顶盖分总成的连接结构</v>
      </c>
      <c r="C25" s="1" t="str">
        <f t="shared" si="1"/>
        <v>实用新型</v>
      </c>
      <c r="D25" s="1" t="str">
        <f t="shared" si="8"/>
        <v>授权</v>
      </c>
      <c r="E25" s="1" t="str">
        <f>"CN202022464787.0"</f>
        <v>CN202022464787.0</v>
      </c>
      <c r="F25" s="1" t="str">
        <f t="shared" si="13"/>
        <v>2020-10-30</v>
      </c>
      <c r="G25" s="1" t="str">
        <f>"CN213831879U"</f>
        <v>CN213831879U</v>
      </c>
      <c r="H25" s="1" t="str">
        <f t="shared" ref="H25:H33" si="14">"2021-07-30"</f>
        <v>2021-07-30</v>
      </c>
      <c r="I25" s="1" t="s">
        <v>4704</v>
      </c>
      <c r="J25" s="1" t="str">
        <f t="shared" si="9"/>
        <v>天津市华夏车辆制造有限公司</v>
      </c>
    </row>
    <row r="26" spans="1:10">
      <c r="A26" s="1" t="str">
        <f t="shared" si="7"/>
        <v>天津市华夏车辆制造有限公司</v>
      </c>
      <c r="B26" s="1" t="str">
        <f>"一种便于操作的窗台板总成"</f>
        <v>一种便于操作的窗台板总成</v>
      </c>
      <c r="C26" s="1" t="str">
        <f t="shared" si="1"/>
        <v>实用新型</v>
      </c>
      <c r="D26" s="1" t="str">
        <f t="shared" si="8"/>
        <v>授权</v>
      </c>
      <c r="E26" s="1" t="str">
        <f>"CN202022470364.X"</f>
        <v>CN202022470364.X</v>
      </c>
      <c r="F26" s="1" t="str">
        <f t="shared" si="13"/>
        <v>2020-10-30</v>
      </c>
      <c r="G26" s="1" t="str">
        <f>"CN213831878U"</f>
        <v>CN213831878U</v>
      </c>
      <c r="H26" s="1" t="str">
        <f t="shared" si="14"/>
        <v>2021-07-30</v>
      </c>
      <c r="I26" s="1" t="s">
        <v>4703</v>
      </c>
      <c r="J26" s="1" t="str">
        <f t="shared" si="9"/>
        <v>天津市华夏车辆制造有限公司</v>
      </c>
    </row>
    <row r="27" spans="1:10">
      <c r="A27" s="1" t="str">
        <f t="shared" si="7"/>
        <v>天津市华夏车辆制造有限公司</v>
      </c>
      <c r="B27" s="1" t="str">
        <f>"一种基于前地板分总成卡接机构"</f>
        <v>一种基于前地板分总成卡接机构</v>
      </c>
      <c r="C27" s="1" t="str">
        <f t="shared" si="1"/>
        <v>实用新型</v>
      </c>
      <c r="D27" s="1" t="str">
        <f t="shared" si="8"/>
        <v>授权</v>
      </c>
      <c r="E27" s="1" t="str">
        <f>"CN202022464730.0"</f>
        <v>CN202022464730.0</v>
      </c>
      <c r="F27" s="1" t="str">
        <f t="shared" si="13"/>
        <v>2020-10-30</v>
      </c>
      <c r="G27" s="1" t="str">
        <f>"CN213831570U"</f>
        <v>CN213831570U</v>
      </c>
      <c r="H27" s="1" t="str">
        <f t="shared" si="14"/>
        <v>2021-07-30</v>
      </c>
      <c r="I27" s="1" t="s">
        <v>4705</v>
      </c>
      <c r="J27" s="1" t="str">
        <f t="shared" si="9"/>
        <v>天津市华夏车辆制造有限公司</v>
      </c>
    </row>
    <row r="28" spans="1:10">
      <c r="A28" s="1" t="str">
        <f t="shared" si="7"/>
        <v>天津市华夏车辆制造有限公司</v>
      </c>
      <c r="B28" s="1" t="str">
        <f>"一种可快速操作的汽车前翼子板安装结构"</f>
        <v>一种可快速操作的汽车前翼子板安装结构</v>
      </c>
      <c r="C28" s="1" t="str">
        <f t="shared" si="1"/>
        <v>实用新型</v>
      </c>
      <c r="D28" s="1" t="str">
        <f t="shared" si="8"/>
        <v>授权</v>
      </c>
      <c r="E28" s="1" t="str">
        <f>"CN202022464762.0"</f>
        <v>CN202022464762.0</v>
      </c>
      <c r="F28" s="1" t="str">
        <f t="shared" si="13"/>
        <v>2020-10-30</v>
      </c>
      <c r="G28" s="1" t="str">
        <f>"CN213831893U"</f>
        <v>CN213831893U</v>
      </c>
      <c r="H28" s="1" t="str">
        <f t="shared" si="14"/>
        <v>2021-07-30</v>
      </c>
      <c r="I28" s="1" t="s">
        <v>4706</v>
      </c>
      <c r="J28" s="1" t="str">
        <f t="shared" si="9"/>
        <v>天津市华夏车辆制造有限公司</v>
      </c>
    </row>
    <row r="29" spans="1:10">
      <c r="A29" s="1" t="str">
        <f t="shared" si="7"/>
        <v>天津市华夏车辆制造有限公司</v>
      </c>
      <c r="B29" s="1" t="str">
        <f>"一种可快速定位的行李箱盖板"</f>
        <v>一种可快速定位的行李箱盖板</v>
      </c>
      <c r="C29" s="1" t="str">
        <f t="shared" si="1"/>
        <v>实用新型</v>
      </c>
      <c r="D29" s="1" t="str">
        <f t="shared" si="8"/>
        <v>授权</v>
      </c>
      <c r="E29" s="1" t="str">
        <f>"CN202022464761.6"</f>
        <v>CN202022464761.6</v>
      </c>
      <c r="F29" s="1" t="str">
        <f t="shared" si="13"/>
        <v>2020-10-30</v>
      </c>
      <c r="G29" s="1" t="str">
        <f>"CN213831518U"</f>
        <v>CN213831518U</v>
      </c>
      <c r="H29" s="1" t="str">
        <f t="shared" si="14"/>
        <v>2021-07-30</v>
      </c>
      <c r="I29" s="1" t="s">
        <v>4707</v>
      </c>
      <c r="J29" s="1" t="str">
        <f t="shared" si="9"/>
        <v>天津市华夏车辆制造有限公司</v>
      </c>
    </row>
    <row r="30" spans="1:10">
      <c r="A30" s="1" t="str">
        <f t="shared" si="7"/>
        <v>天津市华夏车辆制造有限公司</v>
      </c>
      <c r="B30" s="1" t="str">
        <f>"一种稳定性高的顶盖前横梁"</f>
        <v>一种稳定性高的顶盖前横梁</v>
      </c>
      <c r="C30" s="1" t="str">
        <f t="shared" si="1"/>
        <v>实用新型</v>
      </c>
      <c r="D30" s="1" t="str">
        <f t="shared" si="8"/>
        <v>授权</v>
      </c>
      <c r="E30" s="1" t="str">
        <f>"CN202022470343.8"</f>
        <v>CN202022470343.8</v>
      </c>
      <c r="F30" s="1" t="str">
        <f t="shared" si="13"/>
        <v>2020-10-30</v>
      </c>
      <c r="G30" s="1" t="str">
        <f>"CN213831880U"</f>
        <v>CN213831880U</v>
      </c>
      <c r="H30" s="1" t="str">
        <f t="shared" si="14"/>
        <v>2021-07-30</v>
      </c>
      <c r="I30" s="1" t="s">
        <v>4705</v>
      </c>
      <c r="J30" s="1" t="str">
        <f t="shared" si="9"/>
        <v>天津市华夏车辆制造有限公司</v>
      </c>
    </row>
    <row r="31" spans="1:10">
      <c r="A31" s="1" t="str">
        <f t="shared" si="7"/>
        <v>天津市华夏车辆制造有限公司</v>
      </c>
      <c r="B31" s="1" t="str">
        <f>"一种带有加强结构的汽车前翼子板"</f>
        <v>一种带有加强结构的汽车前翼子板</v>
      </c>
      <c r="C31" s="1" t="str">
        <f t="shared" si="1"/>
        <v>实用新型</v>
      </c>
      <c r="D31" s="1" t="str">
        <f t="shared" si="8"/>
        <v>授权</v>
      </c>
      <c r="E31" s="1" t="str">
        <f>"CN202022464747.6"</f>
        <v>CN202022464747.6</v>
      </c>
      <c r="F31" s="1" t="str">
        <f t="shared" si="13"/>
        <v>2020-10-30</v>
      </c>
      <c r="G31" s="1" t="str">
        <f>"CN213831892U"</f>
        <v>CN213831892U</v>
      </c>
      <c r="H31" s="1" t="str">
        <f t="shared" si="14"/>
        <v>2021-07-30</v>
      </c>
      <c r="I31" s="1" t="s">
        <v>4704</v>
      </c>
      <c r="J31" s="1" t="str">
        <f t="shared" si="9"/>
        <v>天津市华夏车辆制造有限公司</v>
      </c>
    </row>
    <row r="32" spans="1:10">
      <c r="A32" s="1" t="str">
        <f t="shared" si="7"/>
        <v>天津市华夏车辆制造有限公司</v>
      </c>
      <c r="B32" s="1" t="str">
        <f>"一种可折叠收纳的散热器支架"</f>
        <v>一种可折叠收纳的散热器支架</v>
      </c>
      <c r="C32" s="1" t="str">
        <f t="shared" si="1"/>
        <v>实用新型</v>
      </c>
      <c r="D32" s="1" t="str">
        <f t="shared" si="8"/>
        <v>授权</v>
      </c>
      <c r="E32" s="1" t="str">
        <f>"CN202022464702.9"</f>
        <v>CN202022464702.9</v>
      </c>
      <c r="F32" s="1" t="str">
        <f t="shared" si="13"/>
        <v>2020-10-30</v>
      </c>
      <c r="G32" s="1" t="str">
        <f>"CN213831327U"</f>
        <v>CN213831327U</v>
      </c>
      <c r="H32" s="1" t="str">
        <f t="shared" si="14"/>
        <v>2021-07-30</v>
      </c>
      <c r="I32" s="1" t="s">
        <v>4708</v>
      </c>
      <c r="J32" s="1" t="str">
        <f t="shared" si="9"/>
        <v>天津市华夏车辆制造有限公司</v>
      </c>
    </row>
    <row r="33" spans="1:10">
      <c r="A33" s="1" t="str">
        <f t="shared" si="7"/>
        <v>天津市华夏车辆制造有限公司</v>
      </c>
      <c r="B33" s="1" t="str">
        <f>"一种背门口上横梁用稳定装置"</f>
        <v>一种背门口上横梁用稳定装置</v>
      </c>
      <c r="C33" s="1" t="str">
        <f t="shared" si="1"/>
        <v>实用新型</v>
      </c>
      <c r="D33" s="1" t="str">
        <f t="shared" si="8"/>
        <v>授权</v>
      </c>
      <c r="E33" s="1" t="str">
        <f>"CN202022470333.4"</f>
        <v>CN202022470333.4</v>
      </c>
      <c r="F33" s="1" t="str">
        <f t="shared" si="13"/>
        <v>2020-10-30</v>
      </c>
      <c r="G33" s="1" t="str">
        <f>"CN213831883U"</f>
        <v>CN213831883U</v>
      </c>
      <c r="H33" s="1" t="str">
        <f t="shared" si="14"/>
        <v>2021-07-30</v>
      </c>
      <c r="I33" s="1" t="s">
        <v>4709</v>
      </c>
      <c r="J33" s="1" t="str">
        <f t="shared" si="9"/>
        <v>天津市华夏车辆制造有限公司</v>
      </c>
    </row>
    <row r="34" spans="1:10">
      <c r="A34" s="1" t="str">
        <f t="shared" si="7"/>
        <v>天津市华夏车辆制造有限公司</v>
      </c>
      <c r="B34" s="1" t="str">
        <f>"一种带有加强连接板的轻型厢式货车半承载车身"</f>
        <v>一种带有加强连接板的轻型厢式货车半承载车身</v>
      </c>
      <c r="C34" s="1" t="str">
        <f>"发明授权"</f>
        <v>发明授权</v>
      </c>
      <c r="D34" s="1" t="str">
        <f t="shared" si="8"/>
        <v>授权</v>
      </c>
      <c r="E34" s="1" t="str">
        <f>"CN201510173362.5"</f>
        <v>CN201510173362.5</v>
      </c>
      <c r="F34" s="1" t="str">
        <f t="shared" ref="F34:F43" si="15">"2015-04-13"</f>
        <v>2015-04-13</v>
      </c>
      <c r="G34" s="1" t="str">
        <f>"CN104787118B"</f>
        <v>CN104787118B</v>
      </c>
      <c r="H34" s="1" t="str">
        <f>"2017-03-15"</f>
        <v>2017-03-15</v>
      </c>
      <c r="I34" s="1" t="s">
        <v>4710</v>
      </c>
      <c r="J34" s="1" t="str">
        <f t="shared" si="9"/>
        <v>天津市华夏车辆制造有限公司</v>
      </c>
    </row>
    <row r="35" spans="1:10">
      <c r="A35" s="1" t="str">
        <f t="shared" si="7"/>
        <v>天津市华夏车辆制造有限公司</v>
      </c>
      <c r="B35" s="1" t="str">
        <f>"汽车"</f>
        <v>汽车</v>
      </c>
      <c r="C35" s="1" t="str">
        <f>"外观设计"</f>
        <v>外观设计</v>
      </c>
      <c r="D35" s="1" t="str">
        <f t="shared" ref="D35:D37" si="16">"未缴年费专利权终止"</f>
        <v>未缴年费专利权终止</v>
      </c>
      <c r="E35" s="1" t="str">
        <f>"CN201530097634.9"</f>
        <v>CN201530097634.9</v>
      </c>
      <c r="F35" s="1" t="str">
        <f t="shared" ref="F35:F37" si="17">"2015-04-14"</f>
        <v>2015-04-14</v>
      </c>
      <c r="G35" s="1" t="str">
        <f>"CN303530936S"</f>
        <v>CN303530936S</v>
      </c>
      <c r="H35" s="1" t="str">
        <f>"2015-12-30"</f>
        <v>2015-12-30</v>
      </c>
      <c r="I35" s="1" t="s">
        <v>4711</v>
      </c>
      <c r="J35" s="1" t="str">
        <f t="shared" si="9"/>
        <v>天津市华夏车辆制造有限公司</v>
      </c>
    </row>
    <row r="36" spans="1:10">
      <c r="A36" s="1" t="str">
        <f t="shared" si="7"/>
        <v>天津市华夏车辆制造有限公司</v>
      </c>
      <c r="B36" s="1" t="str">
        <f>"仪表盘"</f>
        <v>仪表盘</v>
      </c>
      <c r="C36" s="1" t="str">
        <f>"外观设计"</f>
        <v>外观设计</v>
      </c>
      <c r="D36" s="1" t="str">
        <f t="shared" si="16"/>
        <v>未缴年费专利权终止</v>
      </c>
      <c r="E36" s="1" t="str">
        <f>"CN201530097439.6"</f>
        <v>CN201530097439.6</v>
      </c>
      <c r="F36" s="1" t="str">
        <f t="shared" si="17"/>
        <v>2015-04-14</v>
      </c>
      <c r="G36" s="1" t="str">
        <f>"CN303519793S"</f>
        <v>CN303519793S</v>
      </c>
      <c r="H36" s="1" t="str">
        <f>"2015-12-23"</f>
        <v>2015-12-23</v>
      </c>
      <c r="I36" s="1" t="s">
        <v>4712</v>
      </c>
      <c r="J36" s="1" t="str">
        <f t="shared" si="9"/>
        <v>天津市华夏车辆制造有限公司</v>
      </c>
    </row>
    <row r="37" spans="1:10">
      <c r="A37" s="1" t="str">
        <f t="shared" si="7"/>
        <v>天津市华夏车辆制造有限公司</v>
      </c>
      <c r="B37" s="1" t="str">
        <f>"一种轻型厢式电动货车的前舱布置结构"</f>
        <v>一种轻型厢式电动货车的前舱布置结构</v>
      </c>
      <c r="C37" s="1" t="str">
        <f t="shared" ref="C37:C44" si="18">"实用新型"</f>
        <v>实用新型</v>
      </c>
      <c r="D37" s="1" t="str">
        <f t="shared" si="16"/>
        <v>未缴年费专利权终止</v>
      </c>
      <c r="E37" s="1" t="str">
        <f>"CN201520223727.6"</f>
        <v>CN201520223727.6</v>
      </c>
      <c r="F37" s="1" t="str">
        <f t="shared" si="17"/>
        <v>2015-04-14</v>
      </c>
      <c r="G37" s="1" t="str">
        <f>"CN204895082U"</f>
        <v>CN204895082U</v>
      </c>
      <c r="H37" s="1" t="str">
        <f>"2015-12-23"</f>
        <v>2015-12-23</v>
      </c>
      <c r="I37" s="1" t="s">
        <v>4713</v>
      </c>
      <c r="J37" s="1" t="str">
        <f t="shared" si="9"/>
        <v>天津市华夏车辆制造有限公司</v>
      </c>
    </row>
    <row r="38" spans="1:10">
      <c r="A38" s="1" t="str">
        <f t="shared" si="7"/>
        <v>天津市华夏车辆制造有限公司</v>
      </c>
      <c r="B38" s="1" t="str">
        <f>"一种带有加强连接板的轻型厢式货车半承载车身"</f>
        <v>一种带有加强连接板的轻型厢式货车半承载车身</v>
      </c>
      <c r="C38" s="1" t="str">
        <f t="shared" si="18"/>
        <v>实用新型</v>
      </c>
      <c r="D38" s="1" t="str">
        <f>"避重放弃"</f>
        <v>避重放弃</v>
      </c>
      <c r="E38" s="1" t="str">
        <f>"CN201520221461.1"</f>
        <v>CN201520221461.1</v>
      </c>
      <c r="F38" s="1" t="str">
        <f t="shared" si="15"/>
        <v>2015-04-13</v>
      </c>
      <c r="G38" s="1" t="str">
        <f>"CN204641879U"</f>
        <v>CN204641879U</v>
      </c>
      <c r="H38" s="1" t="str">
        <f t="shared" ref="H38:H43" si="19">"2015-09-16"</f>
        <v>2015-09-16</v>
      </c>
      <c r="I38" s="1" t="s">
        <v>4710</v>
      </c>
      <c r="J38" s="1" t="str">
        <f t="shared" si="9"/>
        <v>天津市华夏车辆制造有限公司</v>
      </c>
    </row>
    <row r="39" spans="1:10">
      <c r="A39" s="1" t="str">
        <f t="shared" si="7"/>
        <v>天津市华夏车辆制造有限公司</v>
      </c>
      <c r="B39" s="1" t="str">
        <f>"一种电动货车的底盘"</f>
        <v>一种电动货车的底盘</v>
      </c>
      <c r="C39" s="1" t="str">
        <f t="shared" si="18"/>
        <v>实用新型</v>
      </c>
      <c r="D39" s="1" t="str">
        <f t="shared" ref="D39:D44" si="20">"未缴年费专利权终止"</f>
        <v>未缴年费专利权终止</v>
      </c>
      <c r="E39" s="1" t="str">
        <f>"CN201520221742.7"</f>
        <v>CN201520221742.7</v>
      </c>
      <c r="F39" s="1" t="str">
        <f t="shared" si="15"/>
        <v>2015-04-13</v>
      </c>
      <c r="G39" s="1" t="str">
        <f>"CN204641885U"</f>
        <v>CN204641885U</v>
      </c>
      <c r="H39" s="1" t="str">
        <f t="shared" si="19"/>
        <v>2015-09-16</v>
      </c>
      <c r="I39" s="1" t="s">
        <v>4714</v>
      </c>
      <c r="J39" s="1" t="str">
        <f t="shared" si="9"/>
        <v>天津市华夏车辆制造有限公司</v>
      </c>
    </row>
    <row r="40" spans="1:10">
      <c r="A40" s="1" t="str">
        <f t="shared" si="7"/>
        <v>天津市华夏车辆制造有限公司</v>
      </c>
      <c r="B40" s="1" t="str">
        <f>"一种电动货车的动力电池总成布置结构"</f>
        <v>一种电动货车的动力电池总成布置结构</v>
      </c>
      <c r="C40" s="1" t="str">
        <f t="shared" si="18"/>
        <v>实用新型</v>
      </c>
      <c r="D40" s="1" t="str">
        <f t="shared" si="20"/>
        <v>未缴年费专利权终止</v>
      </c>
      <c r="E40" s="1" t="str">
        <f>"CN201520222932.0"</f>
        <v>CN201520222932.0</v>
      </c>
      <c r="F40" s="1" t="str">
        <f t="shared" si="15"/>
        <v>2015-04-13</v>
      </c>
      <c r="G40" s="1" t="str">
        <f>"CN204641361U"</f>
        <v>CN204641361U</v>
      </c>
      <c r="H40" s="1" t="str">
        <f t="shared" si="19"/>
        <v>2015-09-16</v>
      </c>
      <c r="I40" s="1" t="s">
        <v>4715</v>
      </c>
      <c r="J40" s="1" t="str">
        <f t="shared" si="9"/>
        <v>天津市华夏车辆制造有限公司</v>
      </c>
    </row>
    <row r="41" spans="1:10">
      <c r="A41" s="1" t="str">
        <f t="shared" si="7"/>
        <v>天津市华夏车辆制造有限公司</v>
      </c>
      <c r="B41" s="1" t="str">
        <f>"一种新型防雨货车货厢"</f>
        <v>一种新型防雨货车货厢</v>
      </c>
      <c r="C41" s="1" t="str">
        <f t="shared" si="18"/>
        <v>实用新型</v>
      </c>
      <c r="D41" s="1" t="str">
        <f t="shared" si="20"/>
        <v>未缴年费专利权终止</v>
      </c>
      <c r="E41" s="1" t="str">
        <f>"CN201520221310.6"</f>
        <v>CN201520221310.6</v>
      </c>
      <c r="F41" s="1" t="str">
        <f t="shared" si="15"/>
        <v>2015-04-13</v>
      </c>
      <c r="G41" s="1" t="str">
        <f>"CN204641909U"</f>
        <v>CN204641909U</v>
      </c>
      <c r="H41" s="1" t="str">
        <f t="shared" si="19"/>
        <v>2015-09-16</v>
      </c>
      <c r="I41" s="1" t="s">
        <v>4716</v>
      </c>
      <c r="J41" s="1" t="str">
        <f t="shared" si="9"/>
        <v>天津市华夏车辆制造有限公司</v>
      </c>
    </row>
    <row r="42" spans="1:10">
      <c r="A42" s="1" t="str">
        <f t="shared" si="7"/>
        <v>天津市华夏车辆制造有限公司</v>
      </c>
      <c r="B42" s="1" t="str">
        <f>"一种电动货车的轻量化货厢结构"</f>
        <v>一种电动货车的轻量化货厢结构</v>
      </c>
      <c r="C42" s="1" t="str">
        <f t="shared" si="18"/>
        <v>实用新型</v>
      </c>
      <c r="D42" s="1" t="str">
        <f t="shared" si="20"/>
        <v>未缴年费专利权终止</v>
      </c>
      <c r="E42" s="1" t="str">
        <f>"CN201520221741.2"</f>
        <v>CN201520221741.2</v>
      </c>
      <c r="F42" s="1" t="str">
        <f t="shared" si="15"/>
        <v>2015-04-13</v>
      </c>
      <c r="G42" s="1" t="str">
        <f>"CN204641910U"</f>
        <v>CN204641910U</v>
      </c>
      <c r="H42" s="1" t="str">
        <f t="shared" si="19"/>
        <v>2015-09-16</v>
      </c>
      <c r="I42" s="1" t="s">
        <v>4717</v>
      </c>
      <c r="J42" s="1" t="str">
        <f t="shared" si="9"/>
        <v>天津市华夏车辆制造有限公司</v>
      </c>
    </row>
    <row r="43" spans="1:10">
      <c r="A43" s="1" t="str">
        <f t="shared" si="7"/>
        <v>天津市华夏车辆制造有限公司</v>
      </c>
      <c r="B43" s="1" t="str">
        <f>"一种轻型厢式电动货车用改进的中柱"</f>
        <v>一种轻型厢式电动货车用改进的中柱</v>
      </c>
      <c r="C43" s="1" t="str">
        <f t="shared" si="18"/>
        <v>实用新型</v>
      </c>
      <c r="D43" s="1" t="str">
        <f t="shared" si="20"/>
        <v>未缴年费专利权终止</v>
      </c>
      <c r="E43" s="1" t="str">
        <f>"CN201520221096.4"</f>
        <v>CN201520221096.4</v>
      </c>
      <c r="F43" s="1" t="str">
        <f t="shared" si="15"/>
        <v>2015-04-13</v>
      </c>
      <c r="G43" s="1" t="str">
        <f>"CN204641893U"</f>
        <v>CN204641893U</v>
      </c>
      <c r="H43" s="1" t="str">
        <f t="shared" si="19"/>
        <v>2015-09-16</v>
      </c>
      <c r="I43" s="1" t="s">
        <v>4718</v>
      </c>
      <c r="J43" s="1" t="str">
        <f t="shared" si="9"/>
        <v>天津市华夏车辆制造有限公司</v>
      </c>
    </row>
    <row r="44" spans="1:10">
      <c r="A44" s="1" t="str">
        <f t="shared" si="7"/>
        <v>天津市华夏车辆制造有限公司</v>
      </c>
      <c r="B44" s="1" t="str">
        <f>"一种轻型厢式电动货车安全带"</f>
        <v>一种轻型厢式电动货车安全带</v>
      </c>
      <c r="C44" s="1" t="str">
        <f t="shared" si="18"/>
        <v>实用新型</v>
      </c>
      <c r="D44" s="1" t="str">
        <f t="shared" si="20"/>
        <v>未缴年费专利权终止</v>
      </c>
      <c r="E44" s="1" t="str">
        <f>"CN201520221070.X"</f>
        <v>CN201520221070.X</v>
      </c>
      <c r="F44" s="1" t="str">
        <f>"2015-04-12"</f>
        <v>2015-04-12</v>
      </c>
      <c r="G44" s="1" t="str">
        <f>"CN204641657U"</f>
        <v>CN204641657U</v>
      </c>
      <c r="H44" s="1" t="str">
        <f>"2015-09-15"</f>
        <v>2015-09-15</v>
      </c>
      <c r="I44" s="1" t="s">
        <v>4716</v>
      </c>
      <c r="J44" s="1" t="str">
        <f t="shared" si="9"/>
        <v>天津市华夏车辆制造有限公司</v>
      </c>
    </row>
    <row r="45" spans="1:10">
      <c r="A45" s="1" t="str">
        <f>"天津大天电动车有限公司"</f>
        <v>天津大天电动车有限公司</v>
      </c>
      <c r="B45" s="1" t="str">
        <f>"车轮轮毂"</f>
        <v>车轮轮毂</v>
      </c>
      <c r="C45" s="1" t="str">
        <f t="shared" ref="C45:C52" si="21">"外观设计"</f>
        <v>外观设计</v>
      </c>
      <c r="D45" s="1" t="str">
        <f>"授权"</f>
        <v>授权</v>
      </c>
      <c r="E45" s="1" t="str">
        <f>"CN200630169122.X"</f>
        <v>CN200630169122.X</v>
      </c>
      <c r="F45" s="1" t="str">
        <f>"2006-11-01"</f>
        <v>2006-11-01</v>
      </c>
      <c r="G45" s="1" t="str">
        <f>"CN300701092"</f>
        <v>CN300701092</v>
      </c>
      <c r="H45" s="1" t="str">
        <f>"2007-10-17"</f>
        <v>2007-10-17</v>
      </c>
      <c r="I45" s="1" t="str">
        <f>"孙开锋"</f>
        <v>孙开锋</v>
      </c>
      <c r="J45" s="1" t="str">
        <f>"天津大天电动车有限公司"</f>
        <v>天津大天电动车有限公司</v>
      </c>
    </row>
    <row r="46" spans="1:10">
      <c r="A46" s="1" t="str">
        <f>"天津市车辆改装厂"</f>
        <v>天津市车辆改装厂</v>
      </c>
      <c r="B46" s="1" t="str">
        <f>"夹套式抗爆容器"</f>
        <v>夹套式抗爆容器</v>
      </c>
      <c r="C46" s="1" t="str">
        <f>"实用新型"</f>
        <v>实用新型</v>
      </c>
      <c r="D46" s="1" t="str">
        <f>"期限届满专利权终止"</f>
        <v>期限届满专利权终止</v>
      </c>
      <c r="E46" s="1" t="str">
        <f>"CN92243381.X"</f>
        <v>CN92243381.X</v>
      </c>
      <c r="F46" s="1" t="str">
        <f>"1992-12-12"</f>
        <v>1992-12-12</v>
      </c>
      <c r="G46" s="1" t="str">
        <f>"CN2145766"</f>
        <v>CN2145766</v>
      </c>
      <c r="H46" s="1" t="str">
        <f>"1993-11-10"</f>
        <v>1993-11-10</v>
      </c>
      <c r="I46" s="1" t="s">
        <v>4719</v>
      </c>
      <c r="J46" s="1" t="s">
        <v>4720</v>
      </c>
    </row>
    <row r="47" spans="1:10">
      <c r="A47" s="1" t="str">
        <f>"天津市车辆改装厂"</f>
        <v>天津市车辆改装厂</v>
      </c>
      <c r="B47" s="1" t="str">
        <f>"民爆器材同载的运输车"</f>
        <v>民爆器材同载的运输车</v>
      </c>
      <c r="C47" s="1" t="str">
        <f>"实用新型"</f>
        <v>实用新型</v>
      </c>
      <c r="D47" s="1" t="str">
        <f t="shared" ref="D47:D73" si="22">"未缴年费专利权终止"</f>
        <v>未缴年费专利权终止</v>
      </c>
      <c r="E47" s="1" t="str">
        <f>"CN92242387.3"</f>
        <v>CN92242387.3</v>
      </c>
      <c r="F47" s="1" t="str">
        <f>"1992-11-28"</f>
        <v>1992-11-28</v>
      </c>
      <c r="G47" s="1" t="str">
        <f>"CN2139902"</f>
        <v>CN2139902</v>
      </c>
      <c r="H47" s="1" t="str">
        <f>"1993-08-11"</f>
        <v>1993-08-11</v>
      </c>
      <c r="I47" s="1" t="s">
        <v>4721</v>
      </c>
      <c r="J47" s="1" t="s">
        <v>4722</v>
      </c>
    </row>
    <row r="48" spans="1:10">
      <c r="A48" s="1" t="str">
        <f t="shared" ref="A48:A52" si="23">"天津市奥美赛异型电驱车辆有限公司"</f>
        <v>天津市奥美赛异型电驱车辆有限公司</v>
      </c>
      <c r="B48" s="1" t="str">
        <f>"三轮电动车（S-1途安）"</f>
        <v>三轮电动车（S-1途安）</v>
      </c>
      <c r="C48" s="1" t="str">
        <f t="shared" si="21"/>
        <v>外观设计</v>
      </c>
      <c r="D48" s="1" t="str">
        <f t="shared" si="22"/>
        <v>未缴年费专利权终止</v>
      </c>
      <c r="E48" s="1" t="str">
        <f>"CN201330561660.3"</f>
        <v>CN201330561660.3</v>
      </c>
      <c r="F48" s="1" t="str">
        <f t="shared" ref="F48:F52" si="24">"2013-11-20"</f>
        <v>2013-11-20</v>
      </c>
      <c r="G48" s="1" t="str">
        <f>"CN302759681S"</f>
        <v>CN302759681S</v>
      </c>
      <c r="H48" s="1" t="str">
        <f t="shared" ref="H48:H52" si="25">"2014-03-12"</f>
        <v>2014-03-12</v>
      </c>
      <c r="I48" s="1" t="str">
        <f t="shared" ref="I48:I52" si="26">"孟庆祝"</f>
        <v>孟庆祝</v>
      </c>
      <c r="J48" s="1" t="str">
        <f t="shared" ref="J48:J52" si="27">"天津市奥美赛异型电驱车辆有限公司"</f>
        <v>天津市奥美赛异型电驱车辆有限公司</v>
      </c>
    </row>
    <row r="49" spans="1:10">
      <c r="A49" s="1" t="str">
        <f t="shared" si="23"/>
        <v>天津市奥美赛异型电驱车辆有限公司</v>
      </c>
      <c r="B49" s="1" t="str">
        <f>"三轮电动车（S-8途顺）"</f>
        <v>三轮电动车（S-8途顺）</v>
      </c>
      <c r="C49" s="1" t="str">
        <f t="shared" si="21"/>
        <v>外观设计</v>
      </c>
      <c r="D49" s="1" t="str">
        <f t="shared" si="22"/>
        <v>未缴年费专利权终止</v>
      </c>
      <c r="E49" s="1" t="str">
        <f>"CN201330563118.1"</f>
        <v>CN201330563118.1</v>
      </c>
      <c r="F49" s="1" t="str">
        <f t="shared" si="24"/>
        <v>2013-11-20</v>
      </c>
      <c r="G49" s="1" t="str">
        <f>"CN302759685S"</f>
        <v>CN302759685S</v>
      </c>
      <c r="H49" s="1" t="str">
        <f t="shared" si="25"/>
        <v>2014-03-12</v>
      </c>
      <c r="I49" s="1" t="str">
        <f t="shared" si="26"/>
        <v>孟庆祝</v>
      </c>
      <c r="J49" s="1" t="str">
        <f t="shared" si="27"/>
        <v>天津市奥美赛异型电驱车辆有限公司</v>
      </c>
    </row>
    <row r="50" spans="1:10">
      <c r="A50" s="1" t="str">
        <f t="shared" si="23"/>
        <v>天津市奥美赛异型电驱车辆有限公司</v>
      </c>
      <c r="B50" s="1" t="str">
        <f>"三轮电动车（S-3途俏）"</f>
        <v>三轮电动车（S-3途俏）</v>
      </c>
      <c r="C50" s="1" t="str">
        <f t="shared" si="21"/>
        <v>外观设计</v>
      </c>
      <c r="D50" s="1" t="str">
        <f t="shared" si="22"/>
        <v>未缴年费专利权终止</v>
      </c>
      <c r="E50" s="1" t="str">
        <f>"CN201330561712.7"</f>
        <v>CN201330561712.7</v>
      </c>
      <c r="F50" s="1" t="str">
        <f t="shared" si="24"/>
        <v>2013-11-20</v>
      </c>
      <c r="G50" s="1" t="str">
        <f>"CN302759683S"</f>
        <v>CN302759683S</v>
      </c>
      <c r="H50" s="1" t="str">
        <f t="shared" si="25"/>
        <v>2014-03-12</v>
      </c>
      <c r="I50" s="1" t="str">
        <f t="shared" si="26"/>
        <v>孟庆祝</v>
      </c>
      <c r="J50" s="1" t="str">
        <f t="shared" si="27"/>
        <v>天津市奥美赛异型电驱车辆有限公司</v>
      </c>
    </row>
    <row r="51" spans="1:10">
      <c r="A51" s="1" t="str">
        <f t="shared" si="23"/>
        <v>天津市奥美赛异型电驱车辆有限公司</v>
      </c>
      <c r="B51" s="1" t="str">
        <f>"三轮电动车（S-7途俪）"</f>
        <v>三轮电动车（S-7途俪）</v>
      </c>
      <c r="C51" s="1" t="str">
        <f t="shared" si="21"/>
        <v>外观设计</v>
      </c>
      <c r="D51" s="1" t="str">
        <f t="shared" si="22"/>
        <v>未缴年费专利权终止</v>
      </c>
      <c r="E51" s="1" t="str">
        <f>"CN201330561711.2"</f>
        <v>CN201330561711.2</v>
      </c>
      <c r="F51" s="1" t="str">
        <f t="shared" si="24"/>
        <v>2013-11-20</v>
      </c>
      <c r="G51" s="1" t="str">
        <f>"CN302759682S"</f>
        <v>CN302759682S</v>
      </c>
      <c r="H51" s="1" t="str">
        <f t="shared" si="25"/>
        <v>2014-03-12</v>
      </c>
      <c r="I51" s="1" t="str">
        <f t="shared" si="26"/>
        <v>孟庆祝</v>
      </c>
      <c r="J51" s="1" t="str">
        <f t="shared" si="27"/>
        <v>天津市奥美赛异型电驱车辆有限公司</v>
      </c>
    </row>
    <row r="52" spans="1:10">
      <c r="A52" s="1" t="str">
        <f t="shared" si="23"/>
        <v>天津市奥美赛异型电驱车辆有限公司</v>
      </c>
      <c r="B52" s="1" t="str">
        <f>"三轮电动车（S-6途威）"</f>
        <v>三轮电动车（S-6途威）</v>
      </c>
      <c r="C52" s="1" t="str">
        <f t="shared" si="21"/>
        <v>外观设计</v>
      </c>
      <c r="D52" s="1" t="str">
        <f t="shared" si="22"/>
        <v>未缴年费专利权终止</v>
      </c>
      <c r="E52" s="1" t="str">
        <f>"CN201330561713.1"</f>
        <v>CN201330561713.1</v>
      </c>
      <c r="F52" s="1" t="str">
        <f t="shared" si="24"/>
        <v>2013-11-20</v>
      </c>
      <c r="G52" s="1" t="str">
        <f>"CN302759684S"</f>
        <v>CN302759684S</v>
      </c>
      <c r="H52" s="1" t="str">
        <f t="shared" si="25"/>
        <v>2014-03-12</v>
      </c>
      <c r="I52" s="1" t="str">
        <f t="shared" si="26"/>
        <v>孟庆祝</v>
      </c>
      <c r="J52" s="1" t="str">
        <f t="shared" si="27"/>
        <v>天津市奥美赛异型电驱车辆有限公司</v>
      </c>
    </row>
    <row r="53" spans="1:10">
      <c r="A53" s="1" t="str">
        <f t="shared" ref="A53:A116" si="28">"天津亚星世纪实业股份有限公司"</f>
        <v>天津亚星世纪实业股份有限公司</v>
      </c>
      <c r="B53" s="1" t="str">
        <f>"一种冷凝器氩弧焊工装"</f>
        <v>一种冷凝器氩弧焊工装</v>
      </c>
      <c r="C53" s="1" t="str">
        <f t="shared" ref="C53:C80" si="29">"实用新型"</f>
        <v>实用新型</v>
      </c>
      <c r="D53" s="1" t="str">
        <f t="shared" si="22"/>
        <v>未缴年费专利权终止</v>
      </c>
      <c r="E53" s="1" t="str">
        <f>"CN202121293367.9"</f>
        <v>CN202121293367.9</v>
      </c>
      <c r="F53" s="1" t="str">
        <f t="shared" ref="F53:F55" si="30">"2021-06-10"</f>
        <v>2021-06-10</v>
      </c>
      <c r="G53" s="1" t="str">
        <f>"CN215846228U"</f>
        <v>CN215846228U</v>
      </c>
      <c r="H53" s="1" t="str">
        <f t="shared" ref="H53:H55" si="31">"2022-02-18"</f>
        <v>2022-02-18</v>
      </c>
      <c r="I53" s="1" t="str">
        <f>"郭成平"</f>
        <v>郭成平</v>
      </c>
      <c r="J53" s="1" t="str">
        <f t="shared" ref="J53:J103" si="32">"天津亚星世纪实业股份有限公司"</f>
        <v>天津亚星世纪实业股份有限公司</v>
      </c>
    </row>
    <row r="54" spans="1:10">
      <c r="A54" s="1" t="str">
        <f t="shared" si="28"/>
        <v>天津亚星世纪实业股份有限公司</v>
      </c>
      <c r="B54" s="1" t="str">
        <f>"一种汽车散热器自动打爪工装"</f>
        <v>一种汽车散热器自动打爪工装</v>
      </c>
      <c r="C54" s="1" t="str">
        <f t="shared" si="29"/>
        <v>实用新型</v>
      </c>
      <c r="D54" s="1" t="str">
        <f t="shared" si="22"/>
        <v>未缴年费专利权终止</v>
      </c>
      <c r="E54" s="1" t="str">
        <f>"CN202121293369.8"</f>
        <v>CN202121293369.8</v>
      </c>
      <c r="F54" s="1" t="str">
        <f t="shared" si="30"/>
        <v>2021-06-10</v>
      </c>
      <c r="G54" s="1" t="str">
        <f>"CN215845277U"</f>
        <v>CN215845277U</v>
      </c>
      <c r="H54" s="1" t="str">
        <f t="shared" si="31"/>
        <v>2022-02-18</v>
      </c>
      <c r="I54" s="1" t="str">
        <f>"郭成平"</f>
        <v>郭成平</v>
      </c>
      <c r="J54" s="1" t="str">
        <f t="shared" si="32"/>
        <v>天津亚星世纪实业股份有限公司</v>
      </c>
    </row>
    <row r="55" spans="1:10">
      <c r="A55" s="1" t="str">
        <f t="shared" si="28"/>
        <v>天津亚星世纪实业股份有限公司</v>
      </c>
      <c r="B55" s="1" t="str">
        <f>"一种纯铝商用车中冷器芯体通用组芯工装"</f>
        <v>一种纯铝商用车中冷器芯体通用组芯工装</v>
      </c>
      <c r="C55" s="1" t="str">
        <f t="shared" si="29"/>
        <v>实用新型</v>
      </c>
      <c r="D55" s="1" t="str">
        <f t="shared" si="22"/>
        <v>未缴年费专利权终止</v>
      </c>
      <c r="E55" s="1" t="str">
        <f>"CN202121304249.3"</f>
        <v>CN202121304249.3</v>
      </c>
      <c r="F55" s="1" t="str">
        <f t="shared" si="30"/>
        <v>2021-06-10</v>
      </c>
      <c r="G55" s="1" t="str">
        <f>"CN215847726U"</f>
        <v>CN215847726U</v>
      </c>
      <c r="H55" s="1" t="str">
        <f t="shared" si="31"/>
        <v>2022-02-18</v>
      </c>
      <c r="I55" s="1" t="s">
        <v>4723</v>
      </c>
      <c r="J55" s="1" t="str">
        <f t="shared" si="32"/>
        <v>天津亚星世纪实业股份有限公司</v>
      </c>
    </row>
    <row r="56" spans="1:10">
      <c r="A56" s="1" t="str">
        <f t="shared" si="28"/>
        <v>天津亚星世纪实业股份有限公司</v>
      </c>
      <c r="B56" s="1" t="str">
        <f>"一种用于暖风产品的芯体贴海绵的通用工装"</f>
        <v>一种用于暖风产品的芯体贴海绵的通用工装</v>
      </c>
      <c r="C56" s="1" t="str">
        <f t="shared" si="29"/>
        <v>实用新型</v>
      </c>
      <c r="D56" s="1" t="str">
        <f t="shared" si="22"/>
        <v>未缴年费专利权终止</v>
      </c>
      <c r="E56" s="1" t="str">
        <f>"CN202121319602.5"</f>
        <v>CN202121319602.5</v>
      </c>
      <c r="F56" s="1" t="str">
        <f t="shared" ref="F56:F61" si="33">"2021-06-11"</f>
        <v>2021-06-11</v>
      </c>
      <c r="G56" s="1" t="str">
        <f>"CN215704213U"</f>
        <v>CN215704213U</v>
      </c>
      <c r="H56" s="1" t="str">
        <f t="shared" ref="H56:H62" si="34">"2022-02-01"</f>
        <v>2022-02-01</v>
      </c>
      <c r="I56" s="1" t="s">
        <v>4724</v>
      </c>
      <c r="J56" s="1" t="str">
        <f t="shared" si="32"/>
        <v>天津亚星世纪实业股份有限公司</v>
      </c>
    </row>
    <row r="57" spans="1:10">
      <c r="A57" s="1" t="str">
        <f t="shared" si="28"/>
        <v>天津亚星世纪实业股份有限公司</v>
      </c>
      <c r="B57" s="1" t="str">
        <f>"一种暖风散热器进出液管连接结构"</f>
        <v>一种暖风散热器进出液管连接结构</v>
      </c>
      <c r="C57" s="1" t="str">
        <f t="shared" si="29"/>
        <v>实用新型</v>
      </c>
      <c r="D57" s="1" t="str">
        <f t="shared" si="22"/>
        <v>未缴年费专利权终止</v>
      </c>
      <c r="E57" s="1" t="str">
        <f>"CN202121547671.1"</f>
        <v>CN202121547671.1</v>
      </c>
      <c r="F57" s="1" t="str">
        <f t="shared" ref="F57:F62" si="35">"2021-07-08"</f>
        <v>2021-07-08</v>
      </c>
      <c r="G57" s="1" t="str">
        <f>"CN215721435U"</f>
        <v>CN215721435U</v>
      </c>
      <c r="H57" s="1" t="str">
        <f t="shared" si="34"/>
        <v>2022-02-01</v>
      </c>
      <c r="I57" s="1" t="s">
        <v>4725</v>
      </c>
      <c r="J57" s="1" t="str">
        <f t="shared" si="32"/>
        <v>天津亚星世纪实业股份有限公司</v>
      </c>
    </row>
    <row r="58" spans="1:10">
      <c r="A58" s="1" t="str">
        <f t="shared" si="28"/>
        <v>天津亚星世纪实业股份有限公司</v>
      </c>
      <c r="B58" s="1" t="str">
        <f>"一种用于管材冲孔的模具"</f>
        <v>一种用于管材冲孔的模具</v>
      </c>
      <c r="C58" s="1" t="str">
        <f t="shared" si="29"/>
        <v>实用新型</v>
      </c>
      <c r="D58" s="1" t="str">
        <f t="shared" si="22"/>
        <v>未缴年费专利权终止</v>
      </c>
      <c r="E58" s="1" t="str">
        <f>"CN202121546071.3"</f>
        <v>CN202121546071.3</v>
      </c>
      <c r="F58" s="1" t="str">
        <f t="shared" si="35"/>
        <v>2021-07-08</v>
      </c>
      <c r="G58" s="1" t="str">
        <f>"CN215697267U"</f>
        <v>CN215697267U</v>
      </c>
      <c r="H58" s="1" t="str">
        <f t="shared" si="34"/>
        <v>2022-02-01</v>
      </c>
      <c r="I58" s="1" t="s">
        <v>4726</v>
      </c>
      <c r="J58" s="1" t="str">
        <f t="shared" si="32"/>
        <v>天津亚星世纪实业股份有限公司</v>
      </c>
    </row>
    <row r="59" spans="1:10">
      <c r="A59" s="1" t="str">
        <f t="shared" si="28"/>
        <v>天津亚星世纪实业股份有限公司</v>
      </c>
      <c r="B59" s="1" t="str">
        <f>"一种用于暖风产品的芯体组装工装"</f>
        <v>一种用于暖风产品的芯体组装工装</v>
      </c>
      <c r="C59" s="1" t="str">
        <f t="shared" si="29"/>
        <v>实用新型</v>
      </c>
      <c r="D59" s="1" t="str">
        <f t="shared" si="22"/>
        <v>未缴年费专利权终止</v>
      </c>
      <c r="E59" s="1" t="str">
        <f>"CN202121306766.4"</f>
        <v>CN202121306766.4</v>
      </c>
      <c r="F59" s="1" t="str">
        <f t="shared" si="33"/>
        <v>2021-06-11</v>
      </c>
      <c r="G59" s="1" t="str">
        <f>"CN215699482U"</f>
        <v>CN215699482U</v>
      </c>
      <c r="H59" s="1" t="str">
        <f t="shared" si="34"/>
        <v>2022-02-01</v>
      </c>
      <c r="I59" s="1" t="s">
        <v>4724</v>
      </c>
      <c r="J59" s="1" t="str">
        <f t="shared" si="32"/>
        <v>天津亚星世纪实业股份有限公司</v>
      </c>
    </row>
    <row r="60" spans="1:10">
      <c r="A60" s="1" t="str">
        <f t="shared" si="28"/>
        <v>天津亚星世纪实业股份有限公司</v>
      </c>
      <c r="B60" s="1" t="str">
        <f>"适用于散热装置侧板和端板装配的铆接工装"</f>
        <v>适用于散热装置侧板和端板装配的铆接工装</v>
      </c>
      <c r="C60" s="1" t="str">
        <f t="shared" si="29"/>
        <v>实用新型</v>
      </c>
      <c r="D60" s="1" t="str">
        <f t="shared" si="22"/>
        <v>未缴年费专利权终止</v>
      </c>
      <c r="E60" s="1" t="str">
        <f>"CN202121317614.4"</f>
        <v>CN202121317614.4</v>
      </c>
      <c r="F60" s="1" t="str">
        <f t="shared" si="33"/>
        <v>2021-06-11</v>
      </c>
      <c r="G60" s="1" t="str">
        <f>"CN215697421U"</f>
        <v>CN215697421U</v>
      </c>
      <c r="H60" s="1" t="str">
        <f t="shared" si="34"/>
        <v>2022-02-01</v>
      </c>
      <c r="I60" s="1" t="s">
        <v>4727</v>
      </c>
      <c r="J60" s="1" t="str">
        <f t="shared" si="32"/>
        <v>天津亚星世纪实业股份有限公司</v>
      </c>
    </row>
    <row r="61" spans="1:10">
      <c r="A61" s="1" t="str">
        <f t="shared" si="28"/>
        <v>天津亚星世纪实业股份有限公司</v>
      </c>
      <c r="B61" s="1" t="str">
        <f>"一种用于暖风产品的芯体可调组芯工装"</f>
        <v>一种用于暖风产品的芯体可调组芯工装</v>
      </c>
      <c r="C61" s="1" t="str">
        <f t="shared" si="29"/>
        <v>实用新型</v>
      </c>
      <c r="D61" s="1" t="str">
        <f t="shared" si="22"/>
        <v>未缴年费专利权终止</v>
      </c>
      <c r="E61" s="1" t="str">
        <f>"CN202121306272.6"</f>
        <v>CN202121306272.6</v>
      </c>
      <c r="F61" s="1" t="str">
        <f t="shared" si="33"/>
        <v>2021-06-11</v>
      </c>
      <c r="G61" s="1" t="str">
        <f>"CN215701305U"</f>
        <v>CN215701305U</v>
      </c>
      <c r="H61" s="1" t="str">
        <f t="shared" si="34"/>
        <v>2022-02-01</v>
      </c>
      <c r="I61" s="1" t="s">
        <v>4724</v>
      </c>
      <c r="J61" s="1" t="str">
        <f t="shared" si="32"/>
        <v>天津亚星世纪实业股份有限公司</v>
      </c>
    </row>
    <row r="62" spans="1:10">
      <c r="A62" s="1" t="str">
        <f t="shared" si="28"/>
        <v>天津亚星世纪实业股份有限公司</v>
      </c>
      <c r="B62" s="1" t="str">
        <f>"一种耐压型暖风散热器"</f>
        <v>一种耐压型暖风散热器</v>
      </c>
      <c r="C62" s="1" t="str">
        <f t="shared" si="29"/>
        <v>实用新型</v>
      </c>
      <c r="D62" s="1" t="str">
        <f t="shared" si="22"/>
        <v>未缴年费专利权终止</v>
      </c>
      <c r="E62" s="1" t="str">
        <f>"CN202121546375.X"</f>
        <v>CN202121546375.X</v>
      </c>
      <c r="F62" s="1" t="str">
        <f t="shared" si="35"/>
        <v>2021-07-08</v>
      </c>
      <c r="G62" s="1" t="str">
        <f>"CN215719073U"</f>
        <v>CN215719073U</v>
      </c>
      <c r="H62" s="1" t="str">
        <f t="shared" si="34"/>
        <v>2022-02-01</v>
      </c>
      <c r="I62" s="1" t="s">
        <v>4725</v>
      </c>
      <c r="J62" s="1" t="str">
        <f t="shared" si="32"/>
        <v>天津亚星世纪实业股份有限公司</v>
      </c>
    </row>
    <row r="63" spans="1:10">
      <c r="A63" s="1" t="str">
        <f t="shared" si="28"/>
        <v>天津亚星世纪实业股份有限公司</v>
      </c>
      <c r="B63" s="1" t="str">
        <f>"一种外部冷凝器成品检验工装"</f>
        <v>一种外部冷凝器成品检验工装</v>
      </c>
      <c r="C63" s="1" t="str">
        <f t="shared" si="29"/>
        <v>实用新型</v>
      </c>
      <c r="D63" s="1" t="str">
        <f t="shared" si="22"/>
        <v>未缴年费专利权终止</v>
      </c>
      <c r="E63" s="1" t="str">
        <f>"CN202022174413.5"</f>
        <v>CN202022174413.5</v>
      </c>
      <c r="F63" s="1" t="str">
        <f>"2020-09-28"</f>
        <v>2020-09-28</v>
      </c>
      <c r="G63" s="1" t="str">
        <f>"CN213765509U"</f>
        <v>CN213765509U</v>
      </c>
      <c r="H63" s="1" t="str">
        <f>"2021-07-23"</f>
        <v>2021-07-23</v>
      </c>
      <c r="I63" s="1" t="s">
        <v>4728</v>
      </c>
      <c r="J63" s="1" t="str">
        <f t="shared" si="32"/>
        <v>天津亚星世纪实业股份有限公司</v>
      </c>
    </row>
    <row r="64" spans="1:10">
      <c r="A64" s="1" t="str">
        <f t="shared" si="28"/>
        <v>天津亚星世纪实业股份有限公司</v>
      </c>
      <c r="B64" s="1" t="str">
        <f>"端部具有加强结构的暖风芯体散热组件"</f>
        <v>端部具有加强结构的暖风芯体散热组件</v>
      </c>
      <c r="C64" s="1" t="str">
        <f t="shared" si="29"/>
        <v>实用新型</v>
      </c>
      <c r="D64" s="1" t="str">
        <f t="shared" si="22"/>
        <v>未缴年费专利权终止</v>
      </c>
      <c r="E64" s="1" t="str">
        <f>"CN202021310036.7"</f>
        <v>CN202021310036.7</v>
      </c>
      <c r="F64" s="1" t="str">
        <f t="shared" ref="F64:F67" si="36">"2020-07-07"</f>
        <v>2020-07-07</v>
      </c>
      <c r="G64" s="1" t="str">
        <f>"CN213199401U"</f>
        <v>CN213199401U</v>
      </c>
      <c r="H64" s="1" t="str">
        <f>"2021-05-14"</f>
        <v>2021-05-14</v>
      </c>
      <c r="I64" s="1" t="s">
        <v>4729</v>
      </c>
      <c r="J64" s="1" t="str">
        <f t="shared" si="32"/>
        <v>天津亚星世纪实业股份有限公司</v>
      </c>
    </row>
    <row r="65" spans="1:10">
      <c r="A65" s="1" t="str">
        <f t="shared" si="28"/>
        <v>天津亚星世纪实业股份有限公司</v>
      </c>
      <c r="B65" s="1" t="str">
        <f>"一种U型流暖风水室隔板配合结构"</f>
        <v>一种U型流暖风水室隔板配合结构</v>
      </c>
      <c r="C65" s="1" t="str">
        <f t="shared" si="29"/>
        <v>实用新型</v>
      </c>
      <c r="D65" s="1" t="str">
        <f t="shared" si="22"/>
        <v>未缴年费专利权终止</v>
      </c>
      <c r="E65" s="1" t="str">
        <f>"CN202021316136.0"</f>
        <v>CN202021316136.0</v>
      </c>
      <c r="F65" s="1" t="str">
        <f t="shared" si="36"/>
        <v>2020-07-07</v>
      </c>
      <c r="G65" s="1" t="str">
        <f>"CN213138430U"</f>
        <v>CN213138430U</v>
      </c>
      <c r="H65" s="1" t="str">
        <f>"2021-05-07"</f>
        <v>2021-05-07</v>
      </c>
      <c r="I65" s="1" t="s">
        <v>4730</v>
      </c>
      <c r="J65" s="1" t="str">
        <f t="shared" si="32"/>
        <v>天津亚星世纪实业股份有限公司</v>
      </c>
    </row>
    <row r="66" spans="1:10">
      <c r="A66" s="1" t="str">
        <f t="shared" si="28"/>
        <v>天津亚星世纪实业股份有限公司</v>
      </c>
      <c r="B66" s="1" t="str">
        <f>"用于热泵空调系统的室内冷凝器"</f>
        <v>用于热泵空调系统的室内冷凝器</v>
      </c>
      <c r="C66" s="1" t="str">
        <f t="shared" si="29"/>
        <v>实用新型</v>
      </c>
      <c r="D66" s="1" t="str">
        <f t="shared" si="22"/>
        <v>未缴年费专利权终止</v>
      </c>
      <c r="E66" s="1" t="str">
        <f>"CN202021304488.4"</f>
        <v>CN202021304488.4</v>
      </c>
      <c r="F66" s="1" t="str">
        <f t="shared" ref="F66:F70" si="37">"2020-07-06"</f>
        <v>2020-07-06</v>
      </c>
      <c r="G66" s="1" t="str">
        <f>"CN213138429U"</f>
        <v>CN213138429U</v>
      </c>
      <c r="H66" s="1" t="str">
        <f>"2021-05-07"</f>
        <v>2021-05-07</v>
      </c>
      <c r="I66" s="1" t="s">
        <v>4731</v>
      </c>
      <c r="J66" s="1" t="str">
        <f t="shared" si="32"/>
        <v>天津亚星世纪实业股份有限公司</v>
      </c>
    </row>
    <row r="67" spans="1:10">
      <c r="A67" s="1" t="str">
        <f t="shared" si="28"/>
        <v>天津亚星世纪实业股份有限公司</v>
      </c>
      <c r="B67" s="1" t="str">
        <f>"一种端板水室一体化结构"</f>
        <v>一种端板水室一体化结构</v>
      </c>
      <c r="C67" s="1" t="str">
        <f t="shared" si="29"/>
        <v>实用新型</v>
      </c>
      <c r="D67" s="1" t="str">
        <f t="shared" si="22"/>
        <v>未缴年费专利权终止</v>
      </c>
      <c r="E67" s="1" t="str">
        <f>"CN202021309739.8"</f>
        <v>CN202021309739.8</v>
      </c>
      <c r="F67" s="1" t="str">
        <f t="shared" si="36"/>
        <v>2020-07-07</v>
      </c>
      <c r="G67" s="1" t="str">
        <f>"CN213020312U"</f>
        <v>CN213020312U</v>
      </c>
      <c r="H67" s="1" t="str">
        <f t="shared" ref="H67:H69" si="38">"2021-04-20"</f>
        <v>2021-04-20</v>
      </c>
      <c r="I67" s="1" t="s">
        <v>4732</v>
      </c>
      <c r="J67" s="1" t="str">
        <f t="shared" si="32"/>
        <v>天津亚星世纪实业股份有限公司</v>
      </c>
    </row>
    <row r="68" spans="1:10">
      <c r="A68" s="1" t="str">
        <f t="shared" si="28"/>
        <v>天津亚星世纪实业股份有限公司</v>
      </c>
      <c r="B68" s="1" t="str">
        <f>"一种高性能轻量化的前端冷却系统水箱散热器"</f>
        <v>一种高性能轻量化的前端冷却系统水箱散热器</v>
      </c>
      <c r="C68" s="1" t="str">
        <f t="shared" si="29"/>
        <v>实用新型</v>
      </c>
      <c r="D68" s="1" t="str">
        <f t="shared" si="22"/>
        <v>未缴年费专利权终止</v>
      </c>
      <c r="E68" s="1" t="str">
        <f>"CN202021306709.1"</f>
        <v>CN202021306709.1</v>
      </c>
      <c r="F68" s="1" t="str">
        <f t="shared" si="37"/>
        <v>2020-07-06</v>
      </c>
      <c r="G68" s="1" t="str">
        <f>"CN213016527U"</f>
        <v>CN213016527U</v>
      </c>
      <c r="H68" s="1" t="str">
        <f t="shared" si="38"/>
        <v>2021-04-20</v>
      </c>
      <c r="I68" s="1" t="s">
        <v>4733</v>
      </c>
      <c r="J68" s="1" t="str">
        <f t="shared" si="32"/>
        <v>天津亚星世纪实业股份有限公司</v>
      </c>
    </row>
    <row r="69" spans="1:10">
      <c r="A69" s="1" t="str">
        <f t="shared" si="28"/>
        <v>天津亚星世纪实业股份有限公司</v>
      </c>
      <c r="B69" s="1" t="str">
        <f>"暖风支架快速连接组件"</f>
        <v>暖风支架快速连接组件</v>
      </c>
      <c r="C69" s="1" t="str">
        <f t="shared" si="29"/>
        <v>实用新型</v>
      </c>
      <c r="D69" s="1" t="str">
        <f t="shared" si="22"/>
        <v>未缴年费专利权终止</v>
      </c>
      <c r="E69" s="1" t="str">
        <f>"CN202021310480.9"</f>
        <v>CN202021310480.9</v>
      </c>
      <c r="F69" s="1" t="str">
        <f>"2020-07-07"</f>
        <v>2020-07-07</v>
      </c>
      <c r="G69" s="1" t="str">
        <f>"CN213018721U"</f>
        <v>CN213018721U</v>
      </c>
      <c r="H69" s="1" t="str">
        <f t="shared" si="38"/>
        <v>2021-04-20</v>
      </c>
      <c r="I69" s="1" t="s">
        <v>4734</v>
      </c>
      <c r="J69" s="1" t="str">
        <f t="shared" si="32"/>
        <v>天津亚星世纪实业股份有限公司</v>
      </c>
    </row>
    <row r="70" spans="1:10">
      <c r="A70" s="1" t="str">
        <f t="shared" si="28"/>
        <v>天津亚星世纪实业股份有限公司</v>
      </c>
      <c r="B70" s="1" t="str">
        <f>"一种水箱散热器芯体装配中的主片挂模工装"</f>
        <v>一种水箱散热器芯体装配中的主片挂模工装</v>
      </c>
      <c r="C70" s="1" t="str">
        <f t="shared" si="29"/>
        <v>实用新型</v>
      </c>
      <c r="D70" s="1" t="str">
        <f t="shared" si="22"/>
        <v>未缴年费专利权终止</v>
      </c>
      <c r="E70" s="1" t="str">
        <f>"CN202021305770.4"</f>
        <v>CN202021305770.4</v>
      </c>
      <c r="F70" s="1" t="str">
        <f t="shared" si="37"/>
        <v>2020-07-06</v>
      </c>
      <c r="G70" s="1" t="str">
        <f>"CN212919123U"</f>
        <v>CN212919123U</v>
      </c>
      <c r="H70" s="1" t="str">
        <f>"2021-04-09"</f>
        <v>2021-04-09</v>
      </c>
      <c r="I70" s="1" t="s">
        <v>4735</v>
      </c>
      <c r="J70" s="1" t="str">
        <f t="shared" si="32"/>
        <v>天津亚星世纪实业股份有限公司</v>
      </c>
    </row>
    <row r="71" spans="1:10">
      <c r="A71" s="1" t="str">
        <f t="shared" si="28"/>
        <v>天津亚星世纪实业股份有限公司</v>
      </c>
      <c r="B71" s="1" t="str">
        <f>"一种中冷器内带紊流带的高频散热管结构"</f>
        <v>一种中冷器内带紊流带的高频散热管结构</v>
      </c>
      <c r="C71" s="1" t="str">
        <f t="shared" si="29"/>
        <v>实用新型</v>
      </c>
      <c r="D71" s="1" t="str">
        <f t="shared" si="22"/>
        <v>未缴年费专利权终止</v>
      </c>
      <c r="E71" s="1" t="str">
        <f>"CN202021315867.3"</f>
        <v>CN202021315867.3</v>
      </c>
      <c r="F71" s="1" t="str">
        <f>"2020-07-07"</f>
        <v>2020-07-07</v>
      </c>
      <c r="G71" s="1" t="str">
        <f>"CN212838055U"</f>
        <v>CN212838055U</v>
      </c>
      <c r="H71" s="1" t="str">
        <f>"2021-03-30"</f>
        <v>2021-03-30</v>
      </c>
      <c r="I71" s="1" t="s">
        <v>4736</v>
      </c>
      <c r="J71" s="1" t="str">
        <f t="shared" si="32"/>
        <v>天津亚星世纪实业股份有限公司</v>
      </c>
    </row>
    <row r="72" spans="1:10">
      <c r="A72" s="1" t="str">
        <f t="shared" si="28"/>
        <v>天津亚星世纪实业股份有限公司</v>
      </c>
      <c r="B72" s="1" t="str">
        <f>"一种漏光式散热器焊后芯体密封性检查箱"</f>
        <v>一种漏光式散热器焊后芯体密封性检查箱</v>
      </c>
      <c r="C72" s="1" t="str">
        <f t="shared" si="29"/>
        <v>实用新型</v>
      </c>
      <c r="D72" s="1" t="str">
        <f t="shared" si="22"/>
        <v>未缴年费专利权终止</v>
      </c>
      <c r="E72" s="1" t="str">
        <f>"CN202021306487.3"</f>
        <v>CN202021306487.3</v>
      </c>
      <c r="F72" s="1" t="str">
        <f>"2020-07-06"</f>
        <v>2020-07-06</v>
      </c>
      <c r="G72" s="1" t="str">
        <f>"CN212321030U"</f>
        <v>CN212321030U</v>
      </c>
      <c r="H72" s="1" t="str">
        <f>"2021-01-08"</f>
        <v>2021-01-08</v>
      </c>
      <c r="I72" s="1" t="s">
        <v>4737</v>
      </c>
      <c r="J72" s="1" t="str">
        <f t="shared" si="32"/>
        <v>天津亚星世纪实业股份有限公司</v>
      </c>
    </row>
    <row r="73" spans="1:10">
      <c r="A73" s="1" t="str">
        <f t="shared" si="28"/>
        <v>天津亚星世纪实业股份有限公司</v>
      </c>
      <c r="B73" s="1" t="str">
        <f>"一种用于汽车前端的冷却模块总成"</f>
        <v>一种用于汽车前端的冷却模块总成</v>
      </c>
      <c r="C73" s="1" t="str">
        <f t="shared" si="29"/>
        <v>实用新型</v>
      </c>
      <c r="D73" s="1" t="str">
        <f t="shared" si="22"/>
        <v>未缴年费专利权终止</v>
      </c>
      <c r="E73" s="1" t="str">
        <f>"CN201921021990.1"</f>
        <v>CN201921021990.1</v>
      </c>
      <c r="F73" s="1" t="str">
        <f t="shared" ref="F73:F77" si="39">"2019-07-03"</f>
        <v>2019-07-03</v>
      </c>
      <c r="G73" s="1" t="str">
        <f>"CN210454451U"</f>
        <v>CN210454451U</v>
      </c>
      <c r="H73" s="1" t="str">
        <f>"2020-05-05"</f>
        <v>2020-05-05</v>
      </c>
      <c r="I73" s="1" t="str">
        <f>"刘子鑫"</f>
        <v>刘子鑫</v>
      </c>
      <c r="J73" s="1" t="str">
        <f t="shared" si="32"/>
        <v>天津亚星世纪实业股份有限公司</v>
      </c>
    </row>
    <row r="74" spans="1:10">
      <c r="A74" s="1" t="str">
        <f t="shared" si="28"/>
        <v>天津亚星世纪实业股份有限公司</v>
      </c>
      <c r="B74" s="1" t="str">
        <f>"一种自动弹射出料冲压模具"</f>
        <v>一种自动弹射出料冲压模具</v>
      </c>
      <c r="C74" s="1" t="str">
        <f t="shared" si="29"/>
        <v>实用新型</v>
      </c>
      <c r="D74" s="1" t="str">
        <f t="shared" ref="D74:D77" si="40">"授权"</f>
        <v>授权</v>
      </c>
      <c r="E74" s="1" t="str">
        <f>"CN201921023577.9"</f>
        <v>CN201921023577.9</v>
      </c>
      <c r="F74" s="1" t="str">
        <f t="shared" si="39"/>
        <v>2019-07-03</v>
      </c>
      <c r="G74" s="1" t="str">
        <f>"CN210358786U"</f>
        <v>CN210358786U</v>
      </c>
      <c r="H74" s="1" t="str">
        <f>"2020-04-21"</f>
        <v>2020-04-21</v>
      </c>
      <c r="I74" s="1" t="str">
        <f>"刘士伟"</f>
        <v>刘士伟</v>
      </c>
      <c r="J74" s="1" t="str">
        <f t="shared" si="32"/>
        <v>天津亚星世纪实业股份有限公司</v>
      </c>
    </row>
    <row r="75" spans="1:10">
      <c r="A75" s="1" t="str">
        <f t="shared" si="28"/>
        <v>天津亚星世纪实业股份有限公司</v>
      </c>
      <c r="B75" s="1" t="str">
        <f>"一种低油阻油冷器"</f>
        <v>一种低油阻油冷器</v>
      </c>
      <c r="C75" s="1" t="str">
        <f t="shared" si="29"/>
        <v>实用新型</v>
      </c>
      <c r="D75" s="1" t="str">
        <f t="shared" si="40"/>
        <v>授权</v>
      </c>
      <c r="E75" s="1" t="str">
        <f>"CN201921020364.0"</f>
        <v>CN201921020364.0</v>
      </c>
      <c r="F75" s="1" t="str">
        <f>"2019-07-02"</f>
        <v>2019-07-02</v>
      </c>
      <c r="G75" s="1" t="str">
        <f>"CN210240512U"</f>
        <v>CN210240512U</v>
      </c>
      <c r="H75" s="1" t="str">
        <f>"2020-04-03"</f>
        <v>2020-04-03</v>
      </c>
      <c r="I75" s="1" t="str">
        <f>"孟建惠"</f>
        <v>孟建惠</v>
      </c>
      <c r="J75" s="1" t="str">
        <f t="shared" si="32"/>
        <v>天津亚星世纪实业股份有限公司</v>
      </c>
    </row>
    <row r="76" spans="1:10">
      <c r="A76" s="1" t="str">
        <f t="shared" si="28"/>
        <v>天津亚星世纪实业股份有限公司</v>
      </c>
      <c r="B76" s="1" t="str">
        <f>"一种散热器水室的压装防错工装"</f>
        <v>一种散热器水室的压装防错工装</v>
      </c>
      <c r="C76" s="1" t="str">
        <f t="shared" si="29"/>
        <v>实用新型</v>
      </c>
      <c r="D76" s="1" t="str">
        <f t="shared" si="40"/>
        <v>授权</v>
      </c>
      <c r="E76" s="1" t="str">
        <f>"CN201920976315.8"</f>
        <v>CN201920976315.8</v>
      </c>
      <c r="F76" s="1" t="str">
        <f>"2019-06-25"</f>
        <v>2019-06-25</v>
      </c>
      <c r="G76" s="1" t="str">
        <f>"CN210209319U"</f>
        <v>CN210209319U</v>
      </c>
      <c r="H76" s="1" t="str">
        <f>"2020-03-31"</f>
        <v>2020-03-31</v>
      </c>
      <c r="I76" s="1" t="str">
        <f>"邓宏"</f>
        <v>邓宏</v>
      </c>
      <c r="J76" s="1" t="str">
        <f t="shared" si="32"/>
        <v>天津亚星世纪实业股份有限公司</v>
      </c>
    </row>
    <row r="77" spans="1:10">
      <c r="A77" s="1" t="str">
        <f t="shared" si="28"/>
        <v>天津亚星世纪实业股份有限公司</v>
      </c>
      <c r="B77" s="1" t="str">
        <f>"一种分水架"</f>
        <v>一种分水架</v>
      </c>
      <c r="C77" s="1" t="str">
        <f t="shared" si="29"/>
        <v>实用新型</v>
      </c>
      <c r="D77" s="1" t="str">
        <f t="shared" si="40"/>
        <v>授权</v>
      </c>
      <c r="E77" s="1" t="str">
        <f>"CN201921033158.3"</f>
        <v>CN201921033158.3</v>
      </c>
      <c r="F77" s="1" t="str">
        <f t="shared" si="39"/>
        <v>2019-07-03</v>
      </c>
      <c r="G77" s="1" t="str">
        <f>"CN210180254U"</f>
        <v>CN210180254U</v>
      </c>
      <c r="H77" s="1" t="str">
        <f t="shared" ref="H77:H79" si="41">"2020-03-24"</f>
        <v>2020-03-24</v>
      </c>
      <c r="I77" s="1" t="str">
        <f>"宛利军"</f>
        <v>宛利军</v>
      </c>
      <c r="J77" s="1" t="str">
        <f t="shared" si="32"/>
        <v>天津亚星世纪实业股份有限公司</v>
      </c>
    </row>
    <row r="78" spans="1:10">
      <c r="A78" s="1" t="str">
        <f t="shared" si="28"/>
        <v>天津亚星世纪实业股份有限公司</v>
      </c>
      <c r="B78" s="1" t="str">
        <f>"一种通用水管密封装置"</f>
        <v>一种通用水管密封装置</v>
      </c>
      <c r="C78" s="1" t="str">
        <f t="shared" si="29"/>
        <v>实用新型</v>
      </c>
      <c r="D78" s="1" t="str">
        <f t="shared" ref="D78:D90" si="42">"未缴年费专利权终止"</f>
        <v>未缴年费专利权终止</v>
      </c>
      <c r="E78" s="1" t="str">
        <f>"CN201920980246.8"</f>
        <v>CN201920980246.8</v>
      </c>
      <c r="F78" s="1" t="str">
        <f>"2019-06-25"</f>
        <v>2019-06-25</v>
      </c>
      <c r="G78" s="1" t="str">
        <f>"CN210178913U"</f>
        <v>CN210178913U</v>
      </c>
      <c r="H78" s="1" t="str">
        <f t="shared" si="41"/>
        <v>2020-03-24</v>
      </c>
      <c r="I78" s="1" t="str">
        <f>"赵桂彬"</f>
        <v>赵桂彬</v>
      </c>
      <c r="J78" s="1" t="str">
        <f t="shared" si="32"/>
        <v>天津亚星世纪实业股份有限公司</v>
      </c>
    </row>
    <row r="79" spans="1:10">
      <c r="A79" s="1" t="str">
        <f t="shared" si="28"/>
        <v>天津亚星世纪实业股份有限公司</v>
      </c>
      <c r="B79" s="1" t="str">
        <f>"一种平行流式汽车暖风散热器"</f>
        <v>一种平行流式汽车暖风散热器</v>
      </c>
      <c r="C79" s="1" t="str">
        <f t="shared" si="29"/>
        <v>实用新型</v>
      </c>
      <c r="D79" s="1" t="str">
        <f>"授权"</f>
        <v>授权</v>
      </c>
      <c r="E79" s="1" t="str">
        <f>"CN201921006502.X"</f>
        <v>CN201921006502.X</v>
      </c>
      <c r="F79" s="1" t="str">
        <f>"2019-06-29"</f>
        <v>2019-06-29</v>
      </c>
      <c r="G79" s="1" t="str">
        <f>"CN210180219U"</f>
        <v>CN210180219U</v>
      </c>
      <c r="H79" s="1" t="str">
        <f t="shared" si="41"/>
        <v>2020-03-24</v>
      </c>
      <c r="I79" s="1" t="s">
        <v>4738</v>
      </c>
      <c r="J79" s="1" t="str">
        <f t="shared" si="32"/>
        <v>天津亚星世纪实业股份有限公司</v>
      </c>
    </row>
    <row r="80" spans="1:10">
      <c r="A80" s="1" t="str">
        <f t="shared" si="28"/>
        <v>天津亚星世纪实业股份有限公司</v>
      </c>
      <c r="B80" s="1" t="str">
        <f>"一种密封性检测工装"</f>
        <v>一种密封性检测工装</v>
      </c>
      <c r="C80" s="1" t="str">
        <f t="shared" si="29"/>
        <v>实用新型</v>
      </c>
      <c r="D80" s="1" t="str">
        <f t="shared" si="42"/>
        <v>未缴年费专利权终止</v>
      </c>
      <c r="E80" s="1" t="str">
        <f>"CN201921017766.5"</f>
        <v>CN201921017766.5</v>
      </c>
      <c r="F80" s="1" t="str">
        <f>"2019-07-02"</f>
        <v>2019-07-02</v>
      </c>
      <c r="G80" s="1" t="str">
        <f>"CN209894431U"</f>
        <v>CN209894431U</v>
      </c>
      <c r="H80" s="1" t="str">
        <f>"2020-01-03"</f>
        <v>2020-01-03</v>
      </c>
      <c r="I80" s="1" t="str">
        <f>"邢金鹏"</f>
        <v>邢金鹏</v>
      </c>
      <c r="J80" s="1" t="str">
        <f t="shared" si="32"/>
        <v>天津亚星世纪实业股份有限公司</v>
      </c>
    </row>
    <row r="81" spans="1:10">
      <c r="A81" s="1" t="str">
        <f t="shared" si="28"/>
        <v>天津亚星世纪实业股份有限公司</v>
      </c>
      <c r="B81" s="1" t="str">
        <f>"一种平行流式汽车暖风散热器"</f>
        <v>一种平行流式汽车暖风散热器</v>
      </c>
      <c r="C81" s="1" t="str">
        <f>"发明公布"</f>
        <v>发明公布</v>
      </c>
      <c r="D81" s="1" t="str">
        <f>"公布驳回"</f>
        <v>公布驳回</v>
      </c>
      <c r="E81" s="1" t="str">
        <f>"CN201910582718.9"</f>
        <v>CN201910582718.9</v>
      </c>
      <c r="F81" s="1" t="str">
        <f>"2019-06-29"</f>
        <v>2019-06-29</v>
      </c>
      <c r="G81" s="1" t="str">
        <f>"CN110186296A"</f>
        <v>CN110186296A</v>
      </c>
      <c r="H81" s="1" t="str">
        <f>"2019-08-30"</f>
        <v>2019-08-30</v>
      </c>
      <c r="I81" s="1" t="s">
        <v>4738</v>
      </c>
      <c r="J81" s="1" t="str">
        <f t="shared" si="32"/>
        <v>天津亚星世纪实业股份有限公司</v>
      </c>
    </row>
    <row r="82" spans="1:10">
      <c r="A82" s="1" t="str">
        <f t="shared" si="28"/>
        <v>天津亚星世纪实业股份有限公司</v>
      </c>
      <c r="B82" s="1" t="str">
        <f>"一种自动弹射出料冲压模具"</f>
        <v>一种自动弹射出料冲压模具</v>
      </c>
      <c r="C82" s="1" t="str">
        <f>"发明公布"</f>
        <v>发明公布</v>
      </c>
      <c r="D82" s="1" t="str">
        <f>"公布"</f>
        <v>公布</v>
      </c>
      <c r="E82" s="1" t="str">
        <f>"CN201910592987.3"</f>
        <v>CN201910592987.3</v>
      </c>
      <c r="F82" s="1" t="str">
        <f>"2019-07-03"</f>
        <v>2019-07-03</v>
      </c>
      <c r="G82" s="1" t="str">
        <f>"CN110170568A"</f>
        <v>CN110170568A</v>
      </c>
      <c r="H82" s="1" t="str">
        <f>"2019-08-27"</f>
        <v>2019-08-27</v>
      </c>
      <c r="I82" s="1" t="str">
        <f>"刘士伟"</f>
        <v>刘士伟</v>
      </c>
      <c r="J82" s="1" t="str">
        <f t="shared" si="32"/>
        <v>天津亚星世纪实业股份有限公司</v>
      </c>
    </row>
    <row r="83" spans="1:10">
      <c r="A83" s="1" t="str">
        <f t="shared" si="28"/>
        <v>天津亚星世纪实业股份有限公司</v>
      </c>
      <c r="B83" s="1" t="str">
        <f>"一种汽车散热器用横式高效压装装置"</f>
        <v>一种汽车散热器用横式高效压装装置</v>
      </c>
      <c r="C83" s="1" t="str">
        <f t="shared" ref="C83:C90" si="43">"实用新型"</f>
        <v>实用新型</v>
      </c>
      <c r="D83" s="1" t="str">
        <f t="shared" si="42"/>
        <v>未缴年费专利权终止</v>
      </c>
      <c r="E83" s="1" t="str">
        <f>"CN201821075440.3"</f>
        <v>CN201821075440.3</v>
      </c>
      <c r="F83" s="1" t="str">
        <f>"2018-07-09"</f>
        <v>2018-07-09</v>
      </c>
      <c r="G83" s="1" t="str">
        <f>"CN208601012U"</f>
        <v>CN208601012U</v>
      </c>
      <c r="H83" s="1" t="str">
        <f t="shared" ref="H83:H88" si="44">"2019-03-15"</f>
        <v>2019-03-15</v>
      </c>
      <c r="I83" s="1" t="s">
        <v>4727</v>
      </c>
      <c r="J83" s="1" t="str">
        <f t="shared" si="32"/>
        <v>天津亚星世纪实业股份有限公司</v>
      </c>
    </row>
    <row r="84" spans="1:10">
      <c r="A84" s="1" t="str">
        <f t="shared" si="28"/>
        <v>天津亚星世纪实业股份有限公司</v>
      </c>
      <c r="B84" s="1" t="str">
        <f>"一种汽车散热器水箱组芯通用捆丝工装"</f>
        <v>一种汽车散热器水箱组芯通用捆丝工装</v>
      </c>
      <c r="C84" s="1" t="str">
        <f t="shared" si="43"/>
        <v>实用新型</v>
      </c>
      <c r="D84" s="1" t="str">
        <f t="shared" si="42"/>
        <v>未缴年费专利权终止</v>
      </c>
      <c r="E84" s="1" t="str">
        <f>"CN201821116530.2"</f>
        <v>CN201821116530.2</v>
      </c>
      <c r="F84" s="1" t="str">
        <f t="shared" ref="F84:F87" si="45">"2018-07-16"</f>
        <v>2018-07-16</v>
      </c>
      <c r="G84" s="1" t="str">
        <f>"CN208601414U"</f>
        <v>CN208601414U</v>
      </c>
      <c r="H84" s="1" t="str">
        <f t="shared" si="44"/>
        <v>2019-03-15</v>
      </c>
      <c r="I84" s="1" t="s">
        <v>4737</v>
      </c>
      <c r="J84" s="1" t="str">
        <f t="shared" si="32"/>
        <v>天津亚星世纪实业股份有限公司</v>
      </c>
    </row>
    <row r="85" spans="1:10">
      <c r="A85" s="1" t="str">
        <f t="shared" si="28"/>
        <v>天津亚星世纪实业股份有限公司</v>
      </c>
      <c r="B85" s="1" t="str">
        <f>"一种可调式汽车散热器水室胀紧铆接装置"</f>
        <v>一种可调式汽车散热器水室胀紧铆接装置</v>
      </c>
      <c r="C85" s="1" t="str">
        <f t="shared" si="43"/>
        <v>实用新型</v>
      </c>
      <c r="D85" s="1" t="str">
        <f t="shared" si="42"/>
        <v>未缴年费专利权终止</v>
      </c>
      <c r="E85" s="1" t="str">
        <f>"CN201821083010.6"</f>
        <v>CN201821083010.6</v>
      </c>
      <c r="F85" s="1" t="str">
        <f>"2018-07-10"</f>
        <v>2018-07-10</v>
      </c>
      <c r="G85" s="1" t="str">
        <f>"CN208600603U"</f>
        <v>CN208600603U</v>
      </c>
      <c r="H85" s="1" t="str">
        <f t="shared" si="44"/>
        <v>2019-03-15</v>
      </c>
      <c r="I85" s="1" t="s">
        <v>4739</v>
      </c>
      <c r="J85" s="1" t="str">
        <f t="shared" si="32"/>
        <v>天津亚星世纪实业股份有限公司</v>
      </c>
    </row>
    <row r="86" spans="1:10">
      <c r="A86" s="1" t="str">
        <f t="shared" si="28"/>
        <v>天津亚星世纪实业股份有限公司</v>
      </c>
      <c r="B86" s="1" t="str">
        <f>"一种新型管式油冷器"</f>
        <v>一种新型管式油冷器</v>
      </c>
      <c r="C86" s="1" t="str">
        <f t="shared" si="43"/>
        <v>实用新型</v>
      </c>
      <c r="D86" s="1" t="str">
        <f t="shared" si="42"/>
        <v>未缴年费专利权终止</v>
      </c>
      <c r="E86" s="1" t="str">
        <f>"CN201821117039.1"</f>
        <v>CN201821117039.1</v>
      </c>
      <c r="F86" s="1" t="str">
        <f t="shared" si="45"/>
        <v>2018-07-16</v>
      </c>
      <c r="G86" s="1" t="str">
        <f>"CN208606615U"</f>
        <v>CN208606615U</v>
      </c>
      <c r="H86" s="1" t="str">
        <f t="shared" si="44"/>
        <v>2019-03-15</v>
      </c>
      <c r="I86" s="1" t="s">
        <v>4740</v>
      </c>
      <c r="J86" s="1" t="str">
        <f t="shared" si="32"/>
        <v>天津亚星世纪实业股份有限公司</v>
      </c>
    </row>
    <row r="87" spans="1:10">
      <c r="A87" s="1" t="str">
        <f t="shared" si="28"/>
        <v>天津亚星世纪实业股份有限公司</v>
      </c>
      <c r="B87" s="1" t="str">
        <f>"一种具有新型管接头定位结构的暖风散热器"</f>
        <v>一种具有新型管接头定位结构的暖风散热器</v>
      </c>
      <c r="C87" s="1" t="str">
        <f t="shared" si="43"/>
        <v>实用新型</v>
      </c>
      <c r="D87" s="1" t="str">
        <f t="shared" si="42"/>
        <v>未缴年费专利权终止</v>
      </c>
      <c r="E87" s="1" t="str">
        <f>"CN201821116702.6"</f>
        <v>CN201821116702.6</v>
      </c>
      <c r="F87" s="1" t="str">
        <f t="shared" si="45"/>
        <v>2018-07-16</v>
      </c>
      <c r="G87" s="1" t="str">
        <f>"CN208606612U"</f>
        <v>CN208606612U</v>
      </c>
      <c r="H87" s="1" t="str">
        <f t="shared" si="44"/>
        <v>2019-03-15</v>
      </c>
      <c r="I87" s="1" t="s">
        <v>4741</v>
      </c>
      <c r="J87" s="1" t="str">
        <f t="shared" si="32"/>
        <v>天津亚星世纪实业股份有限公司</v>
      </c>
    </row>
    <row r="88" spans="1:10">
      <c r="A88" s="1" t="str">
        <f t="shared" si="28"/>
        <v>天津亚星世纪实业股份有限公司</v>
      </c>
      <c r="B88" s="1" t="str">
        <f>"一种汽车暖风散热器气密性自动检测工装"</f>
        <v>一种汽车暖风散热器气密性自动检测工装</v>
      </c>
      <c r="C88" s="1" t="str">
        <f t="shared" si="43"/>
        <v>实用新型</v>
      </c>
      <c r="D88" s="1" t="str">
        <f t="shared" si="42"/>
        <v>未缴年费专利权终止</v>
      </c>
      <c r="E88" s="1" t="str">
        <f>"CN201821038444.4"</f>
        <v>CN201821038444.4</v>
      </c>
      <c r="F88" s="1" t="str">
        <f>"2018-07-03"</f>
        <v>2018-07-03</v>
      </c>
      <c r="G88" s="1" t="str">
        <f>"CN208606971U"</f>
        <v>CN208606971U</v>
      </c>
      <c r="H88" s="1" t="str">
        <f t="shared" si="44"/>
        <v>2019-03-15</v>
      </c>
      <c r="I88" s="1" t="s">
        <v>4742</v>
      </c>
      <c r="J88" s="1" t="str">
        <f t="shared" si="32"/>
        <v>天津亚星世纪实业股份有限公司</v>
      </c>
    </row>
    <row r="89" spans="1:10">
      <c r="A89" s="1" t="str">
        <f t="shared" si="28"/>
        <v>天津亚星世纪实业股份有限公司</v>
      </c>
      <c r="B89" s="1" t="str">
        <f>"一种横流式暖风散热器连接板高效铆接装置"</f>
        <v>一种横流式暖风散热器连接板高效铆接装置</v>
      </c>
      <c r="C89" s="1" t="str">
        <f t="shared" si="43"/>
        <v>实用新型</v>
      </c>
      <c r="D89" s="1" t="str">
        <f t="shared" si="42"/>
        <v>未缴年费专利权终止</v>
      </c>
      <c r="E89" s="1" t="str">
        <f>"CN201821116472.3"</f>
        <v>CN201821116472.3</v>
      </c>
      <c r="F89" s="1" t="str">
        <f>"2018-07-16"</f>
        <v>2018-07-16</v>
      </c>
      <c r="G89" s="1" t="str">
        <f>"CN208408358U"</f>
        <v>CN208408358U</v>
      </c>
      <c r="H89" s="1" t="str">
        <f>"2019-01-22"</f>
        <v>2019-01-22</v>
      </c>
      <c r="I89" s="1" t="s">
        <v>4743</v>
      </c>
      <c r="J89" s="1" t="str">
        <f t="shared" si="32"/>
        <v>天津亚星世纪实业股份有限公司</v>
      </c>
    </row>
    <row r="90" spans="1:10">
      <c r="A90" s="1" t="str">
        <f t="shared" si="28"/>
        <v>天津亚星世纪实业股份有限公司</v>
      </c>
      <c r="B90" s="1" t="str">
        <f>"一种横流式汽车暖风散热器"</f>
        <v>一种横流式汽车暖风散热器</v>
      </c>
      <c r="C90" s="1" t="str">
        <f t="shared" si="43"/>
        <v>实用新型</v>
      </c>
      <c r="D90" s="1" t="str">
        <f t="shared" si="42"/>
        <v>未缴年费专利权终止</v>
      </c>
      <c r="E90" s="1" t="str">
        <f>"CN201821133400.X"</f>
        <v>CN201821133400.X</v>
      </c>
      <c r="F90" s="1" t="str">
        <f>"2018-07-16"</f>
        <v>2018-07-16</v>
      </c>
      <c r="G90" s="1" t="str">
        <f>"CN208416681U"</f>
        <v>CN208416681U</v>
      </c>
      <c r="H90" s="1" t="str">
        <f>"2019-01-22"</f>
        <v>2019-01-22</v>
      </c>
      <c r="I90" s="1" t="s">
        <v>4744</v>
      </c>
      <c r="J90" s="1" t="str">
        <f t="shared" si="32"/>
        <v>天津亚星世纪实业股份有限公司</v>
      </c>
    </row>
    <row r="91" spans="1:10">
      <c r="A91" s="1" t="str">
        <f t="shared" si="28"/>
        <v>天津亚星世纪实业股份有限公司</v>
      </c>
      <c r="B91" s="1" t="str">
        <f>"汽车散热器用横式高效压装机"</f>
        <v>汽车散热器用横式高效压装机</v>
      </c>
      <c r="C91" s="1" t="str">
        <f t="shared" ref="C91:C93" si="46">"发明公布"</f>
        <v>发明公布</v>
      </c>
      <c r="D91" s="1" t="str">
        <f t="shared" ref="D91:D93" si="47">"公布视为撤回"</f>
        <v>公布视为撤回</v>
      </c>
      <c r="E91" s="1" t="str">
        <f>"CN201810742570.6"</f>
        <v>CN201810742570.6</v>
      </c>
      <c r="F91" s="1" t="str">
        <f>"2018-07-09"</f>
        <v>2018-07-09</v>
      </c>
      <c r="G91" s="1" t="str">
        <f>"CN108857390A"</f>
        <v>CN108857390A</v>
      </c>
      <c r="H91" s="1" t="str">
        <f>"2018-11-23"</f>
        <v>2018-11-23</v>
      </c>
      <c r="I91" s="1" t="s">
        <v>4727</v>
      </c>
      <c r="J91" s="1" t="str">
        <f t="shared" si="32"/>
        <v>天津亚星世纪实业股份有限公司</v>
      </c>
    </row>
    <row r="92" spans="1:10">
      <c r="A92" s="1" t="str">
        <f t="shared" si="28"/>
        <v>天津亚星世纪实业股份有限公司</v>
      </c>
      <c r="B92" s="1" t="str">
        <f>"汽车暖风散热器气密性自动检测装置"</f>
        <v>汽车暖风散热器气密性自动检测装置</v>
      </c>
      <c r="C92" s="1" t="str">
        <f t="shared" si="46"/>
        <v>发明公布</v>
      </c>
      <c r="D92" s="1" t="str">
        <f t="shared" si="47"/>
        <v>公布视为撤回</v>
      </c>
      <c r="E92" s="1" t="str">
        <f>"CN201810712110.9"</f>
        <v>CN201810712110.9</v>
      </c>
      <c r="F92" s="1" t="str">
        <f>"2018-07-03"</f>
        <v>2018-07-03</v>
      </c>
      <c r="G92" s="1" t="str">
        <f>"CN108680320A"</f>
        <v>CN108680320A</v>
      </c>
      <c r="H92" s="1" t="str">
        <f>"2018-10-19"</f>
        <v>2018-10-19</v>
      </c>
      <c r="I92" s="1" t="s">
        <v>4742</v>
      </c>
      <c r="J92" s="1" t="str">
        <f t="shared" si="32"/>
        <v>天津亚星世纪实业股份有限公司</v>
      </c>
    </row>
    <row r="93" spans="1:10">
      <c r="A93" s="1" t="str">
        <f t="shared" si="28"/>
        <v>天津亚星世纪实业股份有限公司</v>
      </c>
      <c r="B93" s="1" t="str">
        <f>"可调式汽车散热器水室胀紧铆接装置"</f>
        <v>可调式汽车散热器水室胀紧铆接装置</v>
      </c>
      <c r="C93" s="1" t="str">
        <f t="shared" si="46"/>
        <v>发明公布</v>
      </c>
      <c r="D93" s="1" t="str">
        <f t="shared" si="47"/>
        <v>公布视为撤回</v>
      </c>
      <c r="E93" s="1" t="str">
        <f>"CN201810748367.X"</f>
        <v>CN201810748367.X</v>
      </c>
      <c r="F93" s="1" t="str">
        <f>"2018-07-10"</f>
        <v>2018-07-10</v>
      </c>
      <c r="G93" s="1" t="str">
        <f>"CN108655282A"</f>
        <v>CN108655282A</v>
      </c>
      <c r="H93" s="1" t="str">
        <f>"2018-10-16"</f>
        <v>2018-10-16</v>
      </c>
      <c r="I93" s="1" t="s">
        <v>4739</v>
      </c>
      <c r="J93" s="1" t="str">
        <f t="shared" si="32"/>
        <v>天津亚星世纪实业股份有限公司</v>
      </c>
    </row>
    <row r="94" spans="1:10">
      <c r="A94" s="1" t="str">
        <f t="shared" si="28"/>
        <v>天津亚星世纪实业股份有限公司</v>
      </c>
      <c r="B94" s="1" t="str">
        <f>"一种具有分体水室口结构的平流暖风散热器"</f>
        <v>一种具有分体水室口结构的平流暖风散热器</v>
      </c>
      <c r="C94" s="1" t="str">
        <f t="shared" ref="C94:C103" si="48">"实用新型"</f>
        <v>实用新型</v>
      </c>
      <c r="D94" s="1" t="str">
        <f t="shared" ref="D94:D103" si="49">"未缴年费专利权终止"</f>
        <v>未缴年费专利权终止</v>
      </c>
      <c r="E94" s="1" t="str">
        <f>"CN201721105793.9"</f>
        <v>CN201721105793.9</v>
      </c>
      <c r="F94" s="1" t="str">
        <f t="shared" ref="F94:F101" si="50">"2017-08-31"</f>
        <v>2017-08-31</v>
      </c>
      <c r="G94" s="1" t="str">
        <f>"CN207365747U"</f>
        <v>CN207365747U</v>
      </c>
      <c r="H94" s="1" t="str">
        <f t="shared" ref="H94:H97" si="51">"2018-05-15"</f>
        <v>2018-05-15</v>
      </c>
      <c r="I94" s="1" t="s">
        <v>4745</v>
      </c>
      <c r="J94" s="1" t="str">
        <f t="shared" si="32"/>
        <v>天津亚星世纪实业股份有限公司</v>
      </c>
    </row>
    <row r="95" spans="1:10">
      <c r="A95" s="1" t="str">
        <f t="shared" si="28"/>
        <v>天津亚星世纪实业股份有限公司</v>
      </c>
      <c r="B95" s="1" t="str">
        <f>"一种具有稳定管接头安装结构的暖风散热器"</f>
        <v>一种具有稳定管接头安装结构的暖风散热器</v>
      </c>
      <c r="C95" s="1" t="str">
        <f t="shared" si="48"/>
        <v>实用新型</v>
      </c>
      <c r="D95" s="1" t="str">
        <f t="shared" si="49"/>
        <v>未缴年费专利权终止</v>
      </c>
      <c r="E95" s="1" t="str">
        <f>"CN201721105795.8"</f>
        <v>CN201721105795.8</v>
      </c>
      <c r="F95" s="1" t="str">
        <f t="shared" si="50"/>
        <v>2017-08-31</v>
      </c>
      <c r="G95" s="1" t="str">
        <f>"CN207365748U"</f>
        <v>CN207365748U</v>
      </c>
      <c r="H95" s="1" t="str">
        <f t="shared" si="51"/>
        <v>2018-05-15</v>
      </c>
      <c r="I95" s="1" t="s">
        <v>4745</v>
      </c>
      <c r="J95" s="1" t="str">
        <f t="shared" si="32"/>
        <v>天津亚星世纪实业股份有限公司</v>
      </c>
    </row>
    <row r="96" spans="1:10">
      <c r="A96" s="1" t="str">
        <f t="shared" si="28"/>
        <v>天津亚星世纪实业股份有限公司</v>
      </c>
      <c r="B96" s="1" t="str">
        <f>"一种具有新型水室配合安装结构的暖风散热器"</f>
        <v>一种具有新型水室配合安装结构的暖风散热器</v>
      </c>
      <c r="C96" s="1" t="str">
        <f t="shared" si="48"/>
        <v>实用新型</v>
      </c>
      <c r="D96" s="1" t="str">
        <f t="shared" si="49"/>
        <v>未缴年费专利权终止</v>
      </c>
      <c r="E96" s="1" t="str">
        <f>"CN201721106712.7"</f>
        <v>CN201721106712.7</v>
      </c>
      <c r="F96" s="1" t="str">
        <f t="shared" si="50"/>
        <v>2017-08-31</v>
      </c>
      <c r="G96" s="1" t="str">
        <f>"CN207365774U"</f>
        <v>CN207365774U</v>
      </c>
      <c r="H96" s="1" t="str">
        <f t="shared" si="51"/>
        <v>2018-05-15</v>
      </c>
      <c r="I96" s="1" t="s">
        <v>4745</v>
      </c>
      <c r="J96" s="1" t="str">
        <f t="shared" si="32"/>
        <v>天津亚星世纪实业股份有限公司</v>
      </c>
    </row>
    <row r="97" spans="1:10">
      <c r="A97" s="1" t="str">
        <f t="shared" si="28"/>
        <v>天津亚星世纪实业股份有限公司</v>
      </c>
      <c r="B97" s="1" t="str">
        <f>"一种暖风散热器管口活接装置"</f>
        <v>一种暖风散热器管口活接装置</v>
      </c>
      <c r="C97" s="1" t="str">
        <f t="shared" si="48"/>
        <v>实用新型</v>
      </c>
      <c r="D97" s="1" t="str">
        <f t="shared" si="49"/>
        <v>未缴年费专利权终止</v>
      </c>
      <c r="E97" s="1" t="str">
        <f>"CN201721106150.6"</f>
        <v>CN201721106150.6</v>
      </c>
      <c r="F97" s="1" t="str">
        <f t="shared" si="50"/>
        <v>2017-08-31</v>
      </c>
      <c r="G97" s="1" t="str">
        <f>"CN207358970U"</f>
        <v>CN207358970U</v>
      </c>
      <c r="H97" s="1" t="str">
        <f t="shared" si="51"/>
        <v>2018-05-15</v>
      </c>
      <c r="I97" s="1" t="s">
        <v>4746</v>
      </c>
      <c r="J97" s="1" t="str">
        <f t="shared" si="32"/>
        <v>天津亚星世纪实业股份有限公司</v>
      </c>
    </row>
    <row r="98" spans="1:10">
      <c r="A98" s="1" t="str">
        <f t="shared" si="28"/>
        <v>天津亚星世纪实业股份有限公司</v>
      </c>
      <c r="B98" s="1" t="str">
        <f>"一种具有加强型水室管座配合结构的暖风散热器"</f>
        <v>一种具有加强型水室管座配合结构的暖风散热器</v>
      </c>
      <c r="C98" s="1" t="str">
        <f t="shared" si="48"/>
        <v>实用新型</v>
      </c>
      <c r="D98" s="1" t="str">
        <f t="shared" si="49"/>
        <v>未缴年费专利权终止</v>
      </c>
      <c r="E98" s="1" t="str">
        <f>"CN201721105808.1"</f>
        <v>CN201721105808.1</v>
      </c>
      <c r="F98" s="1" t="str">
        <f t="shared" si="50"/>
        <v>2017-08-31</v>
      </c>
      <c r="G98" s="1" t="str">
        <f>"CN207147273U"</f>
        <v>CN207147273U</v>
      </c>
      <c r="H98" s="1" t="str">
        <f t="shared" ref="H98:H103" si="52">"2018-03-27"</f>
        <v>2018-03-27</v>
      </c>
      <c r="I98" s="1" t="s">
        <v>4744</v>
      </c>
      <c r="J98" s="1" t="str">
        <f t="shared" si="32"/>
        <v>天津亚星世纪实业股份有限公司</v>
      </c>
    </row>
    <row r="99" spans="1:10">
      <c r="A99" s="1" t="str">
        <f t="shared" si="28"/>
        <v>天津亚星世纪实业股份有限公司</v>
      </c>
      <c r="B99" s="1" t="str">
        <f>"一种汽车散热器用竖式高效铆合机"</f>
        <v>一种汽车散热器用竖式高效铆合机</v>
      </c>
      <c r="C99" s="1" t="str">
        <f t="shared" si="48"/>
        <v>实用新型</v>
      </c>
      <c r="D99" s="1" t="str">
        <f t="shared" si="49"/>
        <v>未缴年费专利权终止</v>
      </c>
      <c r="E99" s="1" t="str">
        <f>"CN201721106592.0"</f>
        <v>CN201721106592.0</v>
      </c>
      <c r="F99" s="1" t="str">
        <f t="shared" si="50"/>
        <v>2017-08-31</v>
      </c>
      <c r="G99" s="1" t="str">
        <f>"CN207138675U"</f>
        <v>CN207138675U</v>
      </c>
      <c r="H99" s="1" t="str">
        <f t="shared" si="52"/>
        <v>2018-03-27</v>
      </c>
      <c r="I99" s="1" t="s">
        <v>4727</v>
      </c>
      <c r="J99" s="1" t="str">
        <f t="shared" si="32"/>
        <v>天津亚星世纪实业股份有限公司</v>
      </c>
    </row>
    <row r="100" spans="1:10">
      <c r="A100" s="1" t="str">
        <f t="shared" si="28"/>
        <v>天津亚星世纪实业股份有限公司</v>
      </c>
      <c r="B100" s="1" t="str">
        <f>"一种汽车散热器堵帽快速压装装置"</f>
        <v>一种汽车散热器堵帽快速压装装置</v>
      </c>
      <c r="C100" s="1" t="str">
        <f t="shared" si="48"/>
        <v>实用新型</v>
      </c>
      <c r="D100" s="1" t="str">
        <f t="shared" si="49"/>
        <v>未缴年费专利权终止</v>
      </c>
      <c r="E100" s="1" t="str">
        <f>"CN201721106591.6"</f>
        <v>CN201721106591.6</v>
      </c>
      <c r="F100" s="1" t="str">
        <f t="shared" si="50"/>
        <v>2017-08-31</v>
      </c>
      <c r="G100" s="1" t="str">
        <f>"CN207145054U"</f>
        <v>CN207145054U</v>
      </c>
      <c r="H100" s="1" t="str">
        <f t="shared" si="52"/>
        <v>2018-03-27</v>
      </c>
      <c r="I100" s="1" t="s">
        <v>4747</v>
      </c>
      <c r="J100" s="1" t="str">
        <f t="shared" si="32"/>
        <v>天津亚星世纪实业股份有限公司</v>
      </c>
    </row>
    <row r="101" spans="1:10">
      <c r="A101" s="1" t="str">
        <f t="shared" si="28"/>
        <v>天津亚星世纪实业股份有限公司</v>
      </c>
      <c r="B101" s="1" t="str">
        <f>"一种可调式汽车散热器铆合工装"</f>
        <v>一种可调式汽车散热器铆合工装</v>
      </c>
      <c r="C101" s="1" t="str">
        <f t="shared" si="48"/>
        <v>实用新型</v>
      </c>
      <c r="D101" s="1" t="str">
        <f t="shared" si="49"/>
        <v>未缴年费专利权终止</v>
      </c>
      <c r="E101" s="1" t="str">
        <f>"CN201721115354.6"</f>
        <v>CN201721115354.6</v>
      </c>
      <c r="F101" s="1" t="str">
        <f t="shared" si="50"/>
        <v>2017-08-31</v>
      </c>
      <c r="G101" s="1" t="str">
        <f>"CN207138763U"</f>
        <v>CN207138763U</v>
      </c>
      <c r="H101" s="1" t="str">
        <f t="shared" si="52"/>
        <v>2018-03-27</v>
      </c>
      <c r="I101" s="1" t="s">
        <v>4748</v>
      </c>
      <c r="J101" s="1" t="str">
        <f t="shared" si="32"/>
        <v>天津亚星世纪实业股份有限公司</v>
      </c>
    </row>
    <row r="102" spans="1:10">
      <c r="A102" s="1" t="str">
        <f t="shared" si="28"/>
        <v>天津亚星世纪实业股份有限公司</v>
      </c>
      <c r="B102" s="1" t="str">
        <f>"一种封闭排细小废料冲压模具"</f>
        <v>一种封闭排细小废料冲压模具</v>
      </c>
      <c r="C102" s="1" t="str">
        <f t="shared" si="48"/>
        <v>实用新型</v>
      </c>
      <c r="D102" s="1" t="str">
        <f t="shared" si="49"/>
        <v>未缴年费专利权终止</v>
      </c>
      <c r="E102" s="1" t="str">
        <f>"CN201721140042.0"</f>
        <v>CN201721140042.0</v>
      </c>
      <c r="F102" s="1" t="str">
        <f>"2017-09-07"</f>
        <v>2017-09-07</v>
      </c>
      <c r="G102" s="1" t="str">
        <f>"CN207138640U"</f>
        <v>CN207138640U</v>
      </c>
      <c r="H102" s="1" t="str">
        <f t="shared" si="52"/>
        <v>2018-03-27</v>
      </c>
      <c r="I102" s="1" t="s">
        <v>4749</v>
      </c>
      <c r="J102" s="1" t="str">
        <f t="shared" si="32"/>
        <v>天津亚星世纪实业股份有限公司</v>
      </c>
    </row>
    <row r="103" spans="1:10">
      <c r="A103" s="1" t="str">
        <f t="shared" si="28"/>
        <v>天津亚星世纪实业股份有限公司</v>
      </c>
      <c r="B103" s="1" t="str">
        <f>"汽车散热器高温耐压性能试验装置"</f>
        <v>汽车散热器高温耐压性能试验装置</v>
      </c>
      <c r="C103" s="1" t="str">
        <f t="shared" si="48"/>
        <v>实用新型</v>
      </c>
      <c r="D103" s="1" t="str">
        <f t="shared" si="49"/>
        <v>未缴年费专利权终止</v>
      </c>
      <c r="E103" s="1" t="str">
        <f>"CN201721107237.5"</f>
        <v>CN201721107237.5</v>
      </c>
      <c r="F103" s="1" t="str">
        <f>"2017-08-31"</f>
        <v>2017-08-31</v>
      </c>
      <c r="G103" s="1" t="str">
        <f>"CN207147786U"</f>
        <v>CN207147786U</v>
      </c>
      <c r="H103" s="1" t="str">
        <f t="shared" si="52"/>
        <v>2018-03-27</v>
      </c>
      <c r="I103" s="1" t="s">
        <v>4750</v>
      </c>
      <c r="J103" s="1" t="str">
        <f t="shared" si="32"/>
        <v>天津亚星世纪实业股份有限公司</v>
      </c>
    </row>
    <row r="104" spans="1:10">
      <c r="A104" s="1" t="str">
        <f t="shared" si="28"/>
        <v>天津亚星世纪实业股份有限公司</v>
      </c>
      <c r="B104" s="1" t="str">
        <f>"暖风散热器的新型进出管口结构"</f>
        <v>暖风散热器的新型进出管口结构</v>
      </c>
      <c r="C104" s="1" t="str">
        <f t="shared" ref="C104:C113" si="53">"发明公布"</f>
        <v>发明公布</v>
      </c>
      <c r="D104" s="1" t="str">
        <f t="shared" ref="D104:D113" si="54">"公布视为撤回"</f>
        <v>公布视为撤回</v>
      </c>
      <c r="E104" s="1" t="str">
        <f>"CN201510930225.1"</f>
        <v>CN201510930225.1</v>
      </c>
      <c r="F104" s="1" t="str">
        <f t="shared" ref="F104:F113" si="55">"2015-12-14"</f>
        <v>2015-12-14</v>
      </c>
      <c r="G104" s="1" t="str">
        <f>"CN106871697A"</f>
        <v>CN106871697A</v>
      </c>
      <c r="H104" s="1" t="str">
        <f t="shared" ref="H104:H113" si="56">"2017-06-20"</f>
        <v>2017-06-20</v>
      </c>
      <c r="I104" s="1" t="s">
        <v>4751</v>
      </c>
      <c r="J104" s="1" t="str">
        <f t="shared" ref="J104:J113" si="57">"天津市亚星散热器有限公司"</f>
        <v>天津市亚星散热器有限公司</v>
      </c>
    </row>
    <row r="105" spans="1:10">
      <c r="A105" s="1" t="str">
        <f t="shared" si="28"/>
        <v>天津亚星世纪实业股份有限公司</v>
      </c>
      <c r="B105" s="1" t="str">
        <f>"专用于散热器中散热管的加强架"</f>
        <v>专用于散热器中散热管的加强架</v>
      </c>
      <c r="C105" s="1" t="str">
        <f t="shared" si="53"/>
        <v>发明公布</v>
      </c>
      <c r="D105" s="1" t="str">
        <f t="shared" si="54"/>
        <v>公布视为撤回</v>
      </c>
      <c r="E105" s="1" t="str">
        <f>"CN201510934299.2"</f>
        <v>CN201510934299.2</v>
      </c>
      <c r="F105" s="1" t="str">
        <f t="shared" si="55"/>
        <v>2015-12-14</v>
      </c>
      <c r="G105" s="1" t="str">
        <f>"CN106871698A"</f>
        <v>CN106871698A</v>
      </c>
      <c r="H105" s="1" t="str">
        <f t="shared" si="56"/>
        <v>2017-06-20</v>
      </c>
      <c r="I105" s="1" t="str">
        <f>"穆怀星"</f>
        <v>穆怀星</v>
      </c>
      <c r="J105" s="1" t="str">
        <f t="shared" si="57"/>
        <v>天津市亚星散热器有限公司</v>
      </c>
    </row>
    <row r="106" spans="1:10">
      <c r="A106" s="1" t="str">
        <f t="shared" si="28"/>
        <v>天津亚星世纪实业股份有限公司</v>
      </c>
      <c r="B106" s="1" t="str">
        <f>"用于密封中冷器气室管口的工装"</f>
        <v>用于密封中冷器气室管口的工装</v>
      </c>
      <c r="C106" s="1" t="str">
        <f t="shared" si="53"/>
        <v>发明公布</v>
      </c>
      <c r="D106" s="1" t="str">
        <f t="shared" si="54"/>
        <v>公布视为撤回</v>
      </c>
      <c r="E106" s="1" t="str">
        <f>"CN201510929424.0"</f>
        <v>CN201510929424.0</v>
      </c>
      <c r="F106" s="1" t="str">
        <f t="shared" si="55"/>
        <v>2015-12-14</v>
      </c>
      <c r="G106" s="1" t="str">
        <f>"CN106872108A"</f>
        <v>CN106872108A</v>
      </c>
      <c r="H106" s="1" t="str">
        <f t="shared" si="56"/>
        <v>2017-06-20</v>
      </c>
      <c r="I106" s="1" t="s">
        <v>4752</v>
      </c>
      <c r="J106" s="1" t="str">
        <f t="shared" si="57"/>
        <v>天津市亚星散热器有限公司</v>
      </c>
    </row>
    <row r="107" spans="1:10">
      <c r="A107" s="1" t="str">
        <f t="shared" si="28"/>
        <v>天津亚星世纪实业股份有限公司</v>
      </c>
      <c r="B107" s="1" t="str">
        <f>"用于加固暖风散热器水管的支架"</f>
        <v>用于加固暖风散热器水管的支架</v>
      </c>
      <c r="C107" s="1" t="str">
        <f t="shared" si="53"/>
        <v>发明公布</v>
      </c>
      <c r="D107" s="1" t="str">
        <f t="shared" si="54"/>
        <v>公布视为撤回</v>
      </c>
      <c r="E107" s="1" t="str">
        <f>"CN201510934296.9"</f>
        <v>CN201510934296.9</v>
      </c>
      <c r="F107" s="1" t="str">
        <f t="shared" si="55"/>
        <v>2015-12-14</v>
      </c>
      <c r="G107" s="1" t="str">
        <f>"CN106870826A"</f>
        <v>CN106870826A</v>
      </c>
      <c r="H107" s="1" t="str">
        <f t="shared" si="56"/>
        <v>2017-06-20</v>
      </c>
      <c r="I107" s="1" t="s">
        <v>4744</v>
      </c>
      <c r="J107" s="1" t="str">
        <f t="shared" si="57"/>
        <v>天津市亚星散热器有限公司</v>
      </c>
    </row>
    <row r="108" spans="1:10">
      <c r="A108" s="1" t="str">
        <f t="shared" si="28"/>
        <v>天津亚星世纪实业股份有限公司</v>
      </c>
      <c r="B108" s="1" t="str">
        <f>"提高暖风散热器内部温度分布均匀性的结构"</f>
        <v>提高暖风散热器内部温度分布均匀性的结构</v>
      </c>
      <c r="C108" s="1" t="str">
        <f t="shared" si="53"/>
        <v>发明公布</v>
      </c>
      <c r="D108" s="1" t="str">
        <f t="shared" si="54"/>
        <v>公布视为撤回</v>
      </c>
      <c r="E108" s="1" t="str">
        <f>"CN201510929531.3"</f>
        <v>CN201510929531.3</v>
      </c>
      <c r="F108" s="1" t="str">
        <f t="shared" si="55"/>
        <v>2015-12-14</v>
      </c>
      <c r="G108" s="1" t="str">
        <f>"CN106871702A"</f>
        <v>CN106871702A</v>
      </c>
      <c r="H108" s="1" t="str">
        <f t="shared" si="56"/>
        <v>2017-06-20</v>
      </c>
      <c r="I108" s="1" t="s">
        <v>4753</v>
      </c>
      <c r="J108" s="1" t="str">
        <f t="shared" si="57"/>
        <v>天津市亚星散热器有限公司</v>
      </c>
    </row>
    <row r="109" spans="1:10">
      <c r="A109" s="1" t="str">
        <f t="shared" si="28"/>
        <v>天津亚星世纪实业股份有限公司</v>
      </c>
      <c r="B109" s="1" t="str">
        <f>"用于检验汽车蒸发器密封性的定位工装"</f>
        <v>用于检验汽车蒸发器密封性的定位工装</v>
      </c>
      <c r="C109" s="1" t="str">
        <f t="shared" si="53"/>
        <v>发明公布</v>
      </c>
      <c r="D109" s="1" t="str">
        <f t="shared" si="54"/>
        <v>公布视为撤回</v>
      </c>
      <c r="E109" s="1" t="str">
        <f>"CN201510929532.8"</f>
        <v>CN201510929532.8</v>
      </c>
      <c r="F109" s="1" t="str">
        <f t="shared" si="55"/>
        <v>2015-12-14</v>
      </c>
      <c r="G109" s="1" t="str">
        <f>"CN106863171A"</f>
        <v>CN106863171A</v>
      </c>
      <c r="H109" s="1" t="str">
        <f t="shared" si="56"/>
        <v>2017-06-20</v>
      </c>
      <c r="I109" s="1" t="s">
        <v>4754</v>
      </c>
      <c r="J109" s="1" t="str">
        <f t="shared" si="57"/>
        <v>天津市亚星散热器有限公司</v>
      </c>
    </row>
    <row r="110" spans="1:10">
      <c r="A110" s="1" t="str">
        <f t="shared" si="28"/>
        <v>天津亚星世纪实业股份有限公司</v>
      </c>
      <c r="B110" s="1" t="str">
        <f>"高性能的散热器"</f>
        <v>高性能的散热器</v>
      </c>
      <c r="C110" s="1" t="str">
        <f t="shared" si="53"/>
        <v>发明公布</v>
      </c>
      <c r="D110" s="1" t="str">
        <f t="shared" si="54"/>
        <v>公布视为撤回</v>
      </c>
      <c r="E110" s="1" t="str">
        <f>"CN201510934154.2"</f>
        <v>CN201510934154.2</v>
      </c>
      <c r="F110" s="1" t="str">
        <f t="shared" si="55"/>
        <v>2015-12-14</v>
      </c>
      <c r="G110" s="1" t="str">
        <f>"CN106871665A"</f>
        <v>CN106871665A</v>
      </c>
      <c r="H110" s="1" t="str">
        <f t="shared" si="56"/>
        <v>2017-06-20</v>
      </c>
      <c r="I110" s="1" t="s">
        <v>4736</v>
      </c>
      <c r="J110" s="1" t="str">
        <f t="shared" si="57"/>
        <v>天津市亚星散热器有限公司</v>
      </c>
    </row>
    <row r="111" spans="1:10">
      <c r="A111" s="1" t="str">
        <f t="shared" si="28"/>
        <v>天津亚星世纪实业股份有限公司</v>
      </c>
      <c r="B111" s="1" t="str">
        <f>"暖风散热器的管接头结构"</f>
        <v>暖风散热器的管接头结构</v>
      </c>
      <c r="C111" s="1" t="str">
        <f t="shared" si="53"/>
        <v>发明公布</v>
      </c>
      <c r="D111" s="1" t="str">
        <f t="shared" si="54"/>
        <v>公布视为撤回</v>
      </c>
      <c r="E111" s="1" t="str">
        <f>"CN201510934152.3"</f>
        <v>CN201510934152.3</v>
      </c>
      <c r="F111" s="1" t="str">
        <f t="shared" si="55"/>
        <v>2015-12-14</v>
      </c>
      <c r="G111" s="1" t="str">
        <f>"CN106870837A"</f>
        <v>CN106870837A</v>
      </c>
      <c r="H111" s="1" t="str">
        <f t="shared" si="56"/>
        <v>2017-06-20</v>
      </c>
      <c r="I111" s="1" t="s">
        <v>4755</v>
      </c>
      <c r="J111" s="1" t="str">
        <f t="shared" si="57"/>
        <v>天津市亚星散热器有限公司</v>
      </c>
    </row>
    <row r="112" spans="1:10">
      <c r="A112" s="1" t="str">
        <f t="shared" si="28"/>
        <v>天津亚星世纪实业股份有限公司</v>
      </c>
      <c r="B112" s="1" t="str">
        <f>"新型风冷式汽车油冷器"</f>
        <v>新型风冷式汽车油冷器</v>
      </c>
      <c r="C112" s="1" t="str">
        <f t="shared" si="53"/>
        <v>发明公布</v>
      </c>
      <c r="D112" s="1" t="str">
        <f t="shared" si="54"/>
        <v>公布视为撤回</v>
      </c>
      <c r="E112" s="1" t="str">
        <f>"CN201510934298.8"</f>
        <v>CN201510934298.8</v>
      </c>
      <c r="F112" s="1" t="str">
        <f t="shared" si="55"/>
        <v>2015-12-14</v>
      </c>
      <c r="G112" s="1" t="str">
        <f>"CN106871666A"</f>
        <v>CN106871666A</v>
      </c>
      <c r="H112" s="1" t="str">
        <f t="shared" si="56"/>
        <v>2017-06-20</v>
      </c>
      <c r="I112" s="1" t="s">
        <v>4756</v>
      </c>
      <c r="J112" s="1" t="str">
        <f t="shared" si="57"/>
        <v>天津市亚星散热器有限公司</v>
      </c>
    </row>
    <row r="113" spans="1:10">
      <c r="A113" s="1" t="str">
        <f t="shared" si="28"/>
        <v>天津亚星世纪实业股份有限公司</v>
      </c>
      <c r="B113" s="1" t="str">
        <f>"新型汽车水箱散热器"</f>
        <v>新型汽车水箱散热器</v>
      </c>
      <c r="C113" s="1" t="str">
        <f t="shared" si="53"/>
        <v>发明公布</v>
      </c>
      <c r="D113" s="1" t="str">
        <f t="shared" si="54"/>
        <v>公布视为撤回</v>
      </c>
      <c r="E113" s="1" t="str">
        <f>"CN201510929535.1"</f>
        <v>CN201510929535.1</v>
      </c>
      <c r="F113" s="1" t="str">
        <f t="shared" si="55"/>
        <v>2015-12-14</v>
      </c>
      <c r="G113" s="1" t="str">
        <f>"CN106870103A"</f>
        <v>CN106870103A</v>
      </c>
      <c r="H113" s="1" t="str">
        <f t="shared" si="56"/>
        <v>2017-06-20</v>
      </c>
      <c r="I113" s="1" t="s">
        <v>4733</v>
      </c>
      <c r="J113" s="1" t="str">
        <f t="shared" si="57"/>
        <v>天津市亚星散热器有限公司</v>
      </c>
    </row>
    <row r="114" spans="1:10">
      <c r="A114" s="1" t="str">
        <f t="shared" si="28"/>
        <v>天津亚星世纪实业股份有限公司</v>
      </c>
      <c r="B114" s="1" t="str">
        <f>"一种通用活接式管座与进出水管铆接工装"</f>
        <v>一种通用活接式管座与进出水管铆接工装</v>
      </c>
      <c r="C114" s="1" t="str">
        <f t="shared" ref="C114:C123" si="58">"实用新型"</f>
        <v>实用新型</v>
      </c>
      <c r="D114" s="1" t="str">
        <f t="shared" ref="D114:D120" si="59">"未缴年费专利权终止"</f>
        <v>未缴年费专利权终止</v>
      </c>
      <c r="E114" s="1" t="str">
        <f>"CN201621005112.7"</f>
        <v>CN201621005112.7</v>
      </c>
      <c r="F114" s="1" t="str">
        <f t="shared" ref="F114:F133" si="60">"2016-08-30"</f>
        <v>2016-08-30</v>
      </c>
      <c r="G114" s="1" t="str">
        <f>"CN206241101U"</f>
        <v>CN206241101U</v>
      </c>
      <c r="H114" s="1" t="str">
        <f>"2017-06-13"</f>
        <v>2017-06-13</v>
      </c>
      <c r="I114" s="1" t="s">
        <v>4757</v>
      </c>
      <c r="J114" s="1" t="str">
        <f t="shared" ref="J114:J123" si="61">"天津亚星世纪实业股份有限公司"</f>
        <v>天津亚星世纪实业股份有限公司</v>
      </c>
    </row>
    <row r="115" spans="1:10">
      <c r="A115" s="1" t="str">
        <f t="shared" si="28"/>
        <v>天津亚星世纪实业股份有限公司</v>
      </c>
      <c r="B115" s="1" t="str">
        <f>"一种高效密封的水箱散热器"</f>
        <v>一种高效密封的水箱散热器</v>
      </c>
      <c r="C115" s="1" t="str">
        <f t="shared" si="58"/>
        <v>实用新型</v>
      </c>
      <c r="D115" s="1" t="str">
        <f t="shared" si="59"/>
        <v>未缴年费专利权终止</v>
      </c>
      <c r="E115" s="1" t="str">
        <f>"CN201621005111.2"</f>
        <v>CN201621005111.2</v>
      </c>
      <c r="F115" s="1" t="str">
        <f t="shared" si="60"/>
        <v>2016-08-30</v>
      </c>
      <c r="G115" s="1" t="str">
        <f>"CN206205979U"</f>
        <v>CN206205979U</v>
      </c>
      <c r="H115" s="1" t="str">
        <f>"2017-05-31"</f>
        <v>2017-05-31</v>
      </c>
      <c r="I115" s="1" t="s">
        <v>4733</v>
      </c>
      <c r="J115" s="1" t="str">
        <f t="shared" si="61"/>
        <v>天津亚星世纪实业股份有限公司</v>
      </c>
    </row>
    <row r="116" spans="1:10">
      <c r="A116" s="1" t="str">
        <f t="shared" si="28"/>
        <v>天津亚星世纪实业股份有限公司</v>
      </c>
      <c r="B116" s="1" t="str">
        <f>"一种通用型径向密封工装"</f>
        <v>一种通用型径向密封工装</v>
      </c>
      <c r="C116" s="1" t="str">
        <f t="shared" si="58"/>
        <v>实用新型</v>
      </c>
      <c r="D116" s="1" t="str">
        <f t="shared" si="59"/>
        <v>未缴年费专利权终止</v>
      </c>
      <c r="E116" s="1" t="str">
        <f>"CN201621005041.0"</f>
        <v>CN201621005041.0</v>
      </c>
      <c r="F116" s="1" t="str">
        <f t="shared" si="60"/>
        <v>2016-08-30</v>
      </c>
      <c r="G116" s="1" t="str">
        <f>"CN206175902U"</f>
        <v>CN206175902U</v>
      </c>
      <c r="H116" s="1" t="str">
        <f>"2017-05-17"</f>
        <v>2017-05-17</v>
      </c>
      <c r="I116" s="1" t="s">
        <v>4758</v>
      </c>
      <c r="J116" s="1" t="str">
        <f t="shared" si="61"/>
        <v>天津亚星世纪实业股份有限公司</v>
      </c>
    </row>
    <row r="117" spans="1:10">
      <c r="A117" s="1" t="str">
        <f t="shared" ref="A117:A152" si="62">"天津亚星世纪实业股份有限公司"</f>
        <v>天津亚星世纪实业股份有限公司</v>
      </c>
      <c r="B117" s="1" t="str">
        <f>"一种汽车暖风散热器水室与隔板的安装结构"</f>
        <v>一种汽车暖风散热器水室与隔板的安装结构</v>
      </c>
      <c r="C117" s="1" t="str">
        <f t="shared" si="58"/>
        <v>实用新型</v>
      </c>
      <c r="D117" s="1" t="str">
        <f t="shared" si="59"/>
        <v>未缴年费专利权终止</v>
      </c>
      <c r="E117" s="1" t="str">
        <f>"CN201621004989.4"</f>
        <v>CN201621004989.4</v>
      </c>
      <c r="F117" s="1" t="str">
        <f t="shared" si="60"/>
        <v>2016-08-30</v>
      </c>
      <c r="G117" s="1" t="str">
        <f>"CN206113750U"</f>
        <v>CN206113750U</v>
      </c>
      <c r="H117" s="1" t="str">
        <f t="shared" ref="H117:H123" si="63">"2017-04-19"</f>
        <v>2017-04-19</v>
      </c>
      <c r="I117" s="1" t="s">
        <v>4730</v>
      </c>
      <c r="J117" s="1" t="str">
        <f t="shared" si="61"/>
        <v>天津亚星世纪实业股份有限公司</v>
      </c>
    </row>
    <row r="118" spans="1:10">
      <c r="A118" s="1" t="str">
        <f t="shared" si="62"/>
        <v>天津亚星世纪实业股份有限公司</v>
      </c>
      <c r="B118" s="1" t="str">
        <f>"一种暖风散热器的侧板结构"</f>
        <v>一种暖风散热器的侧板结构</v>
      </c>
      <c r="C118" s="1" t="str">
        <f t="shared" si="58"/>
        <v>实用新型</v>
      </c>
      <c r="D118" s="1" t="str">
        <f t="shared" si="59"/>
        <v>未缴年费专利权终止</v>
      </c>
      <c r="E118" s="1" t="str">
        <f>"CN201621004990.7"</f>
        <v>CN201621004990.7</v>
      </c>
      <c r="F118" s="1" t="str">
        <f t="shared" si="60"/>
        <v>2016-08-30</v>
      </c>
      <c r="G118" s="1" t="str">
        <f>"CN206113746U"</f>
        <v>CN206113746U</v>
      </c>
      <c r="H118" s="1" t="str">
        <f t="shared" si="63"/>
        <v>2017-04-19</v>
      </c>
      <c r="I118" s="1" t="s">
        <v>4736</v>
      </c>
      <c r="J118" s="1" t="str">
        <f t="shared" si="61"/>
        <v>天津亚星世纪实业股份有限公司</v>
      </c>
    </row>
    <row r="119" spans="1:10">
      <c r="A119" s="1" t="str">
        <f t="shared" si="62"/>
        <v>天津亚星世纪实业股份有限公司</v>
      </c>
      <c r="B119" s="1" t="str">
        <f>"一种通用型水箱钎焊工装"</f>
        <v>一种通用型水箱钎焊工装</v>
      </c>
      <c r="C119" s="1" t="str">
        <f t="shared" si="58"/>
        <v>实用新型</v>
      </c>
      <c r="D119" s="1" t="str">
        <f t="shared" si="59"/>
        <v>未缴年费专利权终止</v>
      </c>
      <c r="E119" s="1" t="str">
        <f>"CN201621005166.3"</f>
        <v>CN201621005166.3</v>
      </c>
      <c r="F119" s="1" t="str">
        <f t="shared" si="60"/>
        <v>2016-08-30</v>
      </c>
      <c r="G119" s="1" t="str">
        <f>"CN206105085U"</f>
        <v>CN206105085U</v>
      </c>
      <c r="H119" s="1" t="str">
        <f t="shared" si="63"/>
        <v>2017-04-19</v>
      </c>
      <c r="I119" s="1" t="s">
        <v>4759</v>
      </c>
      <c r="J119" s="1" t="str">
        <f t="shared" si="61"/>
        <v>天津亚星世纪实业股份有限公司</v>
      </c>
    </row>
    <row r="120" spans="1:10">
      <c r="A120" s="1" t="str">
        <f t="shared" si="62"/>
        <v>天津亚星世纪实业股份有限公司</v>
      </c>
      <c r="B120" s="1" t="str">
        <f>"一种散热器的振动试验工装"</f>
        <v>一种散热器的振动试验工装</v>
      </c>
      <c r="C120" s="1" t="str">
        <f t="shared" si="58"/>
        <v>实用新型</v>
      </c>
      <c r="D120" s="1" t="str">
        <f t="shared" si="59"/>
        <v>未缴年费专利权终止</v>
      </c>
      <c r="E120" s="1" t="str">
        <f>"CN201621005042.5"</f>
        <v>CN201621005042.5</v>
      </c>
      <c r="F120" s="1" t="str">
        <f t="shared" si="60"/>
        <v>2016-08-30</v>
      </c>
      <c r="G120" s="1" t="str">
        <f>"CN206114239U"</f>
        <v>CN206114239U</v>
      </c>
      <c r="H120" s="1" t="str">
        <f t="shared" si="63"/>
        <v>2017-04-19</v>
      </c>
      <c r="I120" s="1" t="s">
        <v>4748</v>
      </c>
      <c r="J120" s="1" t="str">
        <f t="shared" si="61"/>
        <v>天津亚星世纪实业股份有限公司</v>
      </c>
    </row>
    <row r="121" spans="1:10">
      <c r="A121" s="1" t="str">
        <f t="shared" si="62"/>
        <v>天津亚星世纪实业股份有限公司</v>
      </c>
      <c r="B121" s="1" t="str">
        <f>"一种暖风散热器水室与隔板的铆接工装"</f>
        <v>一种暖风散热器水室与隔板的铆接工装</v>
      </c>
      <c r="C121" s="1" t="str">
        <f t="shared" si="58"/>
        <v>实用新型</v>
      </c>
      <c r="D121" s="1" t="str">
        <f>"授权"</f>
        <v>授权</v>
      </c>
      <c r="E121" s="1" t="str">
        <f>"CN201621004682.4"</f>
        <v>CN201621004682.4</v>
      </c>
      <c r="F121" s="1" t="str">
        <f t="shared" si="60"/>
        <v>2016-08-30</v>
      </c>
      <c r="G121" s="1" t="str">
        <f>"CN206104709U"</f>
        <v>CN206104709U</v>
      </c>
      <c r="H121" s="1" t="str">
        <f t="shared" si="63"/>
        <v>2017-04-19</v>
      </c>
      <c r="I121" s="1" t="s">
        <v>4760</v>
      </c>
      <c r="J121" s="1" t="str">
        <f t="shared" si="61"/>
        <v>天津亚星世纪实业股份有限公司</v>
      </c>
    </row>
    <row r="122" spans="1:10">
      <c r="A122" s="1" t="str">
        <f t="shared" si="62"/>
        <v>天津亚星世纪实业股份有限公司</v>
      </c>
      <c r="B122" s="1" t="str">
        <f>"一种暖风散热器热均匀试验工装"</f>
        <v>一种暖风散热器热均匀试验工装</v>
      </c>
      <c r="C122" s="1" t="str">
        <f t="shared" si="58"/>
        <v>实用新型</v>
      </c>
      <c r="D122" s="1" t="str">
        <f>"未缴年费专利权终止"</f>
        <v>未缴年费专利权终止</v>
      </c>
      <c r="E122" s="1" t="str">
        <f>"CN201621004295.0"</f>
        <v>CN201621004295.0</v>
      </c>
      <c r="F122" s="1" t="str">
        <f t="shared" si="60"/>
        <v>2016-08-30</v>
      </c>
      <c r="G122" s="1" t="str">
        <f>"CN206114318U"</f>
        <v>CN206114318U</v>
      </c>
      <c r="H122" s="1" t="str">
        <f t="shared" si="63"/>
        <v>2017-04-19</v>
      </c>
      <c r="I122" s="1" t="s">
        <v>4761</v>
      </c>
      <c r="J122" s="1" t="str">
        <f t="shared" si="61"/>
        <v>天津亚星世纪实业股份有限公司</v>
      </c>
    </row>
    <row r="123" spans="1:10">
      <c r="A123" s="1" t="str">
        <f t="shared" si="62"/>
        <v>天津亚星世纪实业股份有限公司</v>
      </c>
      <c r="B123" s="1" t="str">
        <f>"一种暖风散热器管口的密封工装"</f>
        <v>一种暖风散热器管口的密封工装</v>
      </c>
      <c r="C123" s="1" t="str">
        <f t="shared" si="58"/>
        <v>实用新型</v>
      </c>
      <c r="D123" s="1" t="str">
        <f>"未缴年费专利权终止"</f>
        <v>未缴年费专利权终止</v>
      </c>
      <c r="E123" s="1" t="str">
        <f>"CN201621004115.9"</f>
        <v>CN201621004115.9</v>
      </c>
      <c r="F123" s="1" t="str">
        <f t="shared" si="60"/>
        <v>2016-08-30</v>
      </c>
      <c r="G123" s="1" t="str">
        <f>"CN206112070U"</f>
        <v>CN206112070U</v>
      </c>
      <c r="H123" s="1" t="str">
        <f t="shared" si="63"/>
        <v>2017-04-19</v>
      </c>
      <c r="I123" s="1" t="s">
        <v>4724</v>
      </c>
      <c r="J123" s="1" t="str">
        <f t="shared" si="61"/>
        <v>天津亚星世纪实业股份有限公司</v>
      </c>
    </row>
    <row r="124" spans="1:10">
      <c r="A124" s="1" t="str">
        <f t="shared" si="62"/>
        <v>天津亚星世纪实业股份有限公司</v>
      </c>
      <c r="B124" s="1" t="str">
        <f>"暖风散热器水室与隔板的铆接工装"</f>
        <v>暖风散热器水室与隔板的铆接工装</v>
      </c>
      <c r="C124" s="1" t="str">
        <f t="shared" ref="C124:C133" si="64">"发明公布"</f>
        <v>发明公布</v>
      </c>
      <c r="D124" s="1" t="str">
        <f t="shared" ref="D124:D127" si="65">"公布撤回"</f>
        <v>公布撤回</v>
      </c>
      <c r="E124" s="1" t="str">
        <f>"CN201610776918.4"</f>
        <v>CN201610776918.4</v>
      </c>
      <c r="F124" s="1" t="str">
        <f t="shared" si="60"/>
        <v>2016-08-30</v>
      </c>
      <c r="G124" s="1" t="str">
        <f>"CN106238593A"</f>
        <v>CN106238593A</v>
      </c>
      <c r="H124" s="1" t="str">
        <f t="shared" ref="H124:H126" si="66">"2016-12-21"</f>
        <v>2016-12-21</v>
      </c>
      <c r="I124" s="1" t="s">
        <v>4760</v>
      </c>
      <c r="J124" s="1" t="str">
        <f t="shared" ref="J124:J133" si="67">"天津市亚星散热器有限公司"</f>
        <v>天津市亚星散热器有限公司</v>
      </c>
    </row>
    <row r="125" spans="1:10">
      <c r="A125" s="1" t="str">
        <f t="shared" si="62"/>
        <v>天津亚星世纪实业股份有限公司</v>
      </c>
      <c r="B125" s="1" t="str">
        <f>"散热器的振动试验工装"</f>
        <v>散热器的振动试验工装</v>
      </c>
      <c r="C125" s="1" t="str">
        <f t="shared" si="64"/>
        <v>发明公布</v>
      </c>
      <c r="D125" s="1" t="str">
        <f t="shared" si="65"/>
        <v>公布撤回</v>
      </c>
      <c r="E125" s="1" t="str">
        <f>"CN201610776820.9"</f>
        <v>CN201610776820.9</v>
      </c>
      <c r="F125" s="1" t="str">
        <f t="shared" si="60"/>
        <v>2016-08-30</v>
      </c>
      <c r="G125" s="1" t="str">
        <f>"CN106248330A"</f>
        <v>CN106248330A</v>
      </c>
      <c r="H125" s="1" t="str">
        <f t="shared" si="66"/>
        <v>2016-12-21</v>
      </c>
      <c r="I125" s="1" t="s">
        <v>4748</v>
      </c>
      <c r="J125" s="1" t="str">
        <f t="shared" si="67"/>
        <v>天津市亚星散热器有限公司</v>
      </c>
    </row>
    <row r="126" spans="1:10">
      <c r="A126" s="1" t="str">
        <f t="shared" si="62"/>
        <v>天津亚星世纪实业股份有限公司</v>
      </c>
      <c r="B126" s="1" t="str">
        <f>"通用型径向密封工装"</f>
        <v>通用型径向密封工装</v>
      </c>
      <c r="C126" s="1" t="str">
        <f t="shared" si="64"/>
        <v>发明公布</v>
      </c>
      <c r="D126" s="1" t="str">
        <f t="shared" si="65"/>
        <v>公布撤回</v>
      </c>
      <c r="E126" s="1" t="str">
        <f>"CN201610776398.7"</f>
        <v>CN201610776398.7</v>
      </c>
      <c r="F126" s="1" t="str">
        <f t="shared" si="60"/>
        <v>2016-08-30</v>
      </c>
      <c r="G126" s="1" t="str">
        <f>"CN106247057A"</f>
        <v>CN106247057A</v>
      </c>
      <c r="H126" s="1" t="str">
        <f t="shared" si="66"/>
        <v>2016-12-21</v>
      </c>
      <c r="I126" s="1" t="s">
        <v>4758</v>
      </c>
      <c r="J126" s="1" t="str">
        <f t="shared" si="67"/>
        <v>天津市亚星散热器有限公司</v>
      </c>
    </row>
    <row r="127" spans="1:10">
      <c r="A127" s="1" t="str">
        <f t="shared" si="62"/>
        <v>天津亚星世纪实业股份有限公司</v>
      </c>
      <c r="B127" s="1" t="str">
        <f>"暖风散热器热均匀试验工装"</f>
        <v>暖风散热器热均匀试验工装</v>
      </c>
      <c r="C127" s="1" t="str">
        <f t="shared" si="64"/>
        <v>发明公布</v>
      </c>
      <c r="D127" s="1" t="str">
        <f t="shared" si="65"/>
        <v>公布撤回</v>
      </c>
      <c r="E127" s="1" t="str">
        <f>"CN201610776090.2"</f>
        <v>CN201610776090.2</v>
      </c>
      <c r="F127" s="1" t="str">
        <f t="shared" si="60"/>
        <v>2016-08-30</v>
      </c>
      <c r="G127" s="1" t="str">
        <f>"CN106226108A"</f>
        <v>CN106226108A</v>
      </c>
      <c r="H127" s="1" t="str">
        <f t="shared" ref="H127:H132" si="68">"2016-12-14"</f>
        <v>2016-12-14</v>
      </c>
      <c r="I127" s="1" t="s">
        <v>4761</v>
      </c>
      <c r="J127" s="1" t="str">
        <f t="shared" si="67"/>
        <v>天津市亚星散热器有限公司</v>
      </c>
    </row>
    <row r="128" spans="1:10">
      <c r="A128" s="1" t="str">
        <f t="shared" si="62"/>
        <v>天津亚星世纪实业股份有限公司</v>
      </c>
      <c r="B128" s="1" t="str">
        <f>"通用活接式管座与进出水管铆接工装"</f>
        <v>通用活接式管座与进出水管铆接工装</v>
      </c>
      <c r="C128" s="1" t="str">
        <f t="shared" si="64"/>
        <v>发明公布</v>
      </c>
      <c r="D128" s="1" t="str">
        <f>"公布驳回"</f>
        <v>公布驳回</v>
      </c>
      <c r="E128" s="1" t="str">
        <f>"CN201610776919.9"</f>
        <v>CN201610776919.9</v>
      </c>
      <c r="F128" s="1" t="str">
        <f t="shared" si="60"/>
        <v>2016-08-30</v>
      </c>
      <c r="G128" s="1" t="str">
        <f>"CN106216535A"</f>
        <v>CN106216535A</v>
      </c>
      <c r="H128" s="1" t="str">
        <f t="shared" si="68"/>
        <v>2016-12-14</v>
      </c>
      <c r="I128" s="1" t="s">
        <v>4757</v>
      </c>
      <c r="J128" s="1" t="str">
        <f t="shared" si="67"/>
        <v>天津市亚星散热器有限公司</v>
      </c>
    </row>
    <row r="129" spans="1:10">
      <c r="A129" s="1" t="str">
        <f t="shared" si="62"/>
        <v>天津亚星世纪实业股份有限公司</v>
      </c>
      <c r="B129" s="1" t="str">
        <f>"高效密封的水箱散热器"</f>
        <v>高效密封的水箱散热器</v>
      </c>
      <c r="C129" s="1" t="str">
        <f t="shared" si="64"/>
        <v>发明公布</v>
      </c>
      <c r="D129" s="1" t="str">
        <f t="shared" ref="D129:D131" si="69">"公布撤回"</f>
        <v>公布撤回</v>
      </c>
      <c r="E129" s="1" t="str">
        <f>"CN201610776174.6"</f>
        <v>CN201610776174.6</v>
      </c>
      <c r="F129" s="1" t="str">
        <f t="shared" si="60"/>
        <v>2016-08-30</v>
      </c>
      <c r="G129" s="1" t="str">
        <f>"CN106224076A"</f>
        <v>CN106224076A</v>
      </c>
      <c r="H129" s="1" t="str">
        <f t="shared" si="68"/>
        <v>2016-12-14</v>
      </c>
      <c r="I129" s="1" t="s">
        <v>4733</v>
      </c>
      <c r="J129" s="1" t="str">
        <f t="shared" si="67"/>
        <v>天津市亚星散热器有限公司</v>
      </c>
    </row>
    <row r="130" spans="1:10">
      <c r="A130" s="1" t="str">
        <f t="shared" si="62"/>
        <v>天津亚星世纪实业股份有限公司</v>
      </c>
      <c r="B130" s="1" t="str">
        <f>"暖风散热器管口的密封工装"</f>
        <v>暖风散热器管口的密封工装</v>
      </c>
      <c r="C130" s="1" t="str">
        <f t="shared" si="64"/>
        <v>发明公布</v>
      </c>
      <c r="D130" s="1" t="str">
        <f t="shared" si="69"/>
        <v>公布撤回</v>
      </c>
      <c r="E130" s="1" t="str">
        <f>"CN201610776828.5"</f>
        <v>CN201610776828.5</v>
      </c>
      <c r="F130" s="1" t="str">
        <f t="shared" si="60"/>
        <v>2016-08-30</v>
      </c>
      <c r="G130" s="1" t="str">
        <f>"CN106224548A"</f>
        <v>CN106224548A</v>
      </c>
      <c r="H130" s="1" t="str">
        <f t="shared" si="68"/>
        <v>2016-12-14</v>
      </c>
      <c r="I130" s="1" t="s">
        <v>4724</v>
      </c>
      <c r="J130" s="1" t="str">
        <f t="shared" si="67"/>
        <v>天津市亚星散热器有限公司</v>
      </c>
    </row>
    <row r="131" spans="1:10">
      <c r="A131" s="1" t="str">
        <f t="shared" si="62"/>
        <v>天津亚星世纪实业股份有限公司</v>
      </c>
      <c r="B131" s="1" t="str">
        <f>"暖风散热器的侧板结构"</f>
        <v>暖风散热器的侧板结构</v>
      </c>
      <c r="C131" s="1" t="str">
        <f t="shared" si="64"/>
        <v>发明公布</v>
      </c>
      <c r="D131" s="1" t="str">
        <f t="shared" si="69"/>
        <v>公布撤回</v>
      </c>
      <c r="E131" s="1" t="str">
        <f>"CN201610776335.1"</f>
        <v>CN201610776335.1</v>
      </c>
      <c r="F131" s="1" t="str">
        <f t="shared" si="60"/>
        <v>2016-08-30</v>
      </c>
      <c r="G131" s="1" t="str">
        <f>"CN106225547A"</f>
        <v>CN106225547A</v>
      </c>
      <c r="H131" s="1" t="str">
        <f t="shared" si="68"/>
        <v>2016-12-14</v>
      </c>
      <c r="I131" s="1" t="s">
        <v>4736</v>
      </c>
      <c r="J131" s="1" t="str">
        <f t="shared" si="67"/>
        <v>天津市亚星散热器有限公司</v>
      </c>
    </row>
    <row r="132" spans="1:10">
      <c r="A132" s="1" t="str">
        <f t="shared" si="62"/>
        <v>天津亚星世纪实业股份有限公司</v>
      </c>
      <c r="B132" s="1" t="str">
        <f>"一种通用型水箱钎焊工装及方法"</f>
        <v>一种通用型水箱钎焊工装及方法</v>
      </c>
      <c r="C132" s="1" t="str">
        <f t="shared" si="64"/>
        <v>发明公布</v>
      </c>
      <c r="D132" s="1" t="str">
        <f>"公布视为撤回"</f>
        <v>公布视为撤回</v>
      </c>
      <c r="E132" s="1" t="str">
        <f>"CN201610777051.4"</f>
        <v>CN201610777051.4</v>
      </c>
      <c r="F132" s="1" t="str">
        <f t="shared" si="60"/>
        <v>2016-08-30</v>
      </c>
      <c r="G132" s="1" t="str">
        <f>"CN106216790A"</f>
        <v>CN106216790A</v>
      </c>
      <c r="H132" s="1" t="str">
        <f t="shared" si="68"/>
        <v>2016-12-14</v>
      </c>
      <c r="I132" s="1" t="s">
        <v>4759</v>
      </c>
      <c r="J132" s="1" t="str">
        <f t="shared" si="67"/>
        <v>天津市亚星散热器有限公司</v>
      </c>
    </row>
    <row r="133" spans="1:10">
      <c r="A133" s="1" t="str">
        <f t="shared" si="62"/>
        <v>天津亚星世纪实业股份有限公司</v>
      </c>
      <c r="B133" s="1" t="str">
        <f>"汽车暖风散热器水室与隔板的安装结构"</f>
        <v>汽车暖风散热器水室与隔板的安装结构</v>
      </c>
      <c r="C133" s="1" t="str">
        <f t="shared" si="64"/>
        <v>发明公布</v>
      </c>
      <c r="D133" s="1" t="str">
        <f>"公布撤回"</f>
        <v>公布撤回</v>
      </c>
      <c r="E133" s="1" t="str">
        <f>"CN201610776172.7"</f>
        <v>CN201610776172.7</v>
      </c>
      <c r="F133" s="1" t="str">
        <f t="shared" si="60"/>
        <v>2016-08-30</v>
      </c>
      <c r="G133" s="1" t="str">
        <f>"CN106197132A"</f>
        <v>CN106197132A</v>
      </c>
      <c r="H133" s="1" t="str">
        <f>"2016-12-07"</f>
        <v>2016-12-07</v>
      </c>
      <c r="I133" s="1" t="s">
        <v>4730</v>
      </c>
      <c r="J133" s="1" t="str">
        <f t="shared" si="67"/>
        <v>天津市亚星散热器有限公司</v>
      </c>
    </row>
    <row r="134" spans="1:10">
      <c r="A134" s="1" t="str">
        <f t="shared" si="62"/>
        <v>天津亚星世纪实业股份有限公司</v>
      </c>
      <c r="B134" s="1" t="str">
        <f>"一种用于加固暖风散热器水管的支架"</f>
        <v>一种用于加固暖风散热器水管的支架</v>
      </c>
      <c r="C134" s="1" t="str">
        <f t="shared" ref="C134:C141" si="70">"实用新型"</f>
        <v>实用新型</v>
      </c>
      <c r="D134" s="1" t="str">
        <f t="shared" ref="D134:D149" si="71">"未缴年费专利权终止"</f>
        <v>未缴年费专利权终止</v>
      </c>
      <c r="E134" s="1" t="str">
        <f>"CN201521043163.4"</f>
        <v>CN201521043163.4</v>
      </c>
      <c r="F134" s="1" t="str">
        <f t="shared" ref="F134:F141" si="72">"2015-12-14"</f>
        <v>2015-12-14</v>
      </c>
      <c r="G134" s="1" t="str">
        <f>"CN205298835U"</f>
        <v>CN205298835U</v>
      </c>
      <c r="H134" s="1" t="str">
        <f t="shared" ref="H134:H143" si="73">"2016-06-08"</f>
        <v>2016-06-08</v>
      </c>
      <c r="I134" s="1" t="s">
        <v>4744</v>
      </c>
      <c r="J134" s="1" t="str">
        <f t="shared" ref="J134:J149" si="74">"天津亚星世纪实业股份有限公司"</f>
        <v>天津亚星世纪实业股份有限公司</v>
      </c>
    </row>
    <row r="135" spans="1:10">
      <c r="A135" s="1" t="str">
        <f t="shared" si="62"/>
        <v>天津亚星世纪实业股份有限公司</v>
      </c>
      <c r="B135" s="1" t="str">
        <f>"一种新型汽车水箱散热器"</f>
        <v>一种新型汽车水箱散热器</v>
      </c>
      <c r="C135" s="1" t="str">
        <f t="shared" si="70"/>
        <v>实用新型</v>
      </c>
      <c r="D135" s="1" t="str">
        <f t="shared" si="71"/>
        <v>未缴年费专利权终止</v>
      </c>
      <c r="E135" s="1" t="str">
        <f>"CN201521040050.9"</f>
        <v>CN201521040050.9</v>
      </c>
      <c r="F135" s="1" t="str">
        <f t="shared" si="72"/>
        <v>2015-12-14</v>
      </c>
      <c r="G135" s="1" t="str">
        <f>"CN205297719U"</f>
        <v>CN205297719U</v>
      </c>
      <c r="H135" s="1" t="str">
        <f t="shared" si="73"/>
        <v>2016-06-08</v>
      </c>
      <c r="I135" s="1" t="s">
        <v>4733</v>
      </c>
      <c r="J135" s="1" t="str">
        <f t="shared" si="74"/>
        <v>天津亚星世纪实业股份有限公司</v>
      </c>
    </row>
    <row r="136" spans="1:10">
      <c r="A136" s="1" t="str">
        <f t="shared" si="62"/>
        <v>天津亚星世纪实业股份有限公司</v>
      </c>
      <c r="B136" s="1" t="str">
        <f>"一种暖风散热器的新型进出管口结构"</f>
        <v>一种暖风散热器的新型进出管口结构</v>
      </c>
      <c r="C136" s="1" t="str">
        <f t="shared" si="70"/>
        <v>实用新型</v>
      </c>
      <c r="D136" s="1" t="str">
        <f t="shared" si="71"/>
        <v>未缴年费专利权终止</v>
      </c>
      <c r="E136" s="1" t="str">
        <f>"CN201521039491.7"</f>
        <v>CN201521039491.7</v>
      </c>
      <c r="F136" s="1" t="str">
        <f t="shared" si="72"/>
        <v>2015-12-14</v>
      </c>
      <c r="G136" s="1" t="str">
        <f>"CN205300361U"</f>
        <v>CN205300361U</v>
      </c>
      <c r="H136" s="1" t="str">
        <f t="shared" si="73"/>
        <v>2016-06-08</v>
      </c>
      <c r="I136" s="1" t="s">
        <v>4751</v>
      </c>
      <c r="J136" s="1" t="str">
        <f t="shared" si="74"/>
        <v>天津亚星世纪实业股份有限公司</v>
      </c>
    </row>
    <row r="137" spans="1:10">
      <c r="A137" s="1" t="str">
        <f t="shared" si="62"/>
        <v>天津亚星世纪实业股份有限公司</v>
      </c>
      <c r="B137" s="1" t="str">
        <f>"一种提高暖风散热器内部温度分布均匀性的结构"</f>
        <v>一种提高暖风散热器内部温度分布均匀性的结构</v>
      </c>
      <c r="C137" s="1" t="str">
        <f t="shared" si="70"/>
        <v>实用新型</v>
      </c>
      <c r="D137" s="1" t="str">
        <f t="shared" si="71"/>
        <v>未缴年费专利权终止</v>
      </c>
      <c r="E137" s="1" t="str">
        <f>"CN201521042798.2"</f>
        <v>CN201521042798.2</v>
      </c>
      <c r="F137" s="1" t="str">
        <f t="shared" si="72"/>
        <v>2015-12-14</v>
      </c>
      <c r="G137" s="1" t="str">
        <f>"CN205300367U"</f>
        <v>CN205300367U</v>
      </c>
      <c r="H137" s="1" t="str">
        <f t="shared" si="73"/>
        <v>2016-06-08</v>
      </c>
      <c r="I137" s="1" t="s">
        <v>4753</v>
      </c>
      <c r="J137" s="1" t="str">
        <f t="shared" si="74"/>
        <v>天津亚星世纪实业股份有限公司</v>
      </c>
    </row>
    <row r="138" spans="1:10">
      <c r="A138" s="1" t="str">
        <f t="shared" si="62"/>
        <v>天津亚星世纪实业股份有限公司</v>
      </c>
      <c r="B138" s="1" t="str">
        <f>"一种专用于散热器中散热管的加强架"</f>
        <v>一种专用于散热器中散热管的加强架</v>
      </c>
      <c r="C138" s="1" t="str">
        <f t="shared" si="70"/>
        <v>实用新型</v>
      </c>
      <c r="D138" s="1" t="str">
        <f t="shared" si="71"/>
        <v>未缴年费专利权终止</v>
      </c>
      <c r="E138" s="1" t="str">
        <f>"CN201521043187.X"</f>
        <v>CN201521043187.X</v>
      </c>
      <c r="F138" s="1" t="str">
        <f t="shared" si="72"/>
        <v>2015-12-14</v>
      </c>
      <c r="G138" s="1" t="str">
        <f>"CN205300362U"</f>
        <v>CN205300362U</v>
      </c>
      <c r="H138" s="1" t="str">
        <f t="shared" si="73"/>
        <v>2016-06-08</v>
      </c>
      <c r="I138" s="1" t="str">
        <f>"穆怀星"</f>
        <v>穆怀星</v>
      </c>
      <c r="J138" s="1" t="str">
        <f t="shared" si="74"/>
        <v>天津亚星世纪实业股份有限公司</v>
      </c>
    </row>
    <row r="139" spans="1:10">
      <c r="A139" s="1" t="str">
        <f t="shared" si="62"/>
        <v>天津亚星世纪实业股份有限公司</v>
      </c>
      <c r="B139" s="1" t="str">
        <f>"一种高性能的散热器"</f>
        <v>一种高性能的散热器</v>
      </c>
      <c r="C139" s="1" t="str">
        <f t="shared" si="70"/>
        <v>实用新型</v>
      </c>
      <c r="D139" s="1" t="str">
        <f t="shared" si="71"/>
        <v>未缴年费专利权终止</v>
      </c>
      <c r="E139" s="1" t="str">
        <f>"CN201521043161.5"</f>
        <v>CN201521043161.5</v>
      </c>
      <c r="F139" s="1" t="str">
        <f t="shared" si="72"/>
        <v>2015-12-14</v>
      </c>
      <c r="G139" s="1" t="str">
        <f>"CN205300309U"</f>
        <v>CN205300309U</v>
      </c>
      <c r="H139" s="1" t="str">
        <f t="shared" si="73"/>
        <v>2016-06-08</v>
      </c>
      <c r="I139" s="1" t="s">
        <v>4736</v>
      </c>
      <c r="J139" s="1" t="str">
        <f t="shared" si="74"/>
        <v>天津亚星世纪实业股份有限公司</v>
      </c>
    </row>
    <row r="140" spans="1:10">
      <c r="A140" s="1" t="str">
        <f t="shared" si="62"/>
        <v>天津亚星世纪实业股份有限公司</v>
      </c>
      <c r="B140" s="1" t="str">
        <f>"一种新型风冷式汽车油冷器"</f>
        <v>一种新型风冷式汽车油冷器</v>
      </c>
      <c r="C140" s="1" t="str">
        <f t="shared" si="70"/>
        <v>实用新型</v>
      </c>
      <c r="D140" s="1" t="str">
        <f t="shared" si="71"/>
        <v>未缴年费专利权终止</v>
      </c>
      <c r="E140" s="1" t="str">
        <f>"CN201521043165.3"</f>
        <v>CN201521043165.3</v>
      </c>
      <c r="F140" s="1" t="str">
        <f t="shared" si="72"/>
        <v>2015-12-14</v>
      </c>
      <c r="G140" s="1" t="str">
        <f>"CN205300310U"</f>
        <v>CN205300310U</v>
      </c>
      <c r="H140" s="1" t="str">
        <f t="shared" si="73"/>
        <v>2016-06-08</v>
      </c>
      <c r="I140" s="1" t="s">
        <v>4756</v>
      </c>
      <c r="J140" s="1" t="str">
        <f t="shared" si="74"/>
        <v>天津亚星世纪实业股份有限公司</v>
      </c>
    </row>
    <row r="141" spans="1:10">
      <c r="A141" s="1" t="str">
        <f t="shared" si="62"/>
        <v>天津亚星世纪实业股份有限公司</v>
      </c>
      <c r="B141" s="1" t="str">
        <f>"一种用于密封中冷器气室管口的工装"</f>
        <v>一种用于密封中冷器气室管口的工装</v>
      </c>
      <c r="C141" s="1" t="str">
        <f t="shared" si="70"/>
        <v>实用新型</v>
      </c>
      <c r="D141" s="1" t="str">
        <f t="shared" si="71"/>
        <v>未缴年费专利权终止</v>
      </c>
      <c r="E141" s="1" t="str">
        <f>"CN201521042800.6"</f>
        <v>CN201521042800.6</v>
      </c>
      <c r="F141" s="1" t="str">
        <f t="shared" si="72"/>
        <v>2015-12-14</v>
      </c>
      <c r="G141" s="1" t="str">
        <f>"CN205300857U"</f>
        <v>CN205300857U</v>
      </c>
      <c r="H141" s="1" t="str">
        <f t="shared" si="73"/>
        <v>2016-06-08</v>
      </c>
      <c r="I141" s="1" t="s">
        <v>4752</v>
      </c>
      <c r="J141" s="1" t="str">
        <f t="shared" si="74"/>
        <v>天津亚星世纪实业股份有限公司</v>
      </c>
    </row>
    <row r="142" spans="1:10">
      <c r="A142" s="1" t="str">
        <f t="shared" si="62"/>
        <v>天津亚星世纪实业股份有限公司</v>
      </c>
      <c r="B142" s="1" t="str">
        <f>"平行流蒸发器隔板装配铆接工装及使用方法"</f>
        <v>平行流蒸发器隔板装配铆接工装及使用方法</v>
      </c>
      <c r="C142" s="1" t="str">
        <f t="shared" ref="C142:C146" si="75">"发明授权"</f>
        <v>发明授权</v>
      </c>
      <c r="D142" s="1" t="str">
        <f t="shared" si="71"/>
        <v>未缴年费专利权终止</v>
      </c>
      <c r="E142" s="1" t="str">
        <f>"CN201410691112.6"</f>
        <v>CN201410691112.6</v>
      </c>
      <c r="F142" s="1" t="str">
        <f>"2014-11-26"</f>
        <v>2014-11-26</v>
      </c>
      <c r="G142" s="1" t="str">
        <f>"CN104399828B"</f>
        <v>CN104399828B</v>
      </c>
      <c r="H142" s="1" t="str">
        <f t="shared" si="73"/>
        <v>2016-06-08</v>
      </c>
      <c r="I142" s="1" t="s">
        <v>4762</v>
      </c>
      <c r="J142" s="1" t="str">
        <f t="shared" si="74"/>
        <v>天津亚星世纪实业股份有限公司</v>
      </c>
    </row>
    <row r="143" spans="1:10">
      <c r="A143" s="1" t="str">
        <f t="shared" si="62"/>
        <v>天津亚星世纪实业股份有限公司</v>
      </c>
      <c r="B143" s="1" t="str">
        <f>"一种暖风散热器的管接头结构"</f>
        <v>一种暖风散热器的管接头结构</v>
      </c>
      <c r="C143" s="1" t="str">
        <f t="shared" ref="C143:C152" si="76">"实用新型"</f>
        <v>实用新型</v>
      </c>
      <c r="D143" s="1" t="str">
        <f t="shared" si="71"/>
        <v>未缴年费专利权终止</v>
      </c>
      <c r="E143" s="1" t="str">
        <f>"CN201521042831.1"</f>
        <v>CN201521042831.1</v>
      </c>
      <c r="F143" s="1" t="str">
        <f>"2015-12-14"</f>
        <v>2015-12-14</v>
      </c>
      <c r="G143" s="1" t="str">
        <f>"CN205298882U"</f>
        <v>CN205298882U</v>
      </c>
      <c r="H143" s="1" t="str">
        <f t="shared" si="73"/>
        <v>2016-06-08</v>
      </c>
      <c r="I143" s="1" t="s">
        <v>4755</v>
      </c>
      <c r="J143" s="1" t="str">
        <f t="shared" si="74"/>
        <v>天津亚星世纪实业股份有限公司</v>
      </c>
    </row>
    <row r="144" spans="1:10">
      <c r="A144" s="1" t="str">
        <f t="shared" si="62"/>
        <v>天津亚星世纪实业股份有限公司</v>
      </c>
      <c r="B144" s="1" t="str">
        <f>"一种平行流蒸发器隔片槽加工机"</f>
        <v>一种平行流蒸发器隔片槽加工机</v>
      </c>
      <c r="C144" s="1" t="str">
        <f t="shared" si="75"/>
        <v>发明授权</v>
      </c>
      <c r="D144" s="1" t="str">
        <f t="shared" si="71"/>
        <v>未缴年费专利权终止</v>
      </c>
      <c r="E144" s="1" t="str">
        <f>"CN201310403097.6"</f>
        <v>CN201310403097.6</v>
      </c>
      <c r="F144" s="1" t="str">
        <f>"2013-09-06"</f>
        <v>2013-09-06</v>
      </c>
      <c r="G144" s="1" t="str">
        <f>"CN103433354B"</f>
        <v>CN103433354B</v>
      </c>
      <c r="H144" s="1" t="str">
        <f>"2015-12-09"</f>
        <v>2015-12-09</v>
      </c>
      <c r="I144" s="1" t="s">
        <v>4763</v>
      </c>
      <c r="J144" s="1" t="str">
        <f t="shared" si="74"/>
        <v>天津亚星世纪实业股份有限公司</v>
      </c>
    </row>
    <row r="145" spans="1:10">
      <c r="A145" s="1" t="str">
        <f t="shared" si="62"/>
        <v>天津亚星世纪实业股份有限公司</v>
      </c>
      <c r="B145" s="1" t="str">
        <f>"一种暖风散热器芯体自动装芯机及其工作方法"</f>
        <v>一种暖风散热器芯体自动装芯机及其工作方法</v>
      </c>
      <c r="C145" s="1" t="str">
        <f t="shared" si="75"/>
        <v>发明授权</v>
      </c>
      <c r="D145" s="1" t="str">
        <f t="shared" si="71"/>
        <v>未缴年费专利权终止</v>
      </c>
      <c r="E145" s="1" t="str">
        <f>"CN201310365914.3"</f>
        <v>CN201310365914.3</v>
      </c>
      <c r="F145" s="1" t="str">
        <f>"2013-08-20"</f>
        <v>2013-08-20</v>
      </c>
      <c r="G145" s="1" t="str">
        <f>"CN103419022B"</f>
        <v>CN103419022B</v>
      </c>
      <c r="H145" s="1" t="str">
        <f>"2015-10-28"</f>
        <v>2015-10-28</v>
      </c>
      <c r="I145" s="1" t="s">
        <v>4764</v>
      </c>
      <c r="J145" s="1" t="str">
        <f t="shared" si="74"/>
        <v>天津亚星世纪实业股份有限公司</v>
      </c>
    </row>
    <row r="146" spans="1:10">
      <c r="A146" s="1" t="str">
        <f t="shared" si="62"/>
        <v>天津亚星世纪实业股份有限公司</v>
      </c>
      <c r="B146" s="1" t="str">
        <f>"散热器芯体扩孔和打爪工装及其使用方法"</f>
        <v>散热器芯体扩孔和打爪工装及其使用方法</v>
      </c>
      <c r="C146" s="1" t="str">
        <f t="shared" si="75"/>
        <v>发明授权</v>
      </c>
      <c r="D146" s="1" t="str">
        <f t="shared" si="71"/>
        <v>未缴年费专利权终止</v>
      </c>
      <c r="E146" s="1" t="str">
        <f>"CN201310365468.6"</f>
        <v>CN201310365468.6</v>
      </c>
      <c r="F146" s="1" t="str">
        <f>"2013-08-20"</f>
        <v>2013-08-20</v>
      </c>
      <c r="G146" s="1" t="str">
        <f>"CN103418699B"</f>
        <v>CN103418699B</v>
      </c>
      <c r="H146" s="1" t="str">
        <f>"2015-06-17"</f>
        <v>2015-06-17</v>
      </c>
      <c r="I146" s="1" t="s">
        <v>4765</v>
      </c>
      <c r="J146" s="1" t="str">
        <f t="shared" si="74"/>
        <v>天津亚星世纪实业股份有限公司</v>
      </c>
    </row>
    <row r="147" spans="1:10">
      <c r="A147" s="1" t="str">
        <f t="shared" si="62"/>
        <v>天津亚星世纪实业股份有限公司</v>
      </c>
      <c r="B147" s="1" t="str">
        <f>"一种新型平行流蒸发器"</f>
        <v>一种新型平行流蒸发器</v>
      </c>
      <c r="C147" s="1" t="str">
        <f t="shared" si="76"/>
        <v>实用新型</v>
      </c>
      <c r="D147" s="1" t="str">
        <f t="shared" si="71"/>
        <v>未缴年费专利权终止</v>
      </c>
      <c r="E147" s="1" t="str">
        <f>"CN201420721317.X"</f>
        <v>CN201420721317.X</v>
      </c>
      <c r="F147" s="1" t="str">
        <f t="shared" ref="F147:F152" si="77">"2014-11-26"</f>
        <v>2014-11-26</v>
      </c>
      <c r="G147" s="1" t="str">
        <f>"CN204313535U"</f>
        <v>CN204313535U</v>
      </c>
      <c r="H147" s="1" t="str">
        <f t="shared" ref="H147:H152" si="78">"2015-05-06"</f>
        <v>2015-05-06</v>
      </c>
      <c r="I147" s="1" t="s">
        <v>4766</v>
      </c>
      <c r="J147" s="1" t="str">
        <f t="shared" si="74"/>
        <v>天津亚星世纪实业股份有限公司</v>
      </c>
    </row>
    <row r="148" spans="1:10">
      <c r="A148" s="1" t="str">
        <f t="shared" si="62"/>
        <v>天津亚星世纪实业股份有限公司</v>
      </c>
      <c r="B148" s="1" t="str">
        <f>"一种平行流蒸发器组芯工装"</f>
        <v>一种平行流蒸发器组芯工装</v>
      </c>
      <c r="C148" s="1" t="str">
        <f t="shared" si="76"/>
        <v>实用新型</v>
      </c>
      <c r="D148" s="1" t="str">
        <f t="shared" si="71"/>
        <v>未缴年费专利权终止</v>
      </c>
      <c r="E148" s="1" t="str">
        <f>"CN201420721573.9"</f>
        <v>CN201420721573.9</v>
      </c>
      <c r="F148" s="1" t="str">
        <f t="shared" si="77"/>
        <v>2014-11-26</v>
      </c>
      <c r="G148" s="1" t="str">
        <f>"CN204308548U"</f>
        <v>CN204308548U</v>
      </c>
      <c r="H148" s="1" t="str">
        <f t="shared" si="78"/>
        <v>2015-05-06</v>
      </c>
      <c r="I148" s="1" t="s">
        <v>4752</v>
      </c>
      <c r="J148" s="1" t="str">
        <f t="shared" si="74"/>
        <v>天津亚星世纪实业股份有限公司</v>
      </c>
    </row>
    <row r="149" spans="1:10">
      <c r="A149" s="1" t="str">
        <f t="shared" si="62"/>
        <v>天津亚星世纪实业股份有限公司</v>
      </c>
      <c r="B149" s="1" t="str">
        <f>"一种暖风散热器水室与水管的安装结构"</f>
        <v>一种暖风散热器水室与水管的安装结构</v>
      </c>
      <c r="C149" s="1" t="str">
        <f t="shared" si="76"/>
        <v>实用新型</v>
      </c>
      <c r="D149" s="1" t="str">
        <f t="shared" si="71"/>
        <v>未缴年费专利权终止</v>
      </c>
      <c r="E149" s="1" t="str">
        <f>"CN201420720150.5"</f>
        <v>CN201420720150.5</v>
      </c>
      <c r="F149" s="1" t="str">
        <f t="shared" si="77"/>
        <v>2014-11-26</v>
      </c>
      <c r="G149" s="1" t="str">
        <f>"CN204313699U"</f>
        <v>CN204313699U</v>
      </c>
      <c r="H149" s="1" t="str">
        <f t="shared" si="78"/>
        <v>2015-05-06</v>
      </c>
      <c r="I149" s="1" t="s">
        <v>4767</v>
      </c>
      <c r="J149" s="1" t="str">
        <f t="shared" si="74"/>
        <v>天津亚星世纪实业股份有限公司</v>
      </c>
    </row>
    <row r="150" spans="1:10">
      <c r="A150" s="1" t="str">
        <f t="shared" si="62"/>
        <v>天津亚星世纪实业股份有限公司</v>
      </c>
      <c r="B150" s="1" t="str">
        <f>"一种暖风散热器的水管活接工装"</f>
        <v>一种暖风散热器的水管活接工装</v>
      </c>
      <c r="C150" s="1" t="str">
        <f t="shared" si="76"/>
        <v>实用新型</v>
      </c>
      <c r="D150" s="1" t="str">
        <f>"避重放弃"</f>
        <v>避重放弃</v>
      </c>
      <c r="E150" s="1" t="str">
        <f>"CN201420720959.8"</f>
        <v>CN201420720959.8</v>
      </c>
      <c r="F150" s="1" t="str">
        <f t="shared" si="77"/>
        <v>2014-11-26</v>
      </c>
      <c r="G150" s="1" t="str">
        <f>"CN204308511U"</f>
        <v>CN204308511U</v>
      </c>
      <c r="H150" s="1" t="str">
        <f t="shared" si="78"/>
        <v>2015-05-06</v>
      </c>
      <c r="I150" s="1" t="s">
        <v>4747</v>
      </c>
      <c r="J150" s="1" t="str">
        <f>"天津市亚星散热器有限公司"</f>
        <v>天津市亚星散热器有限公司</v>
      </c>
    </row>
    <row r="151" spans="1:10">
      <c r="A151" s="1" t="str">
        <f t="shared" si="62"/>
        <v>天津亚星世纪实业股份有限公司</v>
      </c>
      <c r="B151" s="1" t="str">
        <f>"一种暖风散热器主片与水室的安装结构"</f>
        <v>一种暖风散热器主片与水室的安装结构</v>
      </c>
      <c r="C151" s="1" t="str">
        <f t="shared" si="76"/>
        <v>实用新型</v>
      </c>
      <c r="D151" s="1" t="str">
        <f>"未缴年费专利权终止"</f>
        <v>未缴年费专利权终止</v>
      </c>
      <c r="E151" s="1" t="str">
        <f>"CN201420720204.8"</f>
        <v>CN201420720204.8</v>
      </c>
      <c r="F151" s="1" t="str">
        <f t="shared" si="77"/>
        <v>2014-11-26</v>
      </c>
      <c r="G151" s="1" t="str">
        <f>"CN204313700U"</f>
        <v>CN204313700U</v>
      </c>
      <c r="H151" s="1" t="str">
        <f t="shared" si="78"/>
        <v>2015-05-06</v>
      </c>
      <c r="I151" s="1" t="s">
        <v>4768</v>
      </c>
      <c r="J151" s="1" t="str">
        <f>"天津亚星世纪实业股份有限公司"</f>
        <v>天津亚星世纪实业股份有限公司</v>
      </c>
    </row>
    <row r="152" spans="1:10">
      <c r="A152" s="1" t="str">
        <f t="shared" si="62"/>
        <v>天津亚星世纪实业股份有限公司</v>
      </c>
      <c r="B152" s="1" t="str">
        <f>"一种汽车用暖风散热器的端板结构"</f>
        <v>一种汽车用暖风散热器的端板结构</v>
      </c>
      <c r="C152" s="1" t="str">
        <f t="shared" si="76"/>
        <v>实用新型</v>
      </c>
      <c r="D152" s="1" t="str">
        <f>"未缴年费专利权终止"</f>
        <v>未缴年费专利权终止</v>
      </c>
      <c r="E152" s="1" t="str">
        <f>"CN201420720236.8"</f>
        <v>CN201420720236.8</v>
      </c>
      <c r="F152" s="1" t="str">
        <f t="shared" si="77"/>
        <v>2014-11-26</v>
      </c>
      <c r="G152" s="1" t="str">
        <f>"CN204313380U"</f>
        <v>CN204313380U</v>
      </c>
      <c r="H152" s="1" t="str">
        <f t="shared" si="78"/>
        <v>2015-05-06</v>
      </c>
      <c r="I152" s="1" t="s">
        <v>4753</v>
      </c>
      <c r="J152" s="1" t="str">
        <f>"天津亚星世纪实业股份有限公司"</f>
        <v>天津亚星世纪实业股份有限公司</v>
      </c>
    </row>
    <row r="153" spans="1:10">
      <c r="A153" s="1" t="str">
        <f t="shared" ref="A153:A216" si="79">"天津星原工业科技有限公司"</f>
        <v>天津星原工业科技有限公司</v>
      </c>
      <c r="B153" s="1" t="str">
        <f>"一种防漏焊装置及其使用方法"</f>
        <v>一种防漏焊装置及其使用方法</v>
      </c>
      <c r="C153" s="1" t="str">
        <f>"发明授权"</f>
        <v>发明授权</v>
      </c>
      <c r="D153" s="1" t="str">
        <f t="shared" ref="D153:D169" si="80">"授权"</f>
        <v>授权</v>
      </c>
      <c r="E153" s="1" t="str">
        <f>"CN202011385553.5"</f>
        <v>CN202011385553.5</v>
      </c>
      <c r="F153" s="1" t="str">
        <f>"2020-12-01"</f>
        <v>2020-12-01</v>
      </c>
      <c r="G153" s="1" t="str">
        <f>"CN112427791B"</f>
        <v>CN112427791B</v>
      </c>
      <c r="H153" s="1" t="str">
        <f>"2025-05-27"</f>
        <v>2025-05-27</v>
      </c>
      <c r="I153" s="1" t="s">
        <v>4769</v>
      </c>
      <c r="J153" s="1" t="str">
        <f>"天津星原工业科技有限公司"</f>
        <v>天津星原工业科技有限公司</v>
      </c>
    </row>
    <row r="154" spans="1:10">
      <c r="A154" s="1" t="str">
        <f t="shared" si="79"/>
        <v>天津星原工业科技有限公司</v>
      </c>
      <c r="B154" s="1" t="str">
        <f>"一种汽车的板状零件折弯装置"</f>
        <v>一种汽车的板状零件折弯装置</v>
      </c>
      <c r="C154" s="1" t="str">
        <f>"发明授权"</f>
        <v>发明授权</v>
      </c>
      <c r="D154" s="1" t="str">
        <f t="shared" si="80"/>
        <v>授权</v>
      </c>
      <c r="E154" s="1" t="str">
        <f>"CN201811057811.X"</f>
        <v>CN201811057811.X</v>
      </c>
      <c r="F154" s="1" t="str">
        <f>"2018-09-11"</f>
        <v>2018-09-11</v>
      </c>
      <c r="G154" s="1" t="str">
        <f>"CN109013766B"</f>
        <v>CN109013766B</v>
      </c>
      <c r="H154" s="1" t="str">
        <f>"2024-03-29"</f>
        <v>2024-03-29</v>
      </c>
      <c r="I154" s="1" t="s">
        <v>4770</v>
      </c>
      <c r="J154" s="1" t="str">
        <f t="shared" ref="J154:J218" si="81">"天津星原汽车零部件有限公司"</f>
        <v>天津星原汽车零部件有限公司</v>
      </c>
    </row>
    <row r="155" spans="1:10">
      <c r="A155" s="1" t="str">
        <f t="shared" si="79"/>
        <v>天津星原工业科技有限公司</v>
      </c>
      <c r="B155" s="1" t="str">
        <f>"一种弯管线材折弯定位装置"</f>
        <v>一种弯管线材折弯定位装置</v>
      </c>
      <c r="C155" s="1" t="str">
        <f t="shared" ref="C155:C181" si="82">"实用新型"</f>
        <v>实用新型</v>
      </c>
      <c r="D155" s="1" t="str">
        <f t="shared" si="80"/>
        <v>授权</v>
      </c>
      <c r="E155" s="1" t="str">
        <f>"CN202223325585.3"</f>
        <v>CN202223325585.3</v>
      </c>
      <c r="F155" s="1" t="str">
        <f>"2022-12-13"</f>
        <v>2022-12-13</v>
      </c>
      <c r="G155" s="1" t="str">
        <f>"CN219520314U"</f>
        <v>CN219520314U</v>
      </c>
      <c r="H155" s="1" t="str">
        <f>"2023-08-15"</f>
        <v>2023-08-15</v>
      </c>
      <c r="I155" s="1" t="s">
        <v>4771</v>
      </c>
      <c r="J155" s="1" t="str">
        <f>"天津星原工业科技有限公司"</f>
        <v>天津星原工业科技有限公司</v>
      </c>
    </row>
    <row r="156" spans="1:10">
      <c r="A156" s="1" t="str">
        <f t="shared" si="79"/>
        <v>天津星原工业科技有限公司</v>
      </c>
      <c r="B156" s="1" t="str">
        <f>"一种可调式汽车零件冲压装置"</f>
        <v>一种可调式汽车零件冲压装置</v>
      </c>
      <c r="C156" s="1" t="str">
        <f t="shared" si="82"/>
        <v>实用新型</v>
      </c>
      <c r="D156" s="1" t="str">
        <f t="shared" si="80"/>
        <v>授权</v>
      </c>
      <c r="E156" s="1" t="str">
        <f>"CN202223054187.2"</f>
        <v>CN202223054187.2</v>
      </c>
      <c r="F156" s="1" t="str">
        <f t="shared" ref="F156:F160" si="83">"2022-11-17"</f>
        <v>2022-11-17</v>
      </c>
      <c r="G156" s="1" t="str">
        <f>"CN219233654U"</f>
        <v>CN219233654U</v>
      </c>
      <c r="H156" s="1" t="str">
        <f>"2023-06-23"</f>
        <v>2023-06-23</v>
      </c>
      <c r="I156" s="1" t="s">
        <v>4772</v>
      </c>
      <c r="J156" s="1" t="str">
        <f t="shared" si="81"/>
        <v>天津星原汽车零部件有限公司</v>
      </c>
    </row>
    <row r="157" spans="1:10">
      <c r="A157" s="1" t="str">
        <f t="shared" si="79"/>
        <v>天津星原工业科技有限公司</v>
      </c>
      <c r="B157" s="1" t="str">
        <f>"一种汽车管部件加工焊接设备"</f>
        <v>一种汽车管部件加工焊接设备</v>
      </c>
      <c r="C157" s="1" t="str">
        <f t="shared" si="82"/>
        <v>实用新型</v>
      </c>
      <c r="D157" s="1" t="str">
        <f t="shared" si="80"/>
        <v>授权</v>
      </c>
      <c r="E157" s="1" t="str">
        <f>"CN202223054170.7"</f>
        <v>CN202223054170.7</v>
      </c>
      <c r="F157" s="1" t="str">
        <f t="shared" si="83"/>
        <v>2022-11-17</v>
      </c>
      <c r="G157" s="1" t="str">
        <f>"CN218964306U"</f>
        <v>CN218964306U</v>
      </c>
      <c r="H157" s="1" t="str">
        <f>"2023-05-05"</f>
        <v>2023-05-05</v>
      </c>
      <c r="I157" s="1" t="s">
        <v>4772</v>
      </c>
      <c r="J157" s="1" t="str">
        <f t="shared" si="81"/>
        <v>天津星原汽车零部件有限公司</v>
      </c>
    </row>
    <row r="158" spans="1:10">
      <c r="A158" s="1" t="str">
        <f t="shared" si="79"/>
        <v>天津星原工业科技有限公司</v>
      </c>
      <c r="B158" s="1" t="str">
        <f>"一种弯管成型冲压装置"</f>
        <v>一种弯管成型冲压装置</v>
      </c>
      <c r="C158" s="1" t="str">
        <f t="shared" si="82"/>
        <v>实用新型</v>
      </c>
      <c r="D158" s="1" t="str">
        <f t="shared" si="80"/>
        <v>授权</v>
      </c>
      <c r="E158" s="1" t="str">
        <f>"CN202223296345.5"</f>
        <v>CN202223296345.5</v>
      </c>
      <c r="F158" s="1" t="str">
        <f>"2022-12-09"</f>
        <v>2022-12-09</v>
      </c>
      <c r="G158" s="1" t="str">
        <f>"CN218903202U"</f>
        <v>CN218903202U</v>
      </c>
      <c r="H158" s="1" t="str">
        <f t="shared" ref="H158:H160" si="84">"2023-04-25"</f>
        <v>2023-04-25</v>
      </c>
      <c r="I158" s="1" t="s">
        <v>4773</v>
      </c>
      <c r="J158" s="1" t="str">
        <f t="shared" si="81"/>
        <v>天津星原汽车零部件有限公司</v>
      </c>
    </row>
    <row r="159" spans="1:10">
      <c r="A159" s="1" t="str">
        <f t="shared" si="79"/>
        <v>天津星原工业科技有限公司</v>
      </c>
      <c r="B159" s="1" t="str">
        <f>"一种弯管机安全挡板装置"</f>
        <v>一种弯管机安全挡板装置</v>
      </c>
      <c r="C159" s="1" t="str">
        <f t="shared" si="82"/>
        <v>实用新型</v>
      </c>
      <c r="D159" s="1" t="str">
        <f t="shared" si="80"/>
        <v>授权</v>
      </c>
      <c r="E159" s="1" t="str">
        <f>"CN202223325470.4"</f>
        <v>CN202223325470.4</v>
      </c>
      <c r="F159" s="1" t="str">
        <f>"2022-12-13"</f>
        <v>2022-12-13</v>
      </c>
      <c r="G159" s="1" t="str">
        <f>"CN218903421U"</f>
        <v>CN218903421U</v>
      </c>
      <c r="H159" s="1" t="str">
        <f t="shared" si="84"/>
        <v>2023-04-25</v>
      </c>
      <c r="I159" s="1" t="s">
        <v>4774</v>
      </c>
      <c r="J159" s="1" t="str">
        <f t="shared" si="81"/>
        <v>天津星原汽车零部件有限公司</v>
      </c>
    </row>
    <row r="160" spans="1:10">
      <c r="A160" s="1" t="str">
        <f t="shared" si="79"/>
        <v>天津星原工业科技有限公司</v>
      </c>
      <c r="B160" s="1" t="str">
        <f>"一种汽车零部件冷挤压加工用夹具"</f>
        <v>一种汽车零部件冷挤压加工用夹具</v>
      </c>
      <c r="C160" s="1" t="str">
        <f t="shared" si="82"/>
        <v>实用新型</v>
      </c>
      <c r="D160" s="1" t="str">
        <f t="shared" si="80"/>
        <v>授权</v>
      </c>
      <c r="E160" s="1" t="str">
        <f>"CN202223086513.8"</f>
        <v>CN202223086513.8</v>
      </c>
      <c r="F160" s="1" t="str">
        <f t="shared" si="83"/>
        <v>2022-11-17</v>
      </c>
      <c r="G160" s="1" t="str">
        <f>"CN218903384U"</f>
        <v>CN218903384U</v>
      </c>
      <c r="H160" s="1" t="str">
        <f t="shared" si="84"/>
        <v>2023-04-25</v>
      </c>
      <c r="I160" s="1" t="s">
        <v>4773</v>
      </c>
      <c r="J160" s="1" t="str">
        <f t="shared" si="81"/>
        <v>天津星原汽车零部件有限公司</v>
      </c>
    </row>
    <row r="161" spans="1:10">
      <c r="A161" s="1" t="str">
        <f t="shared" si="79"/>
        <v>天津星原工业科技有限公司</v>
      </c>
      <c r="B161" s="1" t="str">
        <f>"一种汽车配重块全检称重装置"</f>
        <v>一种汽车配重块全检称重装置</v>
      </c>
      <c r="C161" s="1" t="str">
        <f t="shared" si="82"/>
        <v>实用新型</v>
      </c>
      <c r="D161" s="1" t="str">
        <f t="shared" si="80"/>
        <v>授权</v>
      </c>
      <c r="E161" s="1" t="str">
        <f>"CN202223303222.X"</f>
        <v>CN202223303222.X</v>
      </c>
      <c r="F161" s="1" t="str">
        <f>"2022-12-09"</f>
        <v>2022-12-09</v>
      </c>
      <c r="G161" s="1" t="str">
        <f>"CN218885117U"</f>
        <v>CN218885117U</v>
      </c>
      <c r="H161" s="1" t="str">
        <f>"2023-04-18"</f>
        <v>2023-04-18</v>
      </c>
      <c r="I161" s="1" t="s">
        <v>4772</v>
      </c>
      <c r="J161" s="1" t="str">
        <f t="shared" si="81"/>
        <v>天津星原汽车零部件有限公司</v>
      </c>
    </row>
    <row r="162" spans="1:10">
      <c r="A162" s="1" t="str">
        <f t="shared" si="79"/>
        <v>天津星原工业科技有限公司</v>
      </c>
      <c r="B162" s="1" t="str">
        <f>"一种汽车液压助力设备"</f>
        <v>一种汽车液压助力设备</v>
      </c>
      <c r="C162" s="1" t="str">
        <f t="shared" si="82"/>
        <v>实用新型</v>
      </c>
      <c r="D162" s="1" t="str">
        <f t="shared" si="80"/>
        <v>授权</v>
      </c>
      <c r="E162" s="1" t="str">
        <f>"CN202223431432.7"</f>
        <v>CN202223431432.7</v>
      </c>
      <c r="F162" s="1" t="str">
        <f>"2022-12-20"</f>
        <v>2022-12-20</v>
      </c>
      <c r="G162" s="1" t="str">
        <f>"CN218806085U"</f>
        <v>CN218806085U</v>
      </c>
      <c r="H162" s="1" t="str">
        <f>"2023-04-07"</f>
        <v>2023-04-07</v>
      </c>
      <c r="I162" s="1" t="s">
        <v>4775</v>
      </c>
      <c r="J162" s="1" t="str">
        <f t="shared" si="81"/>
        <v>天津星原汽车零部件有限公司</v>
      </c>
    </row>
    <row r="163" spans="1:10">
      <c r="A163" s="1" t="str">
        <f t="shared" si="79"/>
        <v>天津星原工业科技有限公司</v>
      </c>
      <c r="B163" s="1" t="str">
        <f>"一种防飞溅的冲压压机安全门"</f>
        <v>一种防飞溅的冲压压机安全门</v>
      </c>
      <c r="C163" s="1" t="str">
        <f t="shared" si="82"/>
        <v>实用新型</v>
      </c>
      <c r="D163" s="1" t="str">
        <f t="shared" si="80"/>
        <v>授权</v>
      </c>
      <c r="E163" s="1" t="str">
        <f>"CN202222736709.0"</f>
        <v>CN202222736709.0</v>
      </c>
      <c r="F163" s="1" t="str">
        <f t="shared" ref="F163:F167" si="85">"2022-10-18"</f>
        <v>2022-10-18</v>
      </c>
      <c r="G163" s="1" t="str">
        <f>"CN218656304U"</f>
        <v>CN218656304U</v>
      </c>
      <c r="H163" s="1" t="str">
        <f>"2023-03-21"</f>
        <v>2023-03-21</v>
      </c>
      <c r="I163" s="1" t="s">
        <v>4771</v>
      </c>
      <c r="J163" s="1" t="str">
        <f t="shared" si="81"/>
        <v>天津星原汽车零部件有限公司</v>
      </c>
    </row>
    <row r="164" spans="1:10">
      <c r="A164" s="1" t="str">
        <f t="shared" si="79"/>
        <v>天津星原工业科技有限公司</v>
      </c>
      <c r="B164" s="1" t="str">
        <f>"一种高精度汽车螺母的冲压装置"</f>
        <v>一种高精度汽车螺母的冲压装置</v>
      </c>
      <c r="C164" s="1" t="str">
        <f t="shared" si="82"/>
        <v>实用新型</v>
      </c>
      <c r="D164" s="1" t="str">
        <f t="shared" si="80"/>
        <v>授权</v>
      </c>
      <c r="E164" s="1" t="str">
        <f>"CN202222736708.6"</f>
        <v>CN202222736708.6</v>
      </c>
      <c r="F164" s="1" t="str">
        <f t="shared" si="85"/>
        <v>2022-10-18</v>
      </c>
      <c r="G164" s="1" t="str">
        <f>"CN218656303U"</f>
        <v>CN218656303U</v>
      </c>
      <c r="H164" s="1" t="str">
        <f>"2023-03-21"</f>
        <v>2023-03-21</v>
      </c>
      <c r="I164" s="1" t="s">
        <v>4773</v>
      </c>
      <c r="J164" s="1" t="str">
        <f t="shared" si="81"/>
        <v>天津星原汽车零部件有限公司</v>
      </c>
    </row>
    <row r="165" spans="1:10">
      <c r="A165" s="1" t="str">
        <f t="shared" si="79"/>
        <v>天津星原工业科技有限公司</v>
      </c>
      <c r="B165" s="1" t="str">
        <f>"一种冲压机废料回收装置"</f>
        <v>一种冲压机废料回收装置</v>
      </c>
      <c r="C165" s="1" t="str">
        <f t="shared" si="82"/>
        <v>实用新型</v>
      </c>
      <c r="D165" s="1" t="str">
        <f t="shared" si="80"/>
        <v>授权</v>
      </c>
      <c r="E165" s="1" t="str">
        <f>"CN202222736713.7"</f>
        <v>CN202222736713.7</v>
      </c>
      <c r="F165" s="1" t="str">
        <f t="shared" si="85"/>
        <v>2022-10-18</v>
      </c>
      <c r="G165" s="1" t="str">
        <f>"CN218591651U"</f>
        <v>CN218591651U</v>
      </c>
      <c r="H165" s="1" t="str">
        <f t="shared" ref="H165:H167" si="86">"2023-03-10"</f>
        <v>2023-03-10</v>
      </c>
      <c r="I165" s="1" t="s">
        <v>4774</v>
      </c>
      <c r="J165" s="1" t="str">
        <f t="shared" si="81"/>
        <v>天津星原汽车零部件有限公司</v>
      </c>
    </row>
    <row r="166" spans="1:10">
      <c r="A166" s="1" t="str">
        <f t="shared" si="79"/>
        <v>天津星原工业科技有限公司</v>
      </c>
      <c r="B166" s="1" t="str">
        <f>"一种级进模冲压件的快速检测装置"</f>
        <v>一种级进模冲压件的快速检测装置</v>
      </c>
      <c r="C166" s="1" t="str">
        <f t="shared" si="82"/>
        <v>实用新型</v>
      </c>
      <c r="D166" s="1" t="str">
        <f t="shared" si="80"/>
        <v>授权</v>
      </c>
      <c r="E166" s="1" t="str">
        <f>"CN202222736659.6"</f>
        <v>CN202222736659.6</v>
      </c>
      <c r="F166" s="1" t="str">
        <f t="shared" si="85"/>
        <v>2022-10-18</v>
      </c>
      <c r="G166" s="1" t="str">
        <f>"CN218591486U"</f>
        <v>CN218591486U</v>
      </c>
      <c r="H166" s="1" t="str">
        <f t="shared" si="86"/>
        <v>2023-03-10</v>
      </c>
      <c r="I166" s="1" t="s">
        <v>4773</v>
      </c>
      <c r="J166" s="1" t="str">
        <f t="shared" si="81"/>
        <v>天津星原汽车零部件有限公司</v>
      </c>
    </row>
    <row r="167" spans="1:10">
      <c r="A167" s="1" t="str">
        <f t="shared" si="79"/>
        <v>天津星原工业科技有限公司</v>
      </c>
      <c r="B167" s="1" t="str">
        <f>"一种激光切割孔防漏切检测装置"</f>
        <v>一种激光切割孔防漏切检测装置</v>
      </c>
      <c r="C167" s="1" t="str">
        <f t="shared" si="82"/>
        <v>实用新型</v>
      </c>
      <c r="D167" s="1" t="str">
        <f t="shared" si="80"/>
        <v>授权</v>
      </c>
      <c r="E167" s="1" t="str">
        <f>"CN202222736735.3"</f>
        <v>CN202222736735.3</v>
      </c>
      <c r="F167" s="1" t="str">
        <f t="shared" si="85"/>
        <v>2022-10-18</v>
      </c>
      <c r="G167" s="1" t="str">
        <f>"CN218600597U"</f>
        <v>CN218600597U</v>
      </c>
      <c r="H167" s="1" t="str">
        <f t="shared" si="86"/>
        <v>2023-03-10</v>
      </c>
      <c r="I167" s="1" t="s">
        <v>4772</v>
      </c>
      <c r="J167" s="1" t="str">
        <f t="shared" si="81"/>
        <v>天津星原汽车零部件有限公司</v>
      </c>
    </row>
    <row r="168" spans="1:10">
      <c r="A168" s="1" t="str">
        <f t="shared" si="79"/>
        <v>天津星原工业科技有限公司</v>
      </c>
      <c r="B168" s="1" t="str">
        <f>"一种能够实现轮履切换的轮毂及车轮"</f>
        <v>一种能够实现轮履切换的轮毂及车轮</v>
      </c>
      <c r="C168" s="1" t="str">
        <f t="shared" si="82"/>
        <v>实用新型</v>
      </c>
      <c r="D168" s="1" t="str">
        <f t="shared" si="80"/>
        <v>授权</v>
      </c>
      <c r="E168" s="1" t="str">
        <f>"CN202222360525.9"</f>
        <v>CN202222360525.9</v>
      </c>
      <c r="F168" s="1" t="str">
        <f>"2022-09-05"</f>
        <v>2022-09-05</v>
      </c>
      <c r="G168" s="1" t="str">
        <f>"CN217994620U"</f>
        <v>CN217994620U</v>
      </c>
      <c r="H168" s="1" t="str">
        <f>"2022-12-09"</f>
        <v>2022-12-09</v>
      </c>
      <c r="I168" s="1" t="s">
        <v>4776</v>
      </c>
      <c r="J168" s="1" t="str">
        <f t="shared" si="81"/>
        <v>天津星原汽车零部件有限公司</v>
      </c>
    </row>
    <row r="169" spans="1:10">
      <c r="A169" s="1" t="str">
        <f t="shared" si="79"/>
        <v>天津星原工业科技有限公司</v>
      </c>
      <c r="B169" s="1" t="str">
        <f>"一种弹性带孔零件自动装配装置"</f>
        <v>一种弹性带孔零件自动装配装置</v>
      </c>
      <c r="C169" s="1" t="str">
        <f t="shared" si="82"/>
        <v>实用新型</v>
      </c>
      <c r="D169" s="1" t="str">
        <f t="shared" si="80"/>
        <v>授权</v>
      </c>
      <c r="E169" s="1" t="str">
        <f>"CN202120945443.3"</f>
        <v>CN202120945443.3</v>
      </c>
      <c r="F169" s="1" t="str">
        <f>"2021-05-06"</f>
        <v>2021-05-06</v>
      </c>
      <c r="G169" s="1" t="str">
        <f>"CN214979006U"</f>
        <v>CN214979006U</v>
      </c>
      <c r="H169" s="1" t="str">
        <f>"2021-12-03"</f>
        <v>2021-12-03</v>
      </c>
      <c r="I169" s="1" t="s">
        <v>4777</v>
      </c>
      <c r="J169" s="1" t="str">
        <f t="shared" si="81"/>
        <v>天津星原汽车零部件有限公司</v>
      </c>
    </row>
    <row r="170" spans="1:10">
      <c r="A170" s="1" t="str">
        <f t="shared" si="79"/>
        <v>天津星原工业科技有限公司</v>
      </c>
      <c r="B170" s="1" t="str">
        <f>"一种防漏焊装置"</f>
        <v>一种防漏焊装置</v>
      </c>
      <c r="C170" s="1" t="str">
        <f t="shared" si="82"/>
        <v>实用新型</v>
      </c>
      <c r="D170" s="1" t="str">
        <f>"避重放弃"</f>
        <v>避重放弃</v>
      </c>
      <c r="E170" s="1" t="str">
        <f>"CN202022848740.4"</f>
        <v>CN202022848740.4</v>
      </c>
      <c r="F170" s="1" t="str">
        <f>"2020-12-01"</f>
        <v>2020-12-01</v>
      </c>
      <c r="G170" s="1" t="str">
        <f>"CN214518134U"</f>
        <v>CN214518134U</v>
      </c>
      <c r="H170" s="1" t="str">
        <f>"2021-10-29"</f>
        <v>2021-10-29</v>
      </c>
      <c r="I170" s="1" t="s">
        <v>4769</v>
      </c>
      <c r="J170" s="1" t="str">
        <f t="shared" si="81"/>
        <v>天津星原汽车零部件有限公司</v>
      </c>
    </row>
    <row r="171" spans="1:10">
      <c r="A171" s="1" t="str">
        <f t="shared" si="79"/>
        <v>天津星原工业科技有限公司</v>
      </c>
      <c r="B171" s="1" t="str">
        <f>"一种用于机械加工的钣金弯折装置"</f>
        <v>一种用于机械加工的钣金弯折装置</v>
      </c>
      <c r="C171" s="1" t="str">
        <f t="shared" si="82"/>
        <v>实用新型</v>
      </c>
      <c r="D171" s="1" t="str">
        <f t="shared" ref="D171:D175" si="87">"授权"</f>
        <v>授权</v>
      </c>
      <c r="E171" s="1" t="str">
        <f>"CN202022645258.0"</f>
        <v>CN202022645258.0</v>
      </c>
      <c r="F171" s="1" t="str">
        <f>"2020-11-16"</f>
        <v>2020-11-16</v>
      </c>
      <c r="G171" s="1" t="str">
        <f>"CN214391758U"</f>
        <v>CN214391758U</v>
      </c>
      <c r="H171" s="1" t="str">
        <f>"2021-10-15"</f>
        <v>2021-10-15</v>
      </c>
      <c r="I171" s="1" t="str">
        <f>"魏德印"</f>
        <v>魏德印</v>
      </c>
      <c r="J171" s="1" t="str">
        <f t="shared" si="81"/>
        <v>天津星原汽车零部件有限公司</v>
      </c>
    </row>
    <row r="172" spans="1:10">
      <c r="A172" s="1" t="str">
        <f t="shared" si="79"/>
        <v>天津星原工业科技有限公司</v>
      </c>
      <c r="B172" s="1" t="str">
        <f>"一种钻模定位装置"</f>
        <v>一种钻模定位装置</v>
      </c>
      <c r="C172" s="1" t="str">
        <f t="shared" si="82"/>
        <v>实用新型</v>
      </c>
      <c r="D172" s="1" t="str">
        <f t="shared" si="87"/>
        <v>授权</v>
      </c>
      <c r="E172" s="1" t="str">
        <f>"CN202022528873.3"</f>
        <v>CN202022528873.3</v>
      </c>
      <c r="F172" s="1" t="str">
        <f>"2020-11-05"</f>
        <v>2020-11-05</v>
      </c>
      <c r="G172" s="1" t="str">
        <f>"CN213857249U"</f>
        <v>CN213857249U</v>
      </c>
      <c r="H172" s="1" t="str">
        <f>"2021-08-03"</f>
        <v>2021-08-03</v>
      </c>
      <c r="I172" s="1" t="s">
        <v>4778</v>
      </c>
      <c r="J172" s="1" t="str">
        <f t="shared" si="81"/>
        <v>天津星原汽车零部件有限公司</v>
      </c>
    </row>
    <row r="173" spans="1:10">
      <c r="A173" s="1" t="str">
        <f t="shared" si="79"/>
        <v>天津星原工业科技有限公司</v>
      </c>
      <c r="B173" s="1" t="str">
        <f>"一种汽车零件加工用打磨装置"</f>
        <v>一种汽车零件加工用打磨装置</v>
      </c>
      <c r="C173" s="1" t="str">
        <f t="shared" si="82"/>
        <v>实用新型</v>
      </c>
      <c r="D173" s="1" t="str">
        <f t="shared" si="87"/>
        <v>授权</v>
      </c>
      <c r="E173" s="1" t="str">
        <f>"CN201821482830.2"</f>
        <v>CN201821482830.2</v>
      </c>
      <c r="F173" s="1" t="str">
        <f t="shared" ref="F173:F186" si="88">"2018-09-11"</f>
        <v>2018-09-11</v>
      </c>
      <c r="G173" s="1" t="str">
        <f>"CN208929845U"</f>
        <v>CN208929845U</v>
      </c>
      <c r="H173" s="1" t="str">
        <f t="shared" ref="H173:H181" si="89">"2019-06-04"</f>
        <v>2019-06-04</v>
      </c>
      <c r="I173" s="1" t="s">
        <v>4779</v>
      </c>
      <c r="J173" s="1" t="str">
        <f t="shared" si="81"/>
        <v>天津星原汽车零部件有限公司</v>
      </c>
    </row>
    <row r="174" spans="1:10">
      <c r="A174" s="1" t="str">
        <f t="shared" si="79"/>
        <v>天津星原工业科技有限公司</v>
      </c>
      <c r="B174" s="1" t="str">
        <f>"一种汽车零件喷涂处理装置"</f>
        <v>一种汽车零件喷涂处理装置</v>
      </c>
      <c r="C174" s="1" t="str">
        <f t="shared" si="82"/>
        <v>实用新型</v>
      </c>
      <c r="D174" s="1" t="str">
        <f t="shared" si="87"/>
        <v>授权</v>
      </c>
      <c r="E174" s="1" t="str">
        <f>"CN201821482827.0"</f>
        <v>CN201821482827.0</v>
      </c>
      <c r="F174" s="1" t="str">
        <f t="shared" si="88"/>
        <v>2018-09-11</v>
      </c>
      <c r="G174" s="1" t="str">
        <f>"CN208928420U"</f>
        <v>CN208928420U</v>
      </c>
      <c r="H174" s="1" t="str">
        <f t="shared" si="89"/>
        <v>2019-06-04</v>
      </c>
      <c r="I174" s="1" t="s">
        <v>4780</v>
      </c>
      <c r="J174" s="1" t="str">
        <f t="shared" si="81"/>
        <v>天津星原汽车零部件有限公司</v>
      </c>
    </row>
    <row r="175" spans="1:10">
      <c r="A175" s="1" t="str">
        <f t="shared" si="79"/>
        <v>天津星原工业科技有限公司</v>
      </c>
      <c r="B175" s="1" t="str">
        <f>"一种汽车零部件冲压装置"</f>
        <v>一种汽车零部件冲压装置</v>
      </c>
      <c r="C175" s="1" t="str">
        <f t="shared" si="82"/>
        <v>实用新型</v>
      </c>
      <c r="D175" s="1" t="str">
        <f t="shared" si="87"/>
        <v>授权</v>
      </c>
      <c r="E175" s="1" t="str">
        <f>"CN201821482858.6"</f>
        <v>CN201821482858.6</v>
      </c>
      <c r="F175" s="1" t="str">
        <f t="shared" si="88"/>
        <v>2018-09-11</v>
      </c>
      <c r="G175" s="1" t="str">
        <f>"CN208928962U"</f>
        <v>CN208928962U</v>
      </c>
      <c r="H175" s="1" t="str">
        <f t="shared" si="89"/>
        <v>2019-06-04</v>
      </c>
      <c r="I175" s="1" t="s">
        <v>4781</v>
      </c>
      <c r="J175" s="1" t="str">
        <f t="shared" si="81"/>
        <v>天津星原汽车零部件有限公司</v>
      </c>
    </row>
    <row r="176" spans="1:10">
      <c r="A176" s="1" t="str">
        <f t="shared" si="79"/>
        <v>天津星原工业科技有限公司</v>
      </c>
      <c r="B176" s="1" t="str">
        <f>"一种汽车用钢板冲孔装置"</f>
        <v>一种汽车用钢板冲孔装置</v>
      </c>
      <c r="C176" s="1" t="str">
        <f t="shared" si="82"/>
        <v>实用新型</v>
      </c>
      <c r="D176" s="1" t="str">
        <f t="shared" ref="D176:D181" si="90">"未缴年费专利权终止"</f>
        <v>未缴年费专利权终止</v>
      </c>
      <c r="E176" s="1" t="str">
        <f>"CN201821483505.8"</f>
        <v>CN201821483505.8</v>
      </c>
      <c r="F176" s="1" t="str">
        <f t="shared" si="88"/>
        <v>2018-09-11</v>
      </c>
      <c r="G176" s="1" t="str">
        <f>"CN208928965U"</f>
        <v>CN208928965U</v>
      </c>
      <c r="H176" s="1" t="str">
        <f t="shared" si="89"/>
        <v>2019-06-04</v>
      </c>
      <c r="I176" s="1" t="s">
        <v>4782</v>
      </c>
      <c r="J176" s="1" t="str">
        <f t="shared" si="81"/>
        <v>天津星原汽车零部件有限公司</v>
      </c>
    </row>
    <row r="177" spans="1:10">
      <c r="A177" s="1" t="str">
        <f t="shared" si="79"/>
        <v>天津星原工业科技有限公司</v>
      </c>
      <c r="B177" s="1" t="str">
        <f>"一种汽车零部件夹紧装置"</f>
        <v>一种汽车零部件夹紧装置</v>
      </c>
      <c r="C177" s="1" t="str">
        <f t="shared" si="82"/>
        <v>实用新型</v>
      </c>
      <c r="D177" s="1" t="str">
        <f t="shared" si="90"/>
        <v>未缴年费专利权终止</v>
      </c>
      <c r="E177" s="1" t="str">
        <f>"CN201821482859.0"</f>
        <v>CN201821482859.0</v>
      </c>
      <c r="F177" s="1" t="str">
        <f t="shared" si="88"/>
        <v>2018-09-11</v>
      </c>
      <c r="G177" s="1" t="str">
        <f>"CN208930057U"</f>
        <v>CN208930057U</v>
      </c>
      <c r="H177" s="1" t="str">
        <f t="shared" si="89"/>
        <v>2019-06-04</v>
      </c>
      <c r="I177" s="1" t="s">
        <v>4783</v>
      </c>
      <c r="J177" s="1" t="str">
        <f t="shared" si="81"/>
        <v>天津星原汽车零部件有限公司</v>
      </c>
    </row>
    <row r="178" spans="1:10">
      <c r="A178" s="1" t="str">
        <f t="shared" si="79"/>
        <v>天津星原工业科技有限公司</v>
      </c>
      <c r="B178" s="1" t="str">
        <f>"一种板状汽车零件折弯装置"</f>
        <v>一种板状汽车零件折弯装置</v>
      </c>
      <c r="C178" s="1" t="str">
        <f t="shared" si="82"/>
        <v>实用新型</v>
      </c>
      <c r="D178" s="1" t="str">
        <f>"避重放弃"</f>
        <v>避重放弃</v>
      </c>
      <c r="E178" s="1" t="str">
        <f>"CN201821483529.3"</f>
        <v>CN201821483529.3</v>
      </c>
      <c r="F178" s="1" t="str">
        <f t="shared" si="88"/>
        <v>2018-09-11</v>
      </c>
      <c r="G178" s="1" t="str">
        <f>"CN208928911U"</f>
        <v>CN208928911U</v>
      </c>
      <c r="H178" s="1" t="str">
        <f t="shared" si="89"/>
        <v>2019-06-04</v>
      </c>
      <c r="I178" s="1" t="s">
        <v>4770</v>
      </c>
      <c r="J178" s="1" t="str">
        <f t="shared" si="81"/>
        <v>天津星原汽车零部件有限公司</v>
      </c>
    </row>
    <row r="179" spans="1:10">
      <c r="A179" s="1" t="str">
        <f t="shared" si="79"/>
        <v>天津星原工业科技有限公司</v>
      </c>
      <c r="B179" s="1" t="str">
        <f>"一种汽车螺丝盖板一次成型的冲压磨具"</f>
        <v>一种汽车螺丝盖板一次成型的冲压磨具</v>
      </c>
      <c r="C179" s="1" t="str">
        <f t="shared" si="82"/>
        <v>实用新型</v>
      </c>
      <c r="D179" s="1" t="str">
        <f>"授权"</f>
        <v>授权</v>
      </c>
      <c r="E179" s="1" t="str">
        <f>"CN201821483507.7"</f>
        <v>CN201821483507.7</v>
      </c>
      <c r="F179" s="1" t="str">
        <f t="shared" si="88"/>
        <v>2018-09-11</v>
      </c>
      <c r="G179" s="1" t="str">
        <f>"CN208929017U"</f>
        <v>CN208929017U</v>
      </c>
      <c r="H179" s="1" t="str">
        <f t="shared" si="89"/>
        <v>2019-06-04</v>
      </c>
      <c r="I179" s="1" t="s">
        <v>4784</v>
      </c>
      <c r="J179" s="1" t="str">
        <f t="shared" si="81"/>
        <v>天津星原汽车零部件有限公司</v>
      </c>
    </row>
    <row r="180" spans="1:10">
      <c r="A180" s="1" t="str">
        <f t="shared" si="79"/>
        <v>天津星原工业科技有限公司</v>
      </c>
      <c r="B180" s="1" t="str">
        <f>"一种汽车零部件输料装置"</f>
        <v>一种汽车零部件输料装置</v>
      </c>
      <c r="C180" s="1" t="str">
        <f t="shared" si="82"/>
        <v>实用新型</v>
      </c>
      <c r="D180" s="1" t="str">
        <f>"授权"</f>
        <v>授权</v>
      </c>
      <c r="E180" s="1" t="str">
        <f>"CN201821481950.0"</f>
        <v>CN201821481950.0</v>
      </c>
      <c r="F180" s="1" t="str">
        <f t="shared" si="88"/>
        <v>2018-09-11</v>
      </c>
      <c r="G180" s="1" t="str">
        <f>"CN208931373U"</f>
        <v>CN208931373U</v>
      </c>
      <c r="H180" s="1" t="str">
        <f t="shared" si="89"/>
        <v>2019-06-04</v>
      </c>
      <c r="I180" s="1" t="s">
        <v>4785</v>
      </c>
      <c r="J180" s="1" t="str">
        <f t="shared" si="81"/>
        <v>天津星原汽车零部件有限公司</v>
      </c>
    </row>
    <row r="181" spans="1:10">
      <c r="A181" s="1" t="str">
        <f t="shared" si="79"/>
        <v>天津星原工业科技有限公司</v>
      </c>
      <c r="B181" s="1" t="str">
        <f>"一种汽车零部件打磨设备"</f>
        <v>一种汽车零部件打磨设备</v>
      </c>
      <c r="C181" s="1" t="str">
        <f t="shared" si="82"/>
        <v>实用新型</v>
      </c>
      <c r="D181" s="1" t="str">
        <f t="shared" si="90"/>
        <v>未缴年费专利权终止</v>
      </c>
      <c r="E181" s="1" t="str">
        <f>"CN201821481948.3"</f>
        <v>CN201821481948.3</v>
      </c>
      <c r="F181" s="1" t="str">
        <f t="shared" si="88"/>
        <v>2018-09-11</v>
      </c>
      <c r="G181" s="1" t="str">
        <f>"CN208929852U"</f>
        <v>CN208929852U</v>
      </c>
      <c r="H181" s="1" t="str">
        <f t="shared" si="89"/>
        <v>2019-06-04</v>
      </c>
      <c r="I181" s="1" t="s">
        <v>4786</v>
      </c>
      <c r="J181" s="1" t="str">
        <f t="shared" si="81"/>
        <v>天津星原汽车零部件有限公司</v>
      </c>
    </row>
    <row r="182" spans="1:10">
      <c r="A182" s="1" t="str">
        <f t="shared" si="79"/>
        <v>天津星原工业科技有限公司</v>
      </c>
      <c r="B182" s="1" t="str">
        <f>"一种汽车零件用打磨设备"</f>
        <v>一种汽车零件用打磨设备</v>
      </c>
      <c r="C182" s="1" t="str">
        <f t="shared" ref="C182:C186" si="91">"发明公布"</f>
        <v>发明公布</v>
      </c>
      <c r="D182" s="1" t="str">
        <f t="shared" ref="D182:D185" si="92">"公布撤回"</f>
        <v>公布撤回</v>
      </c>
      <c r="E182" s="1" t="str">
        <f>"CN201811058475.0"</f>
        <v>CN201811058475.0</v>
      </c>
      <c r="F182" s="1" t="str">
        <f t="shared" si="88"/>
        <v>2018-09-11</v>
      </c>
      <c r="G182" s="1" t="str">
        <f>"CN109158969A"</f>
        <v>CN109158969A</v>
      </c>
      <c r="H182" s="1" t="str">
        <f>"2019-01-08"</f>
        <v>2019-01-08</v>
      </c>
      <c r="I182" s="1" t="s">
        <v>4786</v>
      </c>
      <c r="J182" s="1" t="str">
        <f t="shared" si="81"/>
        <v>天津星原汽车零部件有限公司</v>
      </c>
    </row>
    <row r="183" spans="1:10">
      <c r="A183" s="1" t="str">
        <f t="shared" si="79"/>
        <v>天津星原工业科技有限公司</v>
      </c>
      <c r="B183" s="1" t="str">
        <f>"一种汽车零件打磨装置"</f>
        <v>一种汽车零件打磨装置</v>
      </c>
      <c r="C183" s="1" t="str">
        <f t="shared" si="91"/>
        <v>发明公布</v>
      </c>
      <c r="D183" s="1" t="str">
        <f t="shared" si="92"/>
        <v>公布撤回</v>
      </c>
      <c r="E183" s="1" t="str">
        <f>"CN201811056815.6"</f>
        <v>CN201811056815.6</v>
      </c>
      <c r="F183" s="1" t="str">
        <f t="shared" si="88"/>
        <v>2018-09-11</v>
      </c>
      <c r="G183" s="1" t="str">
        <f>"CN109048517A"</f>
        <v>CN109048517A</v>
      </c>
      <c r="H183" s="1" t="str">
        <f>"2018-12-21"</f>
        <v>2018-12-21</v>
      </c>
      <c r="I183" s="1" t="s">
        <v>4779</v>
      </c>
      <c r="J183" s="1" t="str">
        <f t="shared" si="81"/>
        <v>天津星原汽车零部件有限公司</v>
      </c>
    </row>
    <row r="184" spans="1:10">
      <c r="A184" s="1" t="str">
        <f t="shared" si="79"/>
        <v>天津星原工业科技有限公司</v>
      </c>
      <c r="B184" s="1" t="str">
        <f>"一种汽车零件用夹紧装置"</f>
        <v>一种汽车零件用夹紧装置</v>
      </c>
      <c r="C184" s="1" t="str">
        <f t="shared" si="91"/>
        <v>发明公布</v>
      </c>
      <c r="D184" s="1" t="str">
        <f t="shared" si="92"/>
        <v>公布撤回</v>
      </c>
      <c r="E184" s="1" t="str">
        <f>"CN201811056838.7"</f>
        <v>CN201811056838.7</v>
      </c>
      <c r="F184" s="1" t="str">
        <f t="shared" si="88"/>
        <v>2018-09-11</v>
      </c>
      <c r="G184" s="1" t="str">
        <f>"CN108972414A"</f>
        <v>CN108972414A</v>
      </c>
      <c r="H184" s="1" t="str">
        <f t="shared" ref="H184:H186" si="93">"2018-12-11"</f>
        <v>2018-12-11</v>
      </c>
      <c r="I184" s="1" t="s">
        <v>4783</v>
      </c>
      <c r="J184" s="1" t="str">
        <f t="shared" si="81"/>
        <v>天津星原汽车零部件有限公司</v>
      </c>
    </row>
    <row r="185" spans="1:10">
      <c r="A185" s="1" t="str">
        <f t="shared" si="79"/>
        <v>天津星原工业科技有限公司</v>
      </c>
      <c r="B185" s="1" t="str">
        <f>"一种汽车零部件生产输料装置"</f>
        <v>一种汽车零部件生产输料装置</v>
      </c>
      <c r="C185" s="1" t="str">
        <f t="shared" si="91"/>
        <v>发明公布</v>
      </c>
      <c r="D185" s="1" t="str">
        <f t="shared" si="92"/>
        <v>公布撤回</v>
      </c>
      <c r="E185" s="1" t="str">
        <f>"CN201811058453.4"</f>
        <v>CN201811058453.4</v>
      </c>
      <c r="F185" s="1" t="str">
        <f t="shared" si="88"/>
        <v>2018-09-11</v>
      </c>
      <c r="G185" s="1" t="str">
        <f>"CN108974080A"</f>
        <v>CN108974080A</v>
      </c>
      <c r="H185" s="1" t="str">
        <f t="shared" si="93"/>
        <v>2018-12-11</v>
      </c>
      <c r="I185" s="1" t="s">
        <v>4785</v>
      </c>
      <c r="J185" s="1" t="str">
        <f t="shared" si="81"/>
        <v>天津星原汽车零部件有限公司</v>
      </c>
    </row>
    <row r="186" spans="1:10">
      <c r="A186" s="1" t="str">
        <f t="shared" si="79"/>
        <v>天津星原工业科技有限公司</v>
      </c>
      <c r="B186" s="1" t="str">
        <f>"一种汽车零件用冲压装置"</f>
        <v>一种汽车零件用冲压装置</v>
      </c>
      <c r="C186" s="1" t="str">
        <f t="shared" si="91"/>
        <v>发明公布</v>
      </c>
      <c r="D186" s="1" t="str">
        <f>"公布视为撤回"</f>
        <v>公布视为撤回</v>
      </c>
      <c r="E186" s="1" t="str">
        <f>"CN201811056868.8"</f>
        <v>CN201811056868.8</v>
      </c>
      <c r="F186" s="1" t="str">
        <f t="shared" si="88"/>
        <v>2018-09-11</v>
      </c>
      <c r="G186" s="1" t="str">
        <f>"CN108971321A"</f>
        <v>CN108971321A</v>
      </c>
      <c r="H186" s="1" t="str">
        <f t="shared" si="93"/>
        <v>2018-12-11</v>
      </c>
      <c r="I186" s="1" t="s">
        <v>4781</v>
      </c>
      <c r="J186" s="1" t="str">
        <f t="shared" si="81"/>
        <v>天津星原汽车零部件有限公司</v>
      </c>
    </row>
    <row r="187" spans="1:10">
      <c r="A187" s="1" t="str">
        <f t="shared" si="79"/>
        <v>天津星原工业科技有限公司</v>
      </c>
      <c r="B187" s="1" t="str">
        <f>"一种高效率的汽车金属塑胶件压合装置"</f>
        <v>一种高效率的汽车金属塑胶件压合装置</v>
      </c>
      <c r="C187" s="1" t="str">
        <f t="shared" ref="C187:C194" si="94">"实用新型"</f>
        <v>实用新型</v>
      </c>
      <c r="D187" s="1" t="str">
        <f t="shared" ref="D187:D189" si="95">"未缴年费专利权终止"</f>
        <v>未缴年费专利权终止</v>
      </c>
      <c r="E187" s="1" t="str">
        <f>"CN201721315360.6"</f>
        <v>CN201721315360.6</v>
      </c>
      <c r="F187" s="1" t="str">
        <f t="shared" ref="F187:F193" si="96">"2017-10-13"</f>
        <v>2017-10-13</v>
      </c>
      <c r="G187" s="1" t="str">
        <f>"CN207889167U"</f>
        <v>CN207889167U</v>
      </c>
      <c r="H187" s="1" t="str">
        <f>"2018-09-21"</f>
        <v>2018-09-21</v>
      </c>
      <c r="I187" s="1" t="s">
        <v>4786</v>
      </c>
      <c r="J187" s="1" t="str">
        <f t="shared" si="81"/>
        <v>天津星原汽车零部件有限公司</v>
      </c>
    </row>
    <row r="188" spans="1:10">
      <c r="A188" s="1" t="str">
        <f t="shared" si="79"/>
        <v>天津星原工业科技有限公司</v>
      </c>
      <c r="B188" s="1" t="str">
        <f>"一种多功能的汽车喷涂零件晾干放置车"</f>
        <v>一种多功能的汽车喷涂零件晾干放置车</v>
      </c>
      <c r="C188" s="1" t="str">
        <f t="shared" si="94"/>
        <v>实用新型</v>
      </c>
      <c r="D188" s="1" t="str">
        <f t="shared" si="95"/>
        <v>未缴年费专利权终止</v>
      </c>
      <c r="E188" s="1" t="str">
        <f>"CN201721350732.9"</f>
        <v>CN201721350732.9</v>
      </c>
      <c r="F188" s="1" t="str">
        <f>"2017-10-19"</f>
        <v>2017-10-19</v>
      </c>
      <c r="G188" s="1" t="str">
        <f>"CN207576831U"</f>
        <v>CN207576831U</v>
      </c>
      <c r="H188" s="1" t="str">
        <f>"2018-07-06"</f>
        <v>2018-07-06</v>
      </c>
      <c r="I188" s="1" t="s">
        <v>4781</v>
      </c>
      <c r="J188" s="1" t="str">
        <f t="shared" si="81"/>
        <v>天津星原汽车零部件有限公司</v>
      </c>
    </row>
    <row r="189" spans="1:10">
      <c r="A189" s="1" t="str">
        <f t="shared" si="79"/>
        <v>天津星原工业科技有限公司</v>
      </c>
      <c r="B189" s="1" t="str">
        <f>"一种多功能的汽车金属零部件冷挤压装置"</f>
        <v>一种多功能的汽车金属零部件冷挤压装置</v>
      </c>
      <c r="C189" s="1" t="str">
        <f t="shared" si="94"/>
        <v>实用新型</v>
      </c>
      <c r="D189" s="1" t="str">
        <f t="shared" si="95"/>
        <v>未缴年费专利权终止</v>
      </c>
      <c r="E189" s="1" t="str">
        <f>"CN201721315265.6"</f>
        <v>CN201721315265.6</v>
      </c>
      <c r="F189" s="1" t="str">
        <f t="shared" si="96"/>
        <v>2017-10-13</v>
      </c>
      <c r="G189" s="1" t="str">
        <f>"CN207521438U"</f>
        <v>CN207521438U</v>
      </c>
      <c r="H189" s="1" t="str">
        <f t="shared" ref="H189:H194" si="97">"2018-06-22"</f>
        <v>2018-06-22</v>
      </c>
      <c r="I189" s="1" t="s">
        <v>4786</v>
      </c>
      <c r="J189" s="1" t="str">
        <f t="shared" si="81"/>
        <v>天津星原汽车零部件有限公司</v>
      </c>
    </row>
    <row r="190" spans="1:10">
      <c r="A190" s="1" t="str">
        <f t="shared" si="79"/>
        <v>天津星原工业科技有限公司</v>
      </c>
      <c r="B190" s="1" t="str">
        <f>"一种多功能的汽车金属件通用弯头机"</f>
        <v>一种多功能的汽车金属件通用弯头机</v>
      </c>
      <c r="C190" s="1" t="str">
        <f t="shared" si="94"/>
        <v>实用新型</v>
      </c>
      <c r="D190" s="1" t="str">
        <f t="shared" ref="D190:D194" si="98">"授权"</f>
        <v>授权</v>
      </c>
      <c r="E190" s="1" t="str">
        <f>"CN201721315356.X"</f>
        <v>CN201721315356.X</v>
      </c>
      <c r="F190" s="1" t="str">
        <f t="shared" si="96"/>
        <v>2017-10-13</v>
      </c>
      <c r="G190" s="1" t="str">
        <f>"CN207521496U"</f>
        <v>CN207521496U</v>
      </c>
      <c r="H190" s="1" t="str">
        <f t="shared" si="97"/>
        <v>2018-06-22</v>
      </c>
      <c r="I190" s="1" t="s">
        <v>4770</v>
      </c>
      <c r="J190" s="1" t="str">
        <f t="shared" si="81"/>
        <v>天津星原汽车零部件有限公司</v>
      </c>
    </row>
    <row r="191" spans="1:10">
      <c r="A191" s="1" t="str">
        <f t="shared" si="79"/>
        <v>天津星原工业科技有限公司</v>
      </c>
      <c r="B191" s="1" t="str">
        <f>"一种节能环保的汽配零件的加温装置"</f>
        <v>一种节能环保的汽配零件的加温装置</v>
      </c>
      <c r="C191" s="1" t="str">
        <f t="shared" si="94"/>
        <v>实用新型</v>
      </c>
      <c r="D191" s="1" t="str">
        <f>"未缴年费专利权终止"</f>
        <v>未缴年费专利权终止</v>
      </c>
      <c r="E191" s="1" t="str">
        <f>"CN201721321741.5"</f>
        <v>CN201721321741.5</v>
      </c>
      <c r="F191" s="1" t="str">
        <f t="shared" si="96"/>
        <v>2017-10-13</v>
      </c>
      <c r="G191" s="1" t="str">
        <f>"CN207528030U"</f>
        <v>CN207528030U</v>
      </c>
      <c r="H191" s="1" t="str">
        <f t="shared" si="97"/>
        <v>2018-06-22</v>
      </c>
      <c r="I191" s="1" t="s">
        <v>4783</v>
      </c>
      <c r="J191" s="1" t="str">
        <f t="shared" si="81"/>
        <v>天津星原汽车零部件有限公司</v>
      </c>
    </row>
    <row r="192" spans="1:10">
      <c r="A192" s="1" t="str">
        <f t="shared" si="79"/>
        <v>天津星原工业科技有限公司</v>
      </c>
      <c r="B192" s="1" t="str">
        <f>"一种多功能的汽车零件的清洗装置"</f>
        <v>一种多功能的汽车零件的清洗装置</v>
      </c>
      <c r="C192" s="1" t="str">
        <f t="shared" si="94"/>
        <v>实用新型</v>
      </c>
      <c r="D192" s="1" t="str">
        <f t="shared" si="98"/>
        <v>授权</v>
      </c>
      <c r="E192" s="1" t="str">
        <f>"CN201721315322.0"</f>
        <v>CN201721315322.0</v>
      </c>
      <c r="F192" s="1" t="str">
        <f t="shared" si="96"/>
        <v>2017-10-13</v>
      </c>
      <c r="G192" s="1" t="str">
        <f>"CN207521332U"</f>
        <v>CN207521332U</v>
      </c>
      <c r="H192" s="1" t="str">
        <f t="shared" si="97"/>
        <v>2018-06-22</v>
      </c>
      <c r="I192" s="1" t="s">
        <v>4785</v>
      </c>
      <c r="J192" s="1" t="str">
        <f t="shared" si="81"/>
        <v>天津星原汽车零部件有限公司</v>
      </c>
    </row>
    <row r="193" spans="1:10">
      <c r="A193" s="1" t="str">
        <f t="shared" si="79"/>
        <v>天津星原工业科技有限公司</v>
      </c>
      <c r="B193" s="1" t="str">
        <f>"一种智能化的汽车金属塑胶件分离装置"</f>
        <v>一种智能化的汽车金属塑胶件分离装置</v>
      </c>
      <c r="C193" s="1" t="str">
        <f t="shared" si="94"/>
        <v>实用新型</v>
      </c>
      <c r="D193" s="1" t="str">
        <f>"未缴年费专利权终止"</f>
        <v>未缴年费专利权终止</v>
      </c>
      <c r="E193" s="1" t="str">
        <f>"CN201721321739.8"</f>
        <v>CN201721321739.8</v>
      </c>
      <c r="F193" s="1" t="str">
        <f t="shared" si="96"/>
        <v>2017-10-13</v>
      </c>
      <c r="G193" s="1" t="str">
        <f>"CN207522020U"</f>
        <v>CN207522020U</v>
      </c>
      <c r="H193" s="1" t="str">
        <f t="shared" si="97"/>
        <v>2018-06-22</v>
      </c>
      <c r="I193" s="1" t="s">
        <v>4781</v>
      </c>
      <c r="J193" s="1" t="str">
        <f t="shared" si="81"/>
        <v>天津星原汽车零部件有限公司</v>
      </c>
    </row>
    <row r="194" spans="1:10">
      <c r="A194" s="1" t="str">
        <f t="shared" si="79"/>
        <v>天津星原工业科技有限公司</v>
      </c>
      <c r="B194" s="1" t="str">
        <f>"一种新型的汽车金属配件铸造设备"</f>
        <v>一种新型的汽车金属配件铸造设备</v>
      </c>
      <c r="C194" s="1" t="str">
        <f t="shared" si="94"/>
        <v>实用新型</v>
      </c>
      <c r="D194" s="1" t="str">
        <f t="shared" si="98"/>
        <v>授权</v>
      </c>
      <c r="E194" s="1" t="str">
        <f>"CN201721324136.3"</f>
        <v>CN201721324136.3</v>
      </c>
      <c r="F194" s="1" t="str">
        <f>"2017-10-16"</f>
        <v>2017-10-16</v>
      </c>
      <c r="G194" s="1" t="str">
        <f>"CN207521683U"</f>
        <v>CN207521683U</v>
      </c>
      <c r="H194" s="1" t="str">
        <f t="shared" si="97"/>
        <v>2018-06-22</v>
      </c>
      <c r="I194" s="1" t="s">
        <v>4785</v>
      </c>
      <c r="J194" s="1" t="str">
        <f t="shared" si="81"/>
        <v>天津星原汽车零部件有限公司</v>
      </c>
    </row>
    <row r="195" spans="1:10">
      <c r="A195" s="1" t="str">
        <f t="shared" si="79"/>
        <v>天津星原工业科技有限公司</v>
      </c>
      <c r="B195" s="1" t="str">
        <f>"汽配零件加温装置及其制造工艺"</f>
        <v>汽配零件加温装置及其制造工艺</v>
      </c>
      <c r="C195" s="1" t="str">
        <f t="shared" ref="C195:C204" si="99">"发明公布"</f>
        <v>发明公布</v>
      </c>
      <c r="D195" s="1" t="str">
        <f t="shared" ref="D195:D198" si="100">"公布视为撤回"</f>
        <v>公布视为撤回</v>
      </c>
      <c r="E195" s="1" t="str">
        <f>"CN201710955203.X"</f>
        <v>CN201710955203.X</v>
      </c>
      <c r="F195" s="1" t="str">
        <f t="shared" ref="F195:F197" si="101">"2017-10-13"</f>
        <v>2017-10-13</v>
      </c>
      <c r="G195" s="1" t="str">
        <f>"CN107843108A"</f>
        <v>CN107843108A</v>
      </c>
      <c r="H195" s="1" t="str">
        <f>"2018-03-27"</f>
        <v>2018-03-27</v>
      </c>
      <c r="I195" s="1" t="s">
        <v>4783</v>
      </c>
      <c r="J195" s="1" t="str">
        <f t="shared" si="81"/>
        <v>天津星原汽车零部件有限公司</v>
      </c>
    </row>
    <row r="196" spans="1:10">
      <c r="A196" s="1" t="str">
        <f t="shared" si="79"/>
        <v>天津星原工业科技有限公司</v>
      </c>
      <c r="B196" s="1" t="str">
        <f>"多功能的汽车金属零部件冷挤压装置及其生产工艺"</f>
        <v>多功能的汽车金属零部件冷挤压装置及其生产工艺</v>
      </c>
      <c r="C196" s="1" t="str">
        <f t="shared" si="99"/>
        <v>发明公布</v>
      </c>
      <c r="D196" s="1" t="str">
        <f t="shared" ref="D196:D203" si="102">"公布驳回"</f>
        <v>公布驳回</v>
      </c>
      <c r="E196" s="1" t="str">
        <f>"CN201710949626.0"</f>
        <v>CN201710949626.0</v>
      </c>
      <c r="F196" s="1" t="str">
        <f t="shared" si="101"/>
        <v>2017-10-13</v>
      </c>
      <c r="G196" s="1" t="str">
        <f>"CN107838211A"</f>
        <v>CN107838211A</v>
      </c>
      <c r="H196" s="1" t="str">
        <f>"2018-03-27"</f>
        <v>2018-03-27</v>
      </c>
      <c r="I196" s="1" t="s">
        <v>4786</v>
      </c>
      <c r="J196" s="1" t="str">
        <f t="shared" si="81"/>
        <v>天津星原汽车零部件有限公司</v>
      </c>
    </row>
    <row r="197" spans="1:10">
      <c r="A197" s="1" t="str">
        <f t="shared" si="79"/>
        <v>天津星原工业科技有限公司</v>
      </c>
      <c r="B197" s="1" t="str">
        <f>"汽车零件清洗装置及其生产工艺"</f>
        <v>汽车零件清洗装置及其生产工艺</v>
      </c>
      <c r="C197" s="1" t="str">
        <f t="shared" si="99"/>
        <v>发明公布</v>
      </c>
      <c r="D197" s="1" t="str">
        <f t="shared" si="100"/>
        <v>公布视为撤回</v>
      </c>
      <c r="E197" s="1" t="str">
        <f>"CN201710955196.3"</f>
        <v>CN201710955196.3</v>
      </c>
      <c r="F197" s="1" t="str">
        <f t="shared" si="101"/>
        <v>2017-10-13</v>
      </c>
      <c r="G197" s="1" t="str">
        <f>"CN107803356A"</f>
        <v>CN107803356A</v>
      </c>
      <c r="H197" s="1" t="str">
        <f>"2018-03-16"</f>
        <v>2018-03-16</v>
      </c>
      <c r="I197" s="1" t="s">
        <v>4785</v>
      </c>
      <c r="J197" s="1" t="str">
        <f t="shared" si="81"/>
        <v>天津星原汽车零部件有限公司</v>
      </c>
    </row>
    <row r="198" spans="1:10">
      <c r="A198" s="1" t="str">
        <f t="shared" si="79"/>
        <v>天津星原工业科技有限公司</v>
      </c>
      <c r="B198" s="1" t="str">
        <f>"一种用于自动化冲压前的角度调整设备"</f>
        <v>一种用于自动化冲压前的角度调整设备</v>
      </c>
      <c r="C198" s="1" t="str">
        <f t="shared" si="99"/>
        <v>发明公布</v>
      </c>
      <c r="D198" s="1" t="str">
        <f t="shared" si="100"/>
        <v>公布视为撤回</v>
      </c>
      <c r="E198" s="1" t="str">
        <f>"CN201610706994.8"</f>
        <v>CN201610706994.8</v>
      </c>
      <c r="F198" s="1" t="str">
        <f t="shared" ref="F198:F203" si="103">"2016-08-23"</f>
        <v>2016-08-23</v>
      </c>
      <c r="G198" s="1" t="str">
        <f>"CN107755559A"</f>
        <v>CN107755559A</v>
      </c>
      <c r="H198" s="1" t="str">
        <f t="shared" ref="H198:H203" si="104">"2018-03-06"</f>
        <v>2018-03-06</v>
      </c>
      <c r="I198" s="1" t="s">
        <v>4782</v>
      </c>
      <c r="J198" s="1" t="str">
        <f t="shared" si="81"/>
        <v>天津星原汽车零部件有限公司</v>
      </c>
    </row>
    <row r="199" spans="1:10">
      <c r="A199" s="1" t="str">
        <f t="shared" si="79"/>
        <v>天津星原工业科技有限公司</v>
      </c>
      <c r="B199" s="1" t="str">
        <f>"一种用于冲压的上下料机械手"</f>
        <v>一种用于冲压的上下料机械手</v>
      </c>
      <c r="C199" s="1" t="str">
        <f t="shared" si="99"/>
        <v>发明公布</v>
      </c>
      <c r="D199" s="1" t="str">
        <f t="shared" si="102"/>
        <v>公布驳回</v>
      </c>
      <c r="E199" s="1" t="str">
        <f>"CN201610707403.9"</f>
        <v>CN201610707403.9</v>
      </c>
      <c r="F199" s="1" t="str">
        <f t="shared" si="103"/>
        <v>2016-08-23</v>
      </c>
      <c r="G199" s="1" t="str">
        <f>"CN107755568A"</f>
        <v>CN107755568A</v>
      </c>
      <c r="H199" s="1" t="str">
        <f t="shared" si="104"/>
        <v>2018-03-06</v>
      </c>
      <c r="I199" s="1" t="s">
        <v>4770</v>
      </c>
      <c r="J199" s="1" t="str">
        <f t="shared" si="81"/>
        <v>天津星原汽车零部件有限公司</v>
      </c>
    </row>
    <row r="200" spans="1:10">
      <c r="A200" s="1" t="str">
        <f t="shared" si="79"/>
        <v>天津星原工业科技有限公司</v>
      </c>
      <c r="B200" s="1" t="str">
        <f>"一种汽车中小零部件的自动冲压系统"</f>
        <v>一种汽车中小零部件的自动冲压系统</v>
      </c>
      <c r="C200" s="1" t="str">
        <f t="shared" si="99"/>
        <v>发明公布</v>
      </c>
      <c r="D200" s="1" t="str">
        <f t="shared" si="102"/>
        <v>公布驳回</v>
      </c>
      <c r="E200" s="1" t="str">
        <f>"CN201610707404.3"</f>
        <v>CN201610707404.3</v>
      </c>
      <c r="F200" s="1" t="str">
        <f t="shared" si="103"/>
        <v>2016-08-23</v>
      </c>
      <c r="G200" s="1" t="str">
        <f>"CN107755560A"</f>
        <v>CN107755560A</v>
      </c>
      <c r="H200" s="1" t="str">
        <f t="shared" si="104"/>
        <v>2018-03-06</v>
      </c>
      <c r="I200" s="1" t="s">
        <v>4786</v>
      </c>
      <c r="J200" s="1" t="str">
        <f t="shared" si="81"/>
        <v>天津星原汽车零部件有限公司</v>
      </c>
    </row>
    <row r="201" spans="1:10">
      <c r="A201" s="1" t="str">
        <f t="shared" si="79"/>
        <v>天津星原工业科技有限公司</v>
      </c>
      <c r="B201" s="1" t="str">
        <f>"一种向上整形设备"</f>
        <v>一种向上整形设备</v>
      </c>
      <c r="C201" s="1" t="str">
        <f t="shared" si="99"/>
        <v>发明公布</v>
      </c>
      <c r="D201" s="1" t="str">
        <f t="shared" si="102"/>
        <v>公布驳回</v>
      </c>
      <c r="E201" s="1" t="str">
        <f>"CN201610706993.3"</f>
        <v>CN201610706993.3</v>
      </c>
      <c r="F201" s="1" t="str">
        <f t="shared" si="103"/>
        <v>2016-08-23</v>
      </c>
      <c r="G201" s="1" t="str">
        <f>"CN107755546A"</f>
        <v>CN107755546A</v>
      </c>
      <c r="H201" s="1" t="str">
        <f t="shared" si="104"/>
        <v>2018-03-06</v>
      </c>
      <c r="I201" s="1" t="s">
        <v>4783</v>
      </c>
      <c r="J201" s="1" t="str">
        <f t="shared" si="81"/>
        <v>天津星原汽车零部件有限公司</v>
      </c>
    </row>
    <row r="202" spans="1:10">
      <c r="A202" s="1" t="str">
        <f t="shared" si="79"/>
        <v>天津星原工业科技有限公司</v>
      </c>
      <c r="B202" s="1" t="str">
        <f>"一种汽车中小零部件冲压的上料系统"</f>
        <v>一种汽车中小零部件冲压的上料系统</v>
      </c>
      <c r="C202" s="1" t="str">
        <f t="shared" si="99"/>
        <v>发明公布</v>
      </c>
      <c r="D202" s="1" t="str">
        <f t="shared" si="102"/>
        <v>公布驳回</v>
      </c>
      <c r="E202" s="1" t="str">
        <f>"CN201610707405.8"</f>
        <v>CN201610707405.8</v>
      </c>
      <c r="F202" s="1" t="str">
        <f t="shared" si="103"/>
        <v>2016-08-23</v>
      </c>
      <c r="G202" s="1" t="str">
        <f>"CN107755569A"</f>
        <v>CN107755569A</v>
      </c>
      <c r="H202" s="1" t="str">
        <f t="shared" si="104"/>
        <v>2018-03-06</v>
      </c>
      <c r="I202" s="1" t="s">
        <v>4781</v>
      </c>
      <c r="J202" s="1" t="str">
        <f t="shared" si="81"/>
        <v>天津星原汽车零部件有限公司</v>
      </c>
    </row>
    <row r="203" spans="1:10">
      <c r="A203" s="1" t="str">
        <f t="shared" si="79"/>
        <v>天津星原工业科技有限公司</v>
      </c>
      <c r="B203" s="1" t="str">
        <f>"一种拉伸模零件延迟脱模设备"</f>
        <v>一种拉伸模零件延迟脱模设备</v>
      </c>
      <c r="C203" s="1" t="str">
        <f t="shared" si="99"/>
        <v>发明公布</v>
      </c>
      <c r="D203" s="1" t="str">
        <f t="shared" si="102"/>
        <v>公布驳回</v>
      </c>
      <c r="E203" s="1" t="str">
        <f>"CN201610707088.X"</f>
        <v>CN201610707088.X</v>
      </c>
      <c r="F203" s="1" t="str">
        <f t="shared" si="103"/>
        <v>2016-08-23</v>
      </c>
      <c r="G203" s="1" t="str">
        <f>"CN107755510A"</f>
        <v>CN107755510A</v>
      </c>
      <c r="H203" s="1" t="str">
        <f t="shared" si="104"/>
        <v>2018-03-06</v>
      </c>
      <c r="I203" s="1" t="s">
        <v>4785</v>
      </c>
      <c r="J203" s="1" t="str">
        <f t="shared" si="81"/>
        <v>天津星原汽车零部件有限公司</v>
      </c>
    </row>
    <row r="204" spans="1:10">
      <c r="A204" s="1" t="str">
        <f t="shared" si="79"/>
        <v>天津星原工业科技有限公司</v>
      </c>
      <c r="B204" s="1" t="str">
        <f>"汽车金属塑胶件压合装置及其制造工艺"</f>
        <v>汽车金属塑胶件压合装置及其制造工艺</v>
      </c>
      <c r="C204" s="1" t="str">
        <f t="shared" si="99"/>
        <v>发明公布</v>
      </c>
      <c r="D204" s="1" t="str">
        <f>"公布撤回"</f>
        <v>公布撤回</v>
      </c>
      <c r="E204" s="1" t="str">
        <f>"CN201710949614.8"</f>
        <v>CN201710949614.8</v>
      </c>
      <c r="F204" s="1" t="str">
        <f>"2017-10-13"</f>
        <v>2017-10-13</v>
      </c>
      <c r="G204" s="1" t="str">
        <f>"CN107599424A"</f>
        <v>CN107599424A</v>
      </c>
      <c r="H204" s="1" t="str">
        <f>"2018-01-19"</f>
        <v>2018-01-19</v>
      </c>
      <c r="I204" s="1" t="s">
        <v>4786</v>
      </c>
      <c r="J204" s="1" t="str">
        <f t="shared" si="81"/>
        <v>天津星原汽车零部件有限公司</v>
      </c>
    </row>
    <row r="205" spans="1:10">
      <c r="A205" s="1" t="str">
        <f t="shared" si="79"/>
        <v>天津星原工业科技有限公司</v>
      </c>
      <c r="B205" s="1" t="str">
        <f>"一种自动冲压智能生产系统"</f>
        <v>一种自动冲压智能生产系统</v>
      </c>
      <c r="C205" s="1" t="str">
        <f t="shared" ref="C205:C210" si="105">"实用新型"</f>
        <v>实用新型</v>
      </c>
      <c r="D205" s="1" t="str">
        <f t="shared" ref="D205:D208" si="106">"授权"</f>
        <v>授权</v>
      </c>
      <c r="E205" s="1" t="str">
        <f>"CN201620923664.X"</f>
        <v>CN201620923664.X</v>
      </c>
      <c r="F205" s="1" t="str">
        <f t="shared" ref="F205:F210" si="107">"2016-08-23"</f>
        <v>2016-08-23</v>
      </c>
      <c r="G205" s="1" t="str">
        <f>"CN206356473U"</f>
        <v>CN206356473U</v>
      </c>
      <c r="H205" s="1" t="str">
        <f>"2017-07-28"</f>
        <v>2017-07-28</v>
      </c>
      <c r="I205" s="1" t="s">
        <v>4786</v>
      </c>
      <c r="J205" s="1" t="str">
        <f t="shared" si="81"/>
        <v>天津星原汽车零部件有限公司</v>
      </c>
    </row>
    <row r="206" spans="1:10">
      <c r="A206" s="1" t="str">
        <f t="shared" si="79"/>
        <v>天津星原工业科技有限公司</v>
      </c>
      <c r="B206" s="1" t="str">
        <f>"一种向上整形机构"</f>
        <v>一种向上整形机构</v>
      </c>
      <c r="C206" s="1" t="str">
        <f t="shared" si="105"/>
        <v>实用新型</v>
      </c>
      <c r="D206" s="1" t="str">
        <f t="shared" si="106"/>
        <v>授权</v>
      </c>
      <c r="E206" s="1" t="str">
        <f>"CN201620923701.7"</f>
        <v>CN201620923701.7</v>
      </c>
      <c r="F206" s="1" t="str">
        <f t="shared" si="107"/>
        <v>2016-08-23</v>
      </c>
      <c r="G206" s="1" t="str">
        <f>"CN206046863U"</f>
        <v>CN206046863U</v>
      </c>
      <c r="H206" s="1" t="str">
        <f t="shared" ref="H206:H210" si="108">"2017-03-29"</f>
        <v>2017-03-29</v>
      </c>
      <c r="I206" s="1" t="s">
        <v>4783</v>
      </c>
      <c r="J206" s="1" t="str">
        <f t="shared" si="81"/>
        <v>天津星原汽车零部件有限公司</v>
      </c>
    </row>
    <row r="207" spans="1:10">
      <c r="A207" s="1" t="str">
        <f t="shared" si="79"/>
        <v>天津星原工业科技有限公司</v>
      </c>
      <c r="B207" s="1" t="str">
        <f>"一种用于自动冲压智能生产系统的上料设备"</f>
        <v>一种用于自动冲压智能生产系统的上料设备</v>
      </c>
      <c r="C207" s="1" t="str">
        <f t="shared" si="105"/>
        <v>实用新型</v>
      </c>
      <c r="D207" s="1" t="str">
        <f t="shared" si="106"/>
        <v>授权</v>
      </c>
      <c r="E207" s="1" t="str">
        <f>"CN201620923476.7"</f>
        <v>CN201620923476.7</v>
      </c>
      <c r="F207" s="1" t="str">
        <f t="shared" si="107"/>
        <v>2016-08-23</v>
      </c>
      <c r="G207" s="1" t="str">
        <f>"CN206046899U"</f>
        <v>CN206046899U</v>
      </c>
      <c r="H207" s="1" t="str">
        <f t="shared" si="108"/>
        <v>2017-03-29</v>
      </c>
      <c r="I207" s="1" t="s">
        <v>4781</v>
      </c>
      <c r="J207" s="1" t="str">
        <f t="shared" si="81"/>
        <v>天津星原汽车零部件有限公司</v>
      </c>
    </row>
    <row r="208" spans="1:10">
      <c r="A208" s="1" t="str">
        <f t="shared" si="79"/>
        <v>天津星原工业科技有限公司</v>
      </c>
      <c r="B208" s="1" t="str">
        <f>"一种拉伸模零件延迟脱模机构"</f>
        <v>一种拉伸模零件延迟脱模机构</v>
      </c>
      <c r="C208" s="1" t="str">
        <f t="shared" si="105"/>
        <v>实用新型</v>
      </c>
      <c r="D208" s="1" t="str">
        <f t="shared" si="106"/>
        <v>授权</v>
      </c>
      <c r="E208" s="1" t="str">
        <f>"CN201620923662.0"</f>
        <v>CN201620923662.0</v>
      </c>
      <c r="F208" s="1" t="str">
        <f t="shared" si="107"/>
        <v>2016-08-23</v>
      </c>
      <c r="G208" s="1" t="str">
        <f>"CN206046763U"</f>
        <v>CN206046763U</v>
      </c>
      <c r="H208" s="1" t="str">
        <f t="shared" si="108"/>
        <v>2017-03-29</v>
      </c>
      <c r="I208" s="1" t="s">
        <v>4785</v>
      </c>
      <c r="J208" s="1" t="str">
        <f t="shared" si="81"/>
        <v>天津星原汽车零部件有限公司</v>
      </c>
    </row>
    <row r="209" spans="1:10">
      <c r="A209" s="1" t="str">
        <f t="shared" si="79"/>
        <v>天津星原工业科技有限公司</v>
      </c>
      <c r="B209" s="1" t="str">
        <f>"一种用于自动冲压智能生产系统的角度调整设备"</f>
        <v>一种用于自动冲压智能生产系统的角度调整设备</v>
      </c>
      <c r="C209" s="1" t="str">
        <f t="shared" si="105"/>
        <v>实用新型</v>
      </c>
      <c r="D209" s="1" t="str">
        <f t="shared" ref="D209:D214" si="109">"未缴年费专利权终止"</f>
        <v>未缴年费专利权终止</v>
      </c>
      <c r="E209" s="1" t="str">
        <f>"CN201620923665.4"</f>
        <v>CN201620923665.4</v>
      </c>
      <c r="F209" s="1" t="str">
        <f t="shared" si="107"/>
        <v>2016-08-23</v>
      </c>
      <c r="G209" s="1" t="str">
        <f>"CN206046878U"</f>
        <v>CN206046878U</v>
      </c>
      <c r="H209" s="1" t="str">
        <f t="shared" si="108"/>
        <v>2017-03-29</v>
      </c>
      <c r="I209" s="1" t="s">
        <v>4782</v>
      </c>
      <c r="J209" s="1" t="str">
        <f t="shared" si="81"/>
        <v>天津星原汽车零部件有限公司</v>
      </c>
    </row>
    <row r="210" spans="1:10">
      <c r="A210" s="1" t="str">
        <f t="shared" si="79"/>
        <v>天津星原工业科技有限公司</v>
      </c>
      <c r="B210" s="1" t="str">
        <f>"一种用于自动冲压智能生产系统的上下料机械手"</f>
        <v>一种用于自动冲压智能生产系统的上下料机械手</v>
      </c>
      <c r="C210" s="1" t="str">
        <f t="shared" si="105"/>
        <v>实用新型</v>
      </c>
      <c r="D210" s="1" t="str">
        <f t="shared" si="109"/>
        <v>未缴年费专利权终止</v>
      </c>
      <c r="E210" s="1" t="str">
        <f>"CN201620923193.2"</f>
        <v>CN201620923193.2</v>
      </c>
      <c r="F210" s="1" t="str">
        <f t="shared" si="107"/>
        <v>2016-08-23</v>
      </c>
      <c r="G210" s="1" t="str">
        <f>"CN206046898U"</f>
        <v>CN206046898U</v>
      </c>
      <c r="H210" s="1" t="str">
        <f t="shared" si="108"/>
        <v>2017-03-29</v>
      </c>
      <c r="I210" s="1" t="s">
        <v>4770</v>
      </c>
      <c r="J210" s="1" t="str">
        <f t="shared" si="81"/>
        <v>天津星原汽车零部件有限公司</v>
      </c>
    </row>
    <row r="211" spans="1:10">
      <c r="A211" s="1" t="str">
        <f t="shared" si="79"/>
        <v>天津星原工业科技有限公司</v>
      </c>
      <c r="B211" s="1" t="str">
        <f>"金属板料成型后稳定销"</f>
        <v>金属板料成型后稳定销</v>
      </c>
      <c r="C211" s="1" t="str">
        <f>"发明授权"</f>
        <v>发明授权</v>
      </c>
      <c r="D211" s="1" t="str">
        <f>"授权"</f>
        <v>授权</v>
      </c>
      <c r="E211" s="1" t="str">
        <f>"CN201410362976.3"</f>
        <v>CN201410362976.3</v>
      </c>
      <c r="F211" s="1" t="str">
        <f>"2014-07-28"</f>
        <v>2014-07-28</v>
      </c>
      <c r="G211" s="1" t="str">
        <f>"CN104128441B"</f>
        <v>CN104128441B</v>
      </c>
      <c r="H211" s="1" t="str">
        <f>"2017-01-04"</f>
        <v>2017-01-04</v>
      </c>
      <c r="I211" s="1" t="s">
        <v>4787</v>
      </c>
      <c r="J211" s="1" t="str">
        <f t="shared" si="81"/>
        <v>天津星原汽车零部件有限公司</v>
      </c>
    </row>
    <row r="212" spans="1:10">
      <c r="A212" s="1" t="str">
        <f t="shared" si="79"/>
        <v>天津星原工业科技有限公司</v>
      </c>
      <c r="B212" s="1" t="str">
        <f>"一种弹簧式金属板料成型后稳定销"</f>
        <v>一种弹簧式金属板料成型后稳定销</v>
      </c>
      <c r="C212" s="1" t="str">
        <f t="shared" ref="C212:C219" si="110">"实用新型"</f>
        <v>实用新型</v>
      </c>
      <c r="D212" s="1" t="str">
        <f t="shared" si="109"/>
        <v>未缴年费专利权终止</v>
      </c>
      <c r="E212" s="1" t="str">
        <f>"CN201520511867.3"</f>
        <v>CN201520511867.3</v>
      </c>
      <c r="F212" s="1" t="str">
        <f t="shared" ref="F212:F221" si="111">"2015-07-15"</f>
        <v>2015-07-15</v>
      </c>
      <c r="G212" s="1" t="str">
        <f>"CN205096408U"</f>
        <v>CN205096408U</v>
      </c>
      <c r="H212" s="1" t="str">
        <f t="shared" ref="H212:H214" si="112">"2016-03-23"</f>
        <v>2016-03-23</v>
      </c>
      <c r="I212" s="1" t="str">
        <f>"穆亚健"</f>
        <v>穆亚健</v>
      </c>
      <c r="J212" s="1" t="str">
        <f t="shared" si="81"/>
        <v>天津星原汽车零部件有限公司</v>
      </c>
    </row>
    <row r="213" spans="1:10">
      <c r="A213" s="1" t="str">
        <f t="shared" si="79"/>
        <v>天津星原工业科技有限公司</v>
      </c>
      <c r="B213" s="1" t="str">
        <f>"一种新型金属板料成型后稳定销"</f>
        <v>一种新型金属板料成型后稳定销</v>
      </c>
      <c r="C213" s="1" t="str">
        <f t="shared" si="110"/>
        <v>实用新型</v>
      </c>
      <c r="D213" s="1" t="str">
        <f t="shared" si="109"/>
        <v>未缴年费专利权终止</v>
      </c>
      <c r="E213" s="1" t="str">
        <f>"CN201520510567.3"</f>
        <v>CN201520510567.3</v>
      </c>
      <c r="F213" s="1" t="str">
        <f t="shared" si="111"/>
        <v>2015-07-15</v>
      </c>
      <c r="G213" s="1" t="str">
        <f>"CN205096310U"</f>
        <v>CN205096310U</v>
      </c>
      <c r="H213" s="1" t="str">
        <f t="shared" si="112"/>
        <v>2016-03-23</v>
      </c>
      <c r="I213" s="1" t="str">
        <f>"陈浩"</f>
        <v>陈浩</v>
      </c>
      <c r="J213" s="1" t="str">
        <f t="shared" si="81"/>
        <v>天津星原汽车零部件有限公司</v>
      </c>
    </row>
    <row r="214" spans="1:10">
      <c r="A214" s="1" t="str">
        <f t="shared" si="79"/>
        <v>天津星原工业科技有限公司</v>
      </c>
      <c r="B214" s="1" t="str">
        <f>"一种气缸式金属板料成型后稳定销"</f>
        <v>一种气缸式金属板料成型后稳定销</v>
      </c>
      <c r="C214" s="1" t="str">
        <f t="shared" si="110"/>
        <v>实用新型</v>
      </c>
      <c r="D214" s="1" t="str">
        <f t="shared" si="109"/>
        <v>未缴年费专利权终止</v>
      </c>
      <c r="E214" s="1" t="str">
        <f>"CN201520511985.4"</f>
        <v>CN201520511985.4</v>
      </c>
      <c r="F214" s="1" t="str">
        <f t="shared" si="111"/>
        <v>2015-07-15</v>
      </c>
      <c r="G214" s="1" t="str">
        <f>"CN205096409U"</f>
        <v>CN205096409U</v>
      </c>
      <c r="H214" s="1" t="str">
        <f t="shared" si="112"/>
        <v>2016-03-23</v>
      </c>
      <c r="I214" s="1" t="str">
        <f>"张峰"</f>
        <v>张峰</v>
      </c>
      <c r="J214" s="1" t="str">
        <f t="shared" si="81"/>
        <v>天津星原汽车零部件有限公司</v>
      </c>
    </row>
    <row r="215" spans="1:10">
      <c r="A215" s="1" t="str">
        <f t="shared" si="79"/>
        <v>天津星原工业科技有限公司</v>
      </c>
      <c r="B215" s="1" t="str">
        <f>"一种耐用型金属板料成型后稳定销"</f>
        <v>一种耐用型金属板料成型后稳定销</v>
      </c>
      <c r="C215" s="1" t="str">
        <f t="shared" si="110"/>
        <v>实用新型</v>
      </c>
      <c r="D215" s="1" t="str">
        <f t="shared" ref="D215:D218" si="113">"期限届满专利权终止"</f>
        <v>期限届满专利权终止</v>
      </c>
      <c r="E215" s="1" t="str">
        <f>"CN201520512792.0"</f>
        <v>CN201520512792.0</v>
      </c>
      <c r="F215" s="1" t="str">
        <f t="shared" si="111"/>
        <v>2015-07-15</v>
      </c>
      <c r="G215" s="1" t="str">
        <f>"CN204934383U"</f>
        <v>CN204934383U</v>
      </c>
      <c r="H215" s="1" t="str">
        <f t="shared" ref="H215:H219" si="114">"2016-01-06"</f>
        <v>2016-01-06</v>
      </c>
      <c r="I215" s="1" t="str">
        <f>"孟宪柱"</f>
        <v>孟宪柱</v>
      </c>
      <c r="J215" s="1" t="str">
        <f t="shared" si="81"/>
        <v>天津星原汽车零部件有限公司</v>
      </c>
    </row>
    <row r="216" spans="1:10">
      <c r="A216" s="1" t="str">
        <f t="shared" si="79"/>
        <v>天津星原工业科技有限公司</v>
      </c>
      <c r="B216" s="1" t="str">
        <f>"一种箱体式金属板料成型后稳定销"</f>
        <v>一种箱体式金属板料成型后稳定销</v>
      </c>
      <c r="C216" s="1" t="str">
        <f t="shared" si="110"/>
        <v>实用新型</v>
      </c>
      <c r="D216" s="1" t="str">
        <f t="shared" si="113"/>
        <v>期限届满专利权终止</v>
      </c>
      <c r="E216" s="1" t="str">
        <f>"CN201520512055.0"</f>
        <v>CN201520512055.0</v>
      </c>
      <c r="F216" s="1" t="str">
        <f t="shared" si="111"/>
        <v>2015-07-15</v>
      </c>
      <c r="G216" s="1" t="str">
        <f>"CN204934382U"</f>
        <v>CN204934382U</v>
      </c>
      <c r="H216" s="1" t="str">
        <f t="shared" si="114"/>
        <v>2016-01-06</v>
      </c>
      <c r="I216" s="1" t="str">
        <f>"焦雷魁"</f>
        <v>焦雷魁</v>
      </c>
      <c r="J216" s="1" t="str">
        <f t="shared" si="81"/>
        <v>天津星原汽车零部件有限公司</v>
      </c>
    </row>
    <row r="217" spans="1:10">
      <c r="A217" s="1" t="str">
        <f t="shared" ref="A217:A222" si="115">"天津星原工业科技有限公司"</f>
        <v>天津星原工业科技有限公司</v>
      </c>
      <c r="B217" s="1" t="str">
        <f>"一种金属板料成型后新型稳定销"</f>
        <v>一种金属板料成型后新型稳定销</v>
      </c>
      <c r="C217" s="1" t="str">
        <f t="shared" si="110"/>
        <v>实用新型</v>
      </c>
      <c r="D217" s="1" t="str">
        <f t="shared" si="113"/>
        <v>期限届满专利权终止</v>
      </c>
      <c r="E217" s="1" t="str">
        <f>"CN201520512600.6"</f>
        <v>CN201520512600.6</v>
      </c>
      <c r="F217" s="1" t="str">
        <f t="shared" si="111"/>
        <v>2015-07-15</v>
      </c>
      <c r="G217" s="1" t="str">
        <f>"CN204942200U"</f>
        <v>CN204942200U</v>
      </c>
      <c r="H217" s="1" t="str">
        <f t="shared" si="114"/>
        <v>2016-01-06</v>
      </c>
      <c r="I217" s="1" t="str">
        <f>"张越鹏"</f>
        <v>张越鹏</v>
      </c>
      <c r="J217" s="1" t="str">
        <f t="shared" si="81"/>
        <v>天津星原汽车零部件有限公司</v>
      </c>
    </row>
    <row r="218" spans="1:10">
      <c r="A218" s="1" t="str">
        <f t="shared" si="115"/>
        <v>天津星原工业科技有限公司</v>
      </c>
      <c r="B218" s="1" t="str">
        <f>"一种稳固型金属板料成型后稳定销"</f>
        <v>一种稳固型金属板料成型后稳定销</v>
      </c>
      <c r="C218" s="1" t="str">
        <f t="shared" si="110"/>
        <v>实用新型</v>
      </c>
      <c r="D218" s="1" t="str">
        <f t="shared" si="113"/>
        <v>期限届满专利权终止</v>
      </c>
      <c r="E218" s="1" t="str">
        <f>"CN201520512053.1"</f>
        <v>CN201520512053.1</v>
      </c>
      <c r="F218" s="1" t="str">
        <f t="shared" si="111"/>
        <v>2015-07-15</v>
      </c>
      <c r="G218" s="1" t="str">
        <f>"CN204934300U"</f>
        <v>CN204934300U</v>
      </c>
      <c r="H218" s="1" t="str">
        <f t="shared" si="114"/>
        <v>2016-01-06</v>
      </c>
      <c r="I218" s="1" t="str">
        <f>"穆亚健"</f>
        <v>穆亚健</v>
      </c>
      <c r="J218" s="1" t="str">
        <f t="shared" si="81"/>
        <v>天津星原汽车零部件有限公司</v>
      </c>
    </row>
    <row r="219" spans="1:10">
      <c r="A219" s="1" t="str">
        <f t="shared" si="115"/>
        <v>天津星原工业科技有限公司</v>
      </c>
      <c r="B219" s="1" t="str">
        <f>"一种金属板料成型后简易稳定销"</f>
        <v>一种金属板料成型后简易稳定销</v>
      </c>
      <c r="C219" s="1" t="str">
        <f t="shared" si="110"/>
        <v>实用新型</v>
      </c>
      <c r="D219" s="1" t="str">
        <f>"未缴年费专利权终止"</f>
        <v>未缴年费专利权终止</v>
      </c>
      <c r="E219" s="1" t="str">
        <f>"CN201520512688.1"</f>
        <v>CN201520512688.1</v>
      </c>
      <c r="F219" s="1" t="str">
        <f t="shared" si="111"/>
        <v>2015-07-15</v>
      </c>
      <c r="G219" s="1" t="str">
        <f>"CN204942188U"</f>
        <v>CN204942188U</v>
      </c>
      <c r="H219" s="1" t="str">
        <f t="shared" si="114"/>
        <v>2016-01-06</v>
      </c>
      <c r="I219" s="1" t="str">
        <f>"孟宪柱"</f>
        <v>孟宪柱</v>
      </c>
      <c r="J219" s="1" t="str">
        <f t="shared" ref="J219:J222" si="116">"天津星原汽车零部件有限公司"</f>
        <v>天津星原汽车零部件有限公司</v>
      </c>
    </row>
    <row r="220" spans="1:10">
      <c r="A220" s="1" t="str">
        <f t="shared" si="115"/>
        <v>天津星原工业科技有限公司</v>
      </c>
      <c r="B220" s="1" t="str">
        <f>"一种金属板料成型后新型稳定销"</f>
        <v>一种金属板料成型后新型稳定销</v>
      </c>
      <c r="C220" s="1" t="str">
        <f>"发明公布"</f>
        <v>发明公布</v>
      </c>
      <c r="D220" s="1" t="str">
        <f>"公布驳回"</f>
        <v>公布驳回</v>
      </c>
      <c r="E220" s="1" t="str">
        <f>"CN201510415766.0"</f>
        <v>CN201510415766.0</v>
      </c>
      <c r="F220" s="1" t="str">
        <f t="shared" si="111"/>
        <v>2015-07-15</v>
      </c>
      <c r="G220" s="1" t="str">
        <f>"CN105179412A"</f>
        <v>CN105179412A</v>
      </c>
      <c r="H220" s="1" t="str">
        <f>"2015-12-23"</f>
        <v>2015-12-23</v>
      </c>
      <c r="I220" s="1" t="str">
        <f>"张越鹏"</f>
        <v>张越鹏</v>
      </c>
      <c r="J220" s="1" t="str">
        <f t="shared" si="116"/>
        <v>天津星原汽车零部件有限公司</v>
      </c>
    </row>
    <row r="221" spans="1:10">
      <c r="A221" s="1" t="str">
        <f t="shared" si="115"/>
        <v>天津星原工业科技有限公司</v>
      </c>
      <c r="B221" s="1" t="str">
        <f>"一种箱体式金属板料成型后稳定销"</f>
        <v>一种箱体式金属板料成型后稳定销</v>
      </c>
      <c r="C221" s="1" t="str">
        <f>"发明公布"</f>
        <v>发明公布</v>
      </c>
      <c r="D221" s="1" t="str">
        <f>"公布视为撤回"</f>
        <v>公布视为撤回</v>
      </c>
      <c r="E221" s="1" t="str">
        <f>"CN201510415726.6"</f>
        <v>CN201510415726.6</v>
      </c>
      <c r="F221" s="1" t="str">
        <f t="shared" si="111"/>
        <v>2015-07-15</v>
      </c>
      <c r="G221" s="1" t="str">
        <f>"CN105170816A"</f>
        <v>CN105170816A</v>
      </c>
      <c r="H221" s="1" t="str">
        <f>"2015-12-23"</f>
        <v>2015-12-23</v>
      </c>
      <c r="I221" s="1" t="str">
        <f>"焦雷魁"</f>
        <v>焦雷魁</v>
      </c>
      <c r="J221" s="1" t="str">
        <f t="shared" si="116"/>
        <v>天津星原汽车零部件有限公司</v>
      </c>
    </row>
    <row r="222" spans="1:10">
      <c r="A222" s="1" t="str">
        <f t="shared" si="115"/>
        <v>天津星原工业科技有限公司</v>
      </c>
      <c r="B222" s="1" t="str">
        <f>"拉伸模延时脱模机构"</f>
        <v>拉伸模延时脱模机构</v>
      </c>
      <c r="C222" s="1" t="str">
        <f t="shared" ref="C222:C225" si="117">"实用新型"</f>
        <v>实用新型</v>
      </c>
      <c r="D222" s="1" t="str">
        <f>"期限届满专利权终止"</f>
        <v>期限届满专利权终止</v>
      </c>
      <c r="E222" s="1" t="str">
        <f>"CN201420418766.7"</f>
        <v>CN201420418766.7</v>
      </c>
      <c r="F222" s="1" t="str">
        <f>"2014-07-28"</f>
        <v>2014-07-28</v>
      </c>
      <c r="G222" s="1" t="str">
        <f>"CN203992120U"</f>
        <v>CN203992120U</v>
      </c>
      <c r="H222" s="1" t="str">
        <f>"2014-12-10"</f>
        <v>2014-12-10</v>
      </c>
      <c r="I222" s="1" t="s">
        <v>4788</v>
      </c>
      <c r="J222" s="1" t="str">
        <f t="shared" si="116"/>
        <v>天津星原汽车零部件有限公司</v>
      </c>
    </row>
    <row r="223" spans="1:10">
      <c r="A223" s="1" t="str">
        <f t="shared" ref="A223:A225" si="118">"皑尔电动汽车动力总成（天津）有限公司"</f>
        <v>皑尔电动汽车动力总成（天津）有限公司</v>
      </c>
      <c r="B223" s="1" t="str">
        <f>"转子安装装置"</f>
        <v>转子安装装置</v>
      </c>
      <c r="C223" s="1" t="str">
        <f t="shared" si="117"/>
        <v>实用新型</v>
      </c>
      <c r="D223" s="1" t="str">
        <f t="shared" ref="D223:D225" si="119">"授权"</f>
        <v>授权</v>
      </c>
      <c r="E223" s="1" t="str">
        <f>"CN202020181442.1"</f>
        <v>CN202020181442.1</v>
      </c>
      <c r="F223" s="1" t="str">
        <f>"2020-02-18"</f>
        <v>2020-02-18</v>
      </c>
      <c r="G223" s="1" t="str">
        <f>"CN211151778U"</f>
        <v>CN211151778U</v>
      </c>
      <c r="H223" s="1" t="str">
        <f>"2020-07-31"</f>
        <v>2020-07-31</v>
      </c>
      <c r="I223" s="1" t="s">
        <v>4789</v>
      </c>
      <c r="J223" s="1" t="str">
        <f t="shared" ref="J223:J225" si="120">"皑尔电动汽车动力总成(天津)有限公司"</f>
        <v>皑尔电动汽车动力总成(天津)有限公司</v>
      </c>
    </row>
    <row r="224" spans="1:10">
      <c r="A224" s="1" t="str">
        <f t="shared" si="118"/>
        <v>皑尔电动汽车动力总成（天津）有限公司</v>
      </c>
      <c r="B224" s="1" t="str">
        <f>"电动汽车驱动器"</f>
        <v>电动汽车驱动器</v>
      </c>
      <c r="C224" s="1" t="str">
        <f t="shared" si="117"/>
        <v>实用新型</v>
      </c>
      <c r="D224" s="1" t="str">
        <f t="shared" si="119"/>
        <v>授权</v>
      </c>
      <c r="E224" s="1" t="str">
        <f>"CN201922101933.0"</f>
        <v>CN201922101933.0</v>
      </c>
      <c r="F224" s="1" t="str">
        <f>"2019-11-29"</f>
        <v>2019-11-29</v>
      </c>
      <c r="G224" s="1" t="str">
        <f>"CN211152425U"</f>
        <v>CN211152425U</v>
      </c>
      <c r="H224" s="1" t="str">
        <f>"2020-07-31"</f>
        <v>2020-07-31</v>
      </c>
      <c r="I224" s="1" t="s">
        <v>4790</v>
      </c>
      <c r="J224" s="1" t="str">
        <f t="shared" si="120"/>
        <v>皑尔电动汽车动力总成(天津)有限公司</v>
      </c>
    </row>
    <row r="225" spans="1:10">
      <c r="A225" s="1" t="str">
        <f t="shared" si="118"/>
        <v>皑尔电动汽车动力总成（天津）有限公司</v>
      </c>
      <c r="B225" s="1" t="str">
        <f>"传感器的安装支架"</f>
        <v>传感器的安装支架</v>
      </c>
      <c r="C225" s="1" t="str">
        <f t="shared" si="117"/>
        <v>实用新型</v>
      </c>
      <c r="D225" s="1" t="str">
        <f t="shared" si="119"/>
        <v>授权</v>
      </c>
      <c r="E225" s="1" t="str">
        <f>"CN201821460391.5"</f>
        <v>CN201821460391.5</v>
      </c>
      <c r="F225" s="1" t="str">
        <f>"2018-09-07"</f>
        <v>2018-09-07</v>
      </c>
      <c r="G225" s="1" t="str">
        <f>"CN208750370U"</f>
        <v>CN208750370U</v>
      </c>
      <c r="H225" s="1" t="str">
        <f>"2019-04-16"</f>
        <v>2019-04-16</v>
      </c>
      <c r="I225" s="1" t="s">
        <v>4791</v>
      </c>
      <c r="J225" s="1" t="str">
        <f t="shared" si="120"/>
        <v>皑尔电动汽车动力总成(天津)有限公司</v>
      </c>
    </row>
    <row r="226" spans="1:10">
      <c r="A226" s="1" t="str">
        <f t="shared" ref="A226:A271" si="121">"梦达驰汽车系统（天津）有限公司"</f>
        <v>梦达驰汽车系统（天津）有限公司</v>
      </c>
      <c r="B226" s="1" t="str">
        <f>"一种汽车格栅加工设备"</f>
        <v>一种汽车格栅加工设备</v>
      </c>
      <c r="C226" s="1" t="str">
        <f>"发明公布"</f>
        <v>发明公布</v>
      </c>
      <c r="D226" s="1" t="str">
        <f>"实质审查"</f>
        <v>实质审查</v>
      </c>
      <c r="E226" s="1" t="str">
        <f>"CN202510453131.3"</f>
        <v>CN202510453131.3</v>
      </c>
      <c r="F226" s="1" t="str">
        <f>"2025-04-11"</f>
        <v>2025-04-11</v>
      </c>
      <c r="G226" s="1" t="str">
        <f>"CN120079980A"</f>
        <v>CN120079980A</v>
      </c>
      <c r="H226" s="1" t="str">
        <f>"2025-06-03"</f>
        <v>2025-06-03</v>
      </c>
      <c r="I226" s="1" t="s">
        <v>4792</v>
      </c>
      <c r="J226" s="1" t="str">
        <f t="shared" ref="J226:J271" si="122">"梦达驰汽车系统(天津)有限公司"</f>
        <v>梦达驰汽车系统(天津)有限公司</v>
      </c>
    </row>
    <row r="227" spans="1:10">
      <c r="A227" s="1" t="str">
        <f t="shared" si="121"/>
        <v>梦达驰汽车系统（天津）有限公司</v>
      </c>
      <c r="B227" s="1" t="str">
        <f>"一种车辆A柱上饰板骨架包覆装置"</f>
        <v>一种车辆A柱上饰板骨架包覆装置</v>
      </c>
      <c r="C227" s="1" t="str">
        <f t="shared" ref="C227:C238" si="123">"实用新型"</f>
        <v>实用新型</v>
      </c>
      <c r="D227" s="1" t="str">
        <f t="shared" ref="D227:D233" si="124">"授权"</f>
        <v>授权</v>
      </c>
      <c r="E227" s="1" t="str">
        <f>"CN202421567910.3"</f>
        <v>CN202421567910.3</v>
      </c>
      <c r="F227" s="1" t="str">
        <f>"2024-07-04"</f>
        <v>2024-07-04</v>
      </c>
      <c r="G227" s="1" t="str">
        <f>"CN222886498U"</f>
        <v>CN222886498U</v>
      </c>
      <c r="H227" s="1" t="str">
        <f>"2025-05-20"</f>
        <v>2025-05-20</v>
      </c>
      <c r="I227" s="1" t="str">
        <f>"黄炎"</f>
        <v>黄炎</v>
      </c>
      <c r="J227" s="1" t="str">
        <f t="shared" si="122"/>
        <v>梦达驰汽车系统(天津)有限公司</v>
      </c>
    </row>
    <row r="228" spans="1:10">
      <c r="A228" s="1" t="str">
        <f t="shared" si="121"/>
        <v>梦达驰汽车系统（天津）有限公司</v>
      </c>
      <c r="B228" s="1" t="str">
        <f>"一种卡座结构替代钣金支架结构"</f>
        <v>一种卡座结构替代钣金支架结构</v>
      </c>
      <c r="C228" s="1" t="str">
        <f t="shared" si="123"/>
        <v>实用新型</v>
      </c>
      <c r="D228" s="1" t="str">
        <f t="shared" si="124"/>
        <v>授权</v>
      </c>
      <c r="E228" s="1" t="str">
        <f>"CN202421620551.3"</f>
        <v>CN202421620551.3</v>
      </c>
      <c r="F228" s="1" t="str">
        <f>"2024-07-10"</f>
        <v>2024-07-10</v>
      </c>
      <c r="G228" s="1" t="str">
        <f>"CN222727930U"</f>
        <v>CN222727930U</v>
      </c>
      <c r="H228" s="1" t="str">
        <f t="shared" ref="H228:H230" si="125">"2025-04-08"</f>
        <v>2025-04-08</v>
      </c>
      <c r="I228" s="1" t="str">
        <f>"黄浩然"</f>
        <v>黄浩然</v>
      </c>
      <c r="J228" s="1" t="str">
        <f t="shared" si="122"/>
        <v>梦达驰汽车系统(天津)有限公司</v>
      </c>
    </row>
    <row r="229" spans="1:10">
      <c r="A229" s="1" t="str">
        <f t="shared" si="121"/>
        <v>梦达驰汽车系统（天津）有限公司</v>
      </c>
      <c r="B229" s="1" t="str">
        <f>"一种减轻重量的汽车地护板装置"</f>
        <v>一种减轻重量的汽车地护板装置</v>
      </c>
      <c r="C229" s="1" t="str">
        <f t="shared" si="123"/>
        <v>实用新型</v>
      </c>
      <c r="D229" s="1" t="str">
        <f t="shared" si="124"/>
        <v>授权</v>
      </c>
      <c r="E229" s="1" t="str">
        <f>"CN202421568139.1"</f>
        <v>CN202421568139.1</v>
      </c>
      <c r="F229" s="1" t="str">
        <f>"2024-07-04"</f>
        <v>2024-07-04</v>
      </c>
      <c r="G229" s="1" t="str">
        <f>"CN222728102U"</f>
        <v>CN222728102U</v>
      </c>
      <c r="H229" s="1" t="str">
        <f t="shared" si="125"/>
        <v>2025-04-08</v>
      </c>
      <c r="I229" s="1" t="str">
        <f>"贾海旭"</f>
        <v>贾海旭</v>
      </c>
      <c r="J229" s="1" t="str">
        <f t="shared" si="122"/>
        <v>梦达驰汽车系统(天津)有限公司</v>
      </c>
    </row>
    <row r="230" spans="1:10">
      <c r="A230" s="1" t="str">
        <f t="shared" si="121"/>
        <v>梦达驰汽车系统（天津）有限公司</v>
      </c>
      <c r="B230" s="1" t="str">
        <f>"一种车顶激光雷达密封结构"</f>
        <v>一种车顶激光雷达密封结构</v>
      </c>
      <c r="C230" s="1" t="str">
        <f t="shared" si="123"/>
        <v>实用新型</v>
      </c>
      <c r="D230" s="1" t="str">
        <f t="shared" si="124"/>
        <v>授权</v>
      </c>
      <c r="E230" s="1" t="str">
        <f>"CN202421590662.4"</f>
        <v>CN202421590662.4</v>
      </c>
      <c r="F230" s="1" t="str">
        <f>"2024-07-08"</f>
        <v>2024-07-08</v>
      </c>
      <c r="G230" s="1" t="str">
        <f>"CN222727931U"</f>
        <v>CN222727931U</v>
      </c>
      <c r="H230" s="1" t="str">
        <f t="shared" si="125"/>
        <v>2025-04-08</v>
      </c>
      <c r="I230" s="1" t="str">
        <f>"王涛"</f>
        <v>王涛</v>
      </c>
      <c r="J230" s="1" t="str">
        <f t="shared" si="122"/>
        <v>梦达驰汽车系统(天津)有限公司</v>
      </c>
    </row>
    <row r="231" spans="1:10">
      <c r="A231" s="1" t="str">
        <f t="shared" si="121"/>
        <v>梦达驰汽车系统（天津）有限公司</v>
      </c>
      <c r="B231" s="1" t="str">
        <f>"一种发光灯带装置"</f>
        <v>一种发光灯带装置</v>
      </c>
      <c r="C231" s="1" t="str">
        <f t="shared" si="123"/>
        <v>实用新型</v>
      </c>
      <c r="D231" s="1" t="str">
        <f t="shared" si="124"/>
        <v>授权</v>
      </c>
      <c r="E231" s="1" t="str">
        <f>"CN202421461686.X"</f>
        <v>CN202421461686.X</v>
      </c>
      <c r="F231" s="1" t="str">
        <f>"2024-06-25"</f>
        <v>2024-06-25</v>
      </c>
      <c r="G231" s="1" t="str">
        <f>"CN222597443U"</f>
        <v>CN222597443U</v>
      </c>
      <c r="H231" s="1" t="str">
        <f t="shared" ref="H231:H233" si="126">"2025-03-11"</f>
        <v>2025-03-11</v>
      </c>
      <c r="I231" s="1" t="str">
        <f>"陈东青"</f>
        <v>陈东青</v>
      </c>
      <c r="J231" s="1" t="str">
        <f t="shared" si="122"/>
        <v>梦达驰汽车系统(天津)有限公司</v>
      </c>
    </row>
    <row r="232" spans="1:10">
      <c r="A232" s="1" t="str">
        <f t="shared" si="121"/>
        <v>梦达驰汽车系统（天津）有限公司</v>
      </c>
      <c r="B232" s="1" t="str">
        <f>"一种拆装方便的金属卡子结构"</f>
        <v>一种拆装方便的金属卡子结构</v>
      </c>
      <c r="C232" s="1" t="str">
        <f t="shared" si="123"/>
        <v>实用新型</v>
      </c>
      <c r="D232" s="1" t="str">
        <f t="shared" si="124"/>
        <v>授权</v>
      </c>
      <c r="E232" s="1" t="str">
        <f>"CN202421380988.4"</f>
        <v>CN202421380988.4</v>
      </c>
      <c r="F232" s="1" t="str">
        <f>"2024-06-18"</f>
        <v>2024-06-18</v>
      </c>
      <c r="G232" s="1" t="str">
        <f>"CN222591435U"</f>
        <v>CN222591435U</v>
      </c>
      <c r="H232" s="1" t="str">
        <f t="shared" si="126"/>
        <v>2025-03-11</v>
      </c>
      <c r="I232" s="1" t="str">
        <f>"王博"</f>
        <v>王博</v>
      </c>
      <c r="J232" s="1" t="str">
        <f t="shared" si="122"/>
        <v>梦达驰汽车系统(天津)有限公司</v>
      </c>
    </row>
    <row r="233" spans="1:10">
      <c r="A233" s="1" t="str">
        <f t="shared" si="121"/>
        <v>梦达驰汽车系统（天津）有限公司</v>
      </c>
      <c r="B233" s="1" t="str">
        <f>"一种汽车塑料件装配非同心金属垫片"</f>
        <v>一种汽车塑料件装配非同心金属垫片</v>
      </c>
      <c r="C233" s="1" t="str">
        <f t="shared" si="123"/>
        <v>实用新型</v>
      </c>
      <c r="D233" s="1" t="str">
        <f t="shared" si="124"/>
        <v>授权</v>
      </c>
      <c r="E233" s="1" t="str">
        <f>"CN202421381114.0"</f>
        <v>CN202421381114.0</v>
      </c>
      <c r="F233" s="1" t="str">
        <f>"2024-06-18"</f>
        <v>2024-06-18</v>
      </c>
      <c r="G233" s="1" t="str">
        <f>"CN222596542U"</f>
        <v>CN222596542U</v>
      </c>
      <c r="H233" s="1" t="str">
        <f t="shared" si="126"/>
        <v>2025-03-11</v>
      </c>
      <c r="I233" s="1" t="str">
        <f>"苏培轩"</f>
        <v>苏培轩</v>
      </c>
      <c r="J233" s="1" t="str">
        <f t="shared" si="122"/>
        <v>梦达驰汽车系统(天津)有限公司</v>
      </c>
    </row>
    <row r="234" spans="1:10">
      <c r="A234" s="1" t="str">
        <f t="shared" si="121"/>
        <v>梦达驰汽车系统（天津）有限公司</v>
      </c>
      <c r="B234" s="1" t="str">
        <f>"一种新型汽车格栅装置"</f>
        <v>一种新型汽车格栅装置</v>
      </c>
      <c r="C234" s="1" t="str">
        <f t="shared" si="123"/>
        <v>实用新型</v>
      </c>
      <c r="D234" s="1" t="str">
        <f t="shared" ref="D234:D238" si="127">"未缴年费专利权终止"</f>
        <v>未缴年费专利权终止</v>
      </c>
      <c r="E234" s="1" t="str">
        <f>"CN202321773232.1"</f>
        <v>CN202321773232.1</v>
      </c>
      <c r="F234" s="1" t="str">
        <f>"2023-07-07"</f>
        <v>2023-07-07</v>
      </c>
      <c r="G234" s="1" t="str">
        <f>"CN220298445U"</f>
        <v>CN220298445U</v>
      </c>
      <c r="H234" s="1" t="str">
        <f t="shared" ref="H234:H238" si="128">"2024-01-05"</f>
        <v>2024-01-05</v>
      </c>
      <c r="I234" s="1" t="s">
        <v>4793</v>
      </c>
      <c r="J234" s="1" t="str">
        <f t="shared" si="122"/>
        <v>梦达驰汽车系统(天津)有限公司</v>
      </c>
    </row>
    <row r="235" spans="1:10">
      <c r="A235" s="1" t="str">
        <f t="shared" si="121"/>
        <v>梦达驰汽车系统（天津）有限公司</v>
      </c>
      <c r="B235" s="1" t="str">
        <f>"一种减小汽车电镀件与汽车油漆件之间噪音的结构"</f>
        <v>一种减小汽车电镀件与汽车油漆件之间噪音的结构</v>
      </c>
      <c r="C235" s="1" t="str">
        <f t="shared" si="123"/>
        <v>实用新型</v>
      </c>
      <c r="D235" s="1" t="str">
        <f t="shared" si="127"/>
        <v>未缴年费专利权终止</v>
      </c>
      <c r="E235" s="1" t="str">
        <f>"CN202321759821.4"</f>
        <v>CN202321759821.4</v>
      </c>
      <c r="F235" s="1" t="str">
        <f t="shared" ref="F235:F238" si="129">"2023-07-06"</f>
        <v>2023-07-06</v>
      </c>
      <c r="G235" s="1" t="str">
        <f>"CN220298431U"</f>
        <v>CN220298431U</v>
      </c>
      <c r="H235" s="1" t="str">
        <f t="shared" si="128"/>
        <v>2024-01-05</v>
      </c>
      <c r="I235" s="1" t="s">
        <v>4794</v>
      </c>
      <c r="J235" s="1" t="str">
        <f t="shared" si="122"/>
        <v>梦达驰汽车系统(天津)有限公司</v>
      </c>
    </row>
    <row r="236" spans="1:10">
      <c r="A236" s="1" t="str">
        <f t="shared" si="121"/>
        <v>梦达驰汽车系统（天津）有限公司</v>
      </c>
      <c r="B236" s="1" t="str">
        <f>"一种集压缩注塑及喷漆于一体的新型格栅"</f>
        <v>一种集压缩注塑及喷漆于一体的新型格栅</v>
      </c>
      <c r="C236" s="1" t="str">
        <f t="shared" si="123"/>
        <v>实用新型</v>
      </c>
      <c r="D236" s="1" t="str">
        <f t="shared" si="127"/>
        <v>未缴年费专利权终止</v>
      </c>
      <c r="E236" s="1" t="str">
        <f>"CN202321759569.7"</f>
        <v>CN202321759569.7</v>
      </c>
      <c r="F236" s="1" t="str">
        <f t="shared" si="129"/>
        <v>2023-07-06</v>
      </c>
      <c r="G236" s="1" t="str">
        <f>"CN220298444U"</f>
        <v>CN220298444U</v>
      </c>
      <c r="H236" s="1" t="str">
        <f t="shared" si="128"/>
        <v>2024-01-05</v>
      </c>
      <c r="I236" s="1" t="s">
        <v>4795</v>
      </c>
      <c r="J236" s="1" t="str">
        <f t="shared" si="122"/>
        <v>梦达驰汽车系统(天津)有限公司</v>
      </c>
    </row>
    <row r="237" spans="1:10">
      <c r="A237" s="1" t="str">
        <f t="shared" si="121"/>
        <v>梦达驰汽车系统（天津）有限公司</v>
      </c>
      <c r="B237" s="1" t="str">
        <f>"一种扰流板固定结构"</f>
        <v>一种扰流板固定结构</v>
      </c>
      <c r="C237" s="1" t="str">
        <f t="shared" si="123"/>
        <v>实用新型</v>
      </c>
      <c r="D237" s="1" t="str">
        <f t="shared" si="127"/>
        <v>未缴年费专利权终止</v>
      </c>
      <c r="E237" s="1" t="str">
        <f>"CN202321761008.0"</f>
        <v>CN202321761008.0</v>
      </c>
      <c r="F237" s="1" t="str">
        <f t="shared" si="129"/>
        <v>2023-07-06</v>
      </c>
      <c r="G237" s="1" t="str">
        <f>"CN220298615U"</f>
        <v>CN220298615U</v>
      </c>
      <c r="H237" s="1" t="str">
        <f t="shared" si="128"/>
        <v>2024-01-05</v>
      </c>
      <c r="I237" s="1" t="s">
        <v>4796</v>
      </c>
      <c r="J237" s="1" t="str">
        <f t="shared" si="122"/>
        <v>梦达驰汽车系统(天津)有限公司</v>
      </c>
    </row>
    <row r="238" spans="1:10">
      <c r="A238" s="1" t="str">
        <f t="shared" si="121"/>
        <v>梦达驰汽车系统（天津）有限公司</v>
      </c>
      <c r="B238" s="1" t="str">
        <f>"一种新型外置空调滤芯"</f>
        <v>一种新型外置空调滤芯</v>
      </c>
      <c r="C238" s="1" t="str">
        <f t="shared" si="123"/>
        <v>实用新型</v>
      </c>
      <c r="D238" s="1" t="str">
        <f t="shared" si="127"/>
        <v>未缴年费专利权终止</v>
      </c>
      <c r="E238" s="1" t="str">
        <f>"CN202321760819.9"</f>
        <v>CN202321760819.9</v>
      </c>
      <c r="F238" s="1" t="str">
        <f t="shared" si="129"/>
        <v>2023-07-06</v>
      </c>
      <c r="G238" s="1" t="str">
        <f>"CN220298264U"</f>
        <v>CN220298264U</v>
      </c>
      <c r="H238" s="1" t="str">
        <f t="shared" si="128"/>
        <v>2024-01-05</v>
      </c>
      <c r="I238" s="1" t="s">
        <v>4797</v>
      </c>
      <c r="J238" s="1" t="str">
        <f t="shared" si="122"/>
        <v>梦达驰汽车系统(天津)有限公司</v>
      </c>
    </row>
    <row r="239" spans="1:10">
      <c r="A239" s="1" t="str">
        <f t="shared" si="121"/>
        <v>梦达驰汽车系统（天津）有限公司</v>
      </c>
      <c r="B239" s="1" t="str">
        <f>"一种双色压缩注塑侧面扰流板及生产工艺"</f>
        <v>一种双色压缩注塑侧面扰流板及生产工艺</v>
      </c>
      <c r="C239" s="1" t="str">
        <f>"发明公布"</f>
        <v>发明公布</v>
      </c>
      <c r="D239" s="1" t="str">
        <f>"实质审查"</f>
        <v>实质审查</v>
      </c>
      <c r="E239" s="1" t="str">
        <f>"CN202310990219.X"</f>
        <v>CN202310990219.X</v>
      </c>
      <c r="F239" s="1" t="str">
        <f>"2023-08-08"</f>
        <v>2023-08-08</v>
      </c>
      <c r="G239" s="1" t="str">
        <f>"CN116946269A"</f>
        <v>CN116946269A</v>
      </c>
      <c r="H239" s="1" t="str">
        <f>"2023-10-27"</f>
        <v>2023-10-27</v>
      </c>
      <c r="I239" s="1" t="s">
        <v>4798</v>
      </c>
      <c r="J239" s="1" t="str">
        <f t="shared" si="122"/>
        <v>梦达驰汽车系统(天津)有限公司</v>
      </c>
    </row>
    <row r="240" spans="1:10">
      <c r="A240" s="1" t="str">
        <f t="shared" si="121"/>
        <v>梦达驰汽车系统（天津）有限公司</v>
      </c>
      <c r="B240" s="1" t="str">
        <f>"一种用于汽车的LED发光格栅"</f>
        <v>一种用于汽车的LED发光格栅</v>
      </c>
      <c r="C240" s="1" t="str">
        <f t="shared" ref="C240:C248" si="130">"实用新型"</f>
        <v>实用新型</v>
      </c>
      <c r="D240" s="1" t="str">
        <f t="shared" ref="D240:D248" si="131">"授权"</f>
        <v>授权</v>
      </c>
      <c r="E240" s="1" t="str">
        <f>"CN202220702844.0"</f>
        <v>CN202220702844.0</v>
      </c>
      <c r="F240" s="1" t="str">
        <f>"2022-03-29"</f>
        <v>2022-03-29</v>
      </c>
      <c r="G240" s="1" t="str">
        <f>"CN217396461U"</f>
        <v>CN217396461U</v>
      </c>
      <c r="H240" s="1" t="str">
        <f>"2022-09-09"</f>
        <v>2022-09-09</v>
      </c>
      <c r="I240" s="1" t="str">
        <f>"徐大伟"</f>
        <v>徐大伟</v>
      </c>
      <c r="J240" s="1" t="str">
        <f t="shared" si="122"/>
        <v>梦达驰汽车系统(天津)有限公司</v>
      </c>
    </row>
    <row r="241" spans="1:10">
      <c r="A241" s="1" t="str">
        <f t="shared" si="121"/>
        <v>梦达驰汽车系统（天津）有限公司</v>
      </c>
      <c r="B241" s="1" t="str">
        <f>"一种卡扣固定式摄像头支架"</f>
        <v>一种卡扣固定式摄像头支架</v>
      </c>
      <c r="C241" s="1" t="str">
        <f t="shared" si="130"/>
        <v>实用新型</v>
      </c>
      <c r="D241" s="1" t="str">
        <f t="shared" si="131"/>
        <v>授权</v>
      </c>
      <c r="E241" s="1" t="str">
        <f>"CN202121241088.8"</f>
        <v>CN202121241088.8</v>
      </c>
      <c r="F241" s="1" t="str">
        <f t="shared" ref="F241:F250" si="132">"2021-06-03"</f>
        <v>2021-06-03</v>
      </c>
      <c r="G241" s="1" t="str">
        <f>"CN215488519U"</f>
        <v>CN215488519U</v>
      </c>
      <c r="H241" s="1" t="str">
        <f t="shared" ref="H241:H243" si="133">"2022-01-11"</f>
        <v>2022-01-11</v>
      </c>
      <c r="I241" s="1" t="s">
        <v>4799</v>
      </c>
      <c r="J241" s="1" t="str">
        <f t="shared" si="122"/>
        <v>梦达驰汽车系统(天津)有限公司</v>
      </c>
    </row>
    <row r="242" spans="1:10">
      <c r="A242" s="1" t="str">
        <f t="shared" si="121"/>
        <v>梦达驰汽车系统（天津）有限公司</v>
      </c>
      <c r="B242" s="1" t="str">
        <f>"一种避免双色注塑皮纹压伤的产品设计结构"</f>
        <v>一种避免双色注塑皮纹压伤的产品设计结构</v>
      </c>
      <c r="C242" s="1" t="str">
        <f t="shared" si="130"/>
        <v>实用新型</v>
      </c>
      <c r="D242" s="1" t="str">
        <f t="shared" si="131"/>
        <v>授权</v>
      </c>
      <c r="E242" s="1" t="str">
        <f>"CN202121241065.7"</f>
        <v>CN202121241065.7</v>
      </c>
      <c r="F242" s="1" t="str">
        <f t="shared" si="132"/>
        <v>2021-06-03</v>
      </c>
      <c r="G242" s="1" t="str">
        <f>"CN215472655U"</f>
        <v>CN215472655U</v>
      </c>
      <c r="H242" s="1" t="str">
        <f t="shared" si="133"/>
        <v>2022-01-11</v>
      </c>
      <c r="I242" s="1" t="s">
        <v>4800</v>
      </c>
      <c r="J242" s="1" t="str">
        <f t="shared" si="122"/>
        <v>梦达驰汽车系统(天津)有限公司</v>
      </c>
    </row>
    <row r="243" spans="1:10">
      <c r="A243" s="1" t="str">
        <f t="shared" si="121"/>
        <v>梦达驰汽车系统（天津）有限公司</v>
      </c>
      <c r="B243" s="1" t="str">
        <f>"一种汽车塑料边梁结构"</f>
        <v>一种汽车塑料边梁结构</v>
      </c>
      <c r="C243" s="1" t="str">
        <f t="shared" si="130"/>
        <v>实用新型</v>
      </c>
      <c r="D243" s="1" t="str">
        <f t="shared" si="131"/>
        <v>授权</v>
      </c>
      <c r="E243" s="1" t="str">
        <f>"CN202121241064.2"</f>
        <v>CN202121241064.2</v>
      </c>
      <c r="F243" s="1" t="str">
        <f t="shared" si="132"/>
        <v>2021-06-03</v>
      </c>
      <c r="G243" s="1" t="str">
        <f>"CN215474928U"</f>
        <v>CN215474928U</v>
      </c>
      <c r="H243" s="1" t="str">
        <f t="shared" si="133"/>
        <v>2022-01-11</v>
      </c>
      <c r="I243" s="1" t="s">
        <v>4801</v>
      </c>
      <c r="J243" s="1" t="str">
        <f t="shared" si="122"/>
        <v>梦达驰汽车系统(天津)有限公司</v>
      </c>
    </row>
    <row r="244" spans="1:10">
      <c r="A244" s="1" t="str">
        <f t="shared" si="121"/>
        <v>梦达驰汽车系统（天津）有限公司</v>
      </c>
      <c r="B244" s="1" t="str">
        <f>"一种天线盖板装置"</f>
        <v>一种天线盖板装置</v>
      </c>
      <c r="C244" s="1" t="str">
        <f t="shared" si="130"/>
        <v>实用新型</v>
      </c>
      <c r="D244" s="1" t="str">
        <f t="shared" si="131"/>
        <v>授权</v>
      </c>
      <c r="E244" s="1" t="str">
        <f>"CN202121237758.9"</f>
        <v>CN202121237758.9</v>
      </c>
      <c r="F244" s="1" t="str">
        <f t="shared" si="132"/>
        <v>2021-06-03</v>
      </c>
      <c r="G244" s="1" t="str">
        <f>"CN214797728U"</f>
        <v>CN214797728U</v>
      </c>
      <c r="H244" s="1" t="str">
        <f>"2021-11-19"</f>
        <v>2021-11-19</v>
      </c>
      <c r="I244" s="1" t="s">
        <v>4802</v>
      </c>
      <c r="J244" s="1" t="str">
        <f t="shared" si="122"/>
        <v>梦达驰汽车系统(天津)有限公司</v>
      </c>
    </row>
    <row r="245" spans="1:10">
      <c r="A245" s="1" t="str">
        <f t="shared" si="121"/>
        <v>梦达驰汽车系统（天津）有限公司</v>
      </c>
      <c r="B245" s="1" t="str">
        <f>"一种消除格栅油漆件与电镀件之间异响噪音的结构"</f>
        <v>一种消除格栅油漆件与电镀件之间异响噪音的结构</v>
      </c>
      <c r="C245" s="1" t="str">
        <f t="shared" si="130"/>
        <v>实用新型</v>
      </c>
      <c r="D245" s="1" t="str">
        <f t="shared" si="131"/>
        <v>授权</v>
      </c>
      <c r="E245" s="1" t="str">
        <f>"CN202121241086.9"</f>
        <v>CN202121241086.9</v>
      </c>
      <c r="F245" s="1" t="str">
        <f t="shared" si="132"/>
        <v>2021-06-03</v>
      </c>
      <c r="G245" s="1" t="str">
        <f>"CN214728592U"</f>
        <v>CN214728592U</v>
      </c>
      <c r="H245" s="1" t="str">
        <f>"2021-11-16"</f>
        <v>2021-11-16</v>
      </c>
      <c r="I245" s="1" t="s">
        <v>4803</v>
      </c>
      <c r="J245" s="1" t="str">
        <f t="shared" si="122"/>
        <v>梦达驰汽车系统(天津)有限公司</v>
      </c>
    </row>
    <row r="246" spans="1:10">
      <c r="A246" s="1" t="str">
        <f t="shared" si="121"/>
        <v>梦达驰汽车系统（天津）有限公司</v>
      </c>
      <c r="B246" s="1" t="str">
        <f>"一种凸点式焊接结构"</f>
        <v>一种凸点式焊接结构</v>
      </c>
      <c r="C246" s="1" t="str">
        <f t="shared" si="130"/>
        <v>实用新型</v>
      </c>
      <c r="D246" s="1" t="str">
        <f t="shared" si="131"/>
        <v>授权</v>
      </c>
      <c r="E246" s="1" t="str">
        <f>"CN202121241087.3"</f>
        <v>CN202121241087.3</v>
      </c>
      <c r="F246" s="1" t="str">
        <f t="shared" si="132"/>
        <v>2021-06-03</v>
      </c>
      <c r="G246" s="1" t="str">
        <f>"CN214721624U"</f>
        <v>CN214721624U</v>
      </c>
      <c r="H246" s="1" t="str">
        <f>"2021-11-16"</f>
        <v>2021-11-16</v>
      </c>
      <c r="I246" s="1" t="s">
        <v>4804</v>
      </c>
      <c r="J246" s="1" t="str">
        <f t="shared" si="122"/>
        <v>梦达驰汽车系统(天津)有限公司</v>
      </c>
    </row>
    <row r="247" spans="1:10">
      <c r="A247" s="1" t="str">
        <f t="shared" si="121"/>
        <v>梦达驰汽车系统（天津）有限公司</v>
      </c>
      <c r="B247" s="1" t="str">
        <f>"一种实现旋转卡接的卡扣结构"</f>
        <v>一种实现旋转卡接的卡扣结构</v>
      </c>
      <c r="C247" s="1" t="str">
        <f t="shared" si="130"/>
        <v>实用新型</v>
      </c>
      <c r="D247" s="1" t="str">
        <f t="shared" si="131"/>
        <v>授权</v>
      </c>
      <c r="E247" s="1" t="str">
        <f>"CN202121241063.8"</f>
        <v>CN202121241063.8</v>
      </c>
      <c r="F247" s="1" t="str">
        <f t="shared" si="132"/>
        <v>2021-06-03</v>
      </c>
      <c r="G247" s="1" t="str">
        <f>"CN214698627U"</f>
        <v>CN214698627U</v>
      </c>
      <c r="H247" s="1" t="str">
        <f>"2021-11-12"</f>
        <v>2021-11-12</v>
      </c>
      <c r="I247" s="1" t="s">
        <v>4805</v>
      </c>
      <c r="J247" s="1" t="str">
        <f t="shared" si="122"/>
        <v>梦达驰汽车系统(天津)有限公司</v>
      </c>
    </row>
    <row r="248" spans="1:10">
      <c r="A248" s="1" t="str">
        <f t="shared" si="121"/>
        <v>梦达驰汽车系统（天津）有限公司</v>
      </c>
      <c r="B248" s="1" t="str">
        <f>"一种电镀件装配软连接结构"</f>
        <v>一种电镀件装配软连接结构</v>
      </c>
      <c r="C248" s="1" t="str">
        <f t="shared" si="130"/>
        <v>实用新型</v>
      </c>
      <c r="D248" s="1" t="str">
        <f t="shared" si="131"/>
        <v>授权</v>
      </c>
      <c r="E248" s="1" t="str">
        <f>"CN202121237759.3"</f>
        <v>CN202121237759.3</v>
      </c>
      <c r="F248" s="1" t="str">
        <f t="shared" si="132"/>
        <v>2021-06-03</v>
      </c>
      <c r="G248" s="1" t="str">
        <f>"CN214698641U"</f>
        <v>CN214698641U</v>
      </c>
      <c r="H248" s="1" t="str">
        <f>"2021-11-12"</f>
        <v>2021-11-12</v>
      </c>
      <c r="I248" s="1" t="s">
        <v>4806</v>
      </c>
      <c r="J248" s="1" t="str">
        <f t="shared" si="122"/>
        <v>梦达驰汽车系统(天津)有限公司</v>
      </c>
    </row>
    <row r="249" spans="1:10">
      <c r="A249" s="1" t="str">
        <f t="shared" si="121"/>
        <v>梦达驰汽车系统（天津）有限公司</v>
      </c>
      <c r="B249" s="1" t="str">
        <f>"一种快速定位、高精度3D扫描测量方法"</f>
        <v>一种快速定位、高精度3D扫描测量方法</v>
      </c>
      <c r="C249" s="1" t="str">
        <f>"发明公布"</f>
        <v>发明公布</v>
      </c>
      <c r="D249" s="1" t="str">
        <f>"公布驳回"</f>
        <v>公布驳回</v>
      </c>
      <c r="E249" s="1" t="str">
        <f>"CN202110622310.7"</f>
        <v>CN202110622310.7</v>
      </c>
      <c r="F249" s="1" t="str">
        <f t="shared" si="132"/>
        <v>2021-06-03</v>
      </c>
      <c r="G249" s="1" t="str">
        <f>"CN113405487A"</f>
        <v>CN113405487A</v>
      </c>
      <c r="H249" s="1" t="str">
        <f>"2021-09-17"</f>
        <v>2021-09-17</v>
      </c>
      <c r="I249" s="1" t="s">
        <v>4807</v>
      </c>
      <c r="J249" s="1" t="str">
        <f t="shared" si="122"/>
        <v>梦达驰汽车系统(天津)有限公司</v>
      </c>
    </row>
    <row r="250" spans="1:10">
      <c r="A250" s="1" t="str">
        <f t="shared" si="121"/>
        <v>梦达驰汽车系统（天津）有限公司</v>
      </c>
      <c r="B250" s="1" t="str">
        <f>"一种基于同料双射注塑成型的单板双层汽车扰流板"</f>
        <v>一种基于同料双射注塑成型的单板双层汽车扰流板</v>
      </c>
      <c r="C250" s="1" t="str">
        <f>"发明公布"</f>
        <v>发明公布</v>
      </c>
      <c r="D250" s="1" t="str">
        <f>"公布驳回"</f>
        <v>公布驳回</v>
      </c>
      <c r="E250" s="1" t="str">
        <f>"CN202110620933.0"</f>
        <v>CN202110620933.0</v>
      </c>
      <c r="F250" s="1" t="str">
        <f t="shared" si="132"/>
        <v>2021-06-03</v>
      </c>
      <c r="G250" s="1" t="str">
        <f>"CN113306639A"</f>
        <v>CN113306639A</v>
      </c>
      <c r="H250" s="1" t="str">
        <f>"2021-08-27"</f>
        <v>2021-08-27</v>
      </c>
      <c r="I250" s="1" t="s">
        <v>4808</v>
      </c>
      <c r="J250" s="1" t="str">
        <f t="shared" si="122"/>
        <v>梦达驰汽车系统(天津)有限公司</v>
      </c>
    </row>
    <row r="251" spans="1:10">
      <c r="A251" s="1" t="str">
        <f t="shared" si="121"/>
        <v>梦达驰汽车系统（天津）有限公司</v>
      </c>
      <c r="B251" s="1" t="str">
        <f>"一种带有能增加拆装次数的卡扣结构的落水槽"</f>
        <v>一种带有能增加拆装次数的卡扣结构的落水槽</v>
      </c>
      <c r="C251" s="1" t="str">
        <f t="shared" ref="C251:C276" si="134">"实用新型"</f>
        <v>实用新型</v>
      </c>
      <c r="D251" s="1" t="str">
        <f t="shared" ref="D251:D270" si="135">"授权"</f>
        <v>授权</v>
      </c>
      <c r="E251" s="1" t="str">
        <f>"CN201921250947.2"</f>
        <v>CN201921250947.2</v>
      </c>
      <c r="F251" s="1" t="str">
        <f t="shared" ref="F251:F260" si="136">"2019-08-02"</f>
        <v>2019-08-02</v>
      </c>
      <c r="G251" s="1" t="str">
        <f>"CN210793051U"</f>
        <v>CN210793051U</v>
      </c>
      <c r="H251" s="1" t="str">
        <f t="shared" ref="H251:H260" si="137">"2020-06-19"</f>
        <v>2020-06-19</v>
      </c>
      <c r="I251" s="1" t="str">
        <f>"彭修元"</f>
        <v>彭修元</v>
      </c>
      <c r="J251" s="1" t="str">
        <f t="shared" si="122"/>
        <v>梦达驰汽车系统(天津)有限公司</v>
      </c>
    </row>
    <row r="252" spans="1:10">
      <c r="A252" s="1" t="str">
        <f t="shared" si="121"/>
        <v>梦达驰汽车系统（天津）有限公司</v>
      </c>
      <c r="B252" s="1" t="str">
        <f>"一种通过冲切减少模具成本的产品结构"</f>
        <v>一种通过冲切减少模具成本的产品结构</v>
      </c>
      <c r="C252" s="1" t="str">
        <f t="shared" si="134"/>
        <v>实用新型</v>
      </c>
      <c r="D252" s="1" t="str">
        <f t="shared" si="135"/>
        <v>授权</v>
      </c>
      <c r="E252" s="1" t="str">
        <f>"CN201921251025.3"</f>
        <v>CN201921251025.3</v>
      </c>
      <c r="F252" s="1" t="str">
        <f t="shared" si="136"/>
        <v>2019-08-02</v>
      </c>
      <c r="G252" s="1" t="str">
        <f>"CN210793081U"</f>
        <v>CN210793081U</v>
      </c>
      <c r="H252" s="1" t="str">
        <f t="shared" si="137"/>
        <v>2020-06-19</v>
      </c>
      <c r="I252" s="1" t="str">
        <f>"陆文超"</f>
        <v>陆文超</v>
      </c>
      <c r="J252" s="1" t="str">
        <f t="shared" si="122"/>
        <v>梦达驰汽车系统(天津)有限公司</v>
      </c>
    </row>
    <row r="253" spans="1:10">
      <c r="A253" s="1" t="str">
        <f t="shared" si="121"/>
        <v>梦达驰汽车系统（天津）有限公司</v>
      </c>
      <c r="B253" s="1" t="str">
        <f>"一种高强度汽车发动机底护板"</f>
        <v>一种高强度汽车发动机底护板</v>
      </c>
      <c r="C253" s="1" t="str">
        <f t="shared" si="134"/>
        <v>实用新型</v>
      </c>
      <c r="D253" s="1" t="str">
        <f t="shared" si="135"/>
        <v>授权</v>
      </c>
      <c r="E253" s="1" t="str">
        <f>"CN201921250948.7"</f>
        <v>CN201921250948.7</v>
      </c>
      <c r="F253" s="1" t="str">
        <f t="shared" si="136"/>
        <v>2019-08-02</v>
      </c>
      <c r="G253" s="1" t="str">
        <f>"CN210793052U"</f>
        <v>CN210793052U</v>
      </c>
      <c r="H253" s="1" t="str">
        <f t="shared" si="137"/>
        <v>2020-06-19</v>
      </c>
      <c r="I253" s="1" t="str">
        <f>"刘宇"</f>
        <v>刘宇</v>
      </c>
      <c r="J253" s="1" t="str">
        <f t="shared" si="122"/>
        <v>梦达驰汽车系统(天津)有限公司</v>
      </c>
    </row>
    <row r="254" spans="1:10">
      <c r="A254" s="1" t="str">
        <f t="shared" si="121"/>
        <v>梦达驰汽车系统（天津）有限公司</v>
      </c>
      <c r="B254" s="1" t="str">
        <f>"一种卡扣固定代替螺接固定方式的前格栅"</f>
        <v>一种卡扣固定代替螺接固定方式的前格栅</v>
      </c>
      <c r="C254" s="1" t="str">
        <f t="shared" si="134"/>
        <v>实用新型</v>
      </c>
      <c r="D254" s="1" t="str">
        <f t="shared" si="135"/>
        <v>授权</v>
      </c>
      <c r="E254" s="1" t="str">
        <f>"CN201921249107.4"</f>
        <v>CN201921249107.4</v>
      </c>
      <c r="F254" s="1" t="str">
        <f t="shared" si="136"/>
        <v>2019-08-02</v>
      </c>
      <c r="G254" s="1" t="str">
        <f>"CN210793079U"</f>
        <v>CN210793079U</v>
      </c>
      <c r="H254" s="1" t="str">
        <f t="shared" si="137"/>
        <v>2020-06-19</v>
      </c>
      <c r="I254" s="1" t="str">
        <f>"陆文超"</f>
        <v>陆文超</v>
      </c>
      <c r="J254" s="1" t="str">
        <f t="shared" si="122"/>
        <v>梦达驰汽车系统(天津)有限公司</v>
      </c>
    </row>
    <row r="255" spans="1:10">
      <c r="A255" s="1" t="str">
        <f t="shared" si="121"/>
        <v>梦达驰汽车系统（天津）有限公司</v>
      </c>
      <c r="B255" s="1" t="str">
        <f>"一种拼接式稳固型轮毂罩"</f>
        <v>一种拼接式稳固型轮毂罩</v>
      </c>
      <c r="C255" s="1" t="str">
        <f t="shared" si="134"/>
        <v>实用新型</v>
      </c>
      <c r="D255" s="1" t="str">
        <f t="shared" si="135"/>
        <v>授权</v>
      </c>
      <c r="E255" s="1" t="str">
        <f>"CN201921250861.X"</f>
        <v>CN201921250861.X</v>
      </c>
      <c r="F255" s="1" t="str">
        <f t="shared" si="136"/>
        <v>2019-08-02</v>
      </c>
      <c r="G255" s="1" t="str">
        <f>"CN210792676U"</f>
        <v>CN210792676U</v>
      </c>
      <c r="H255" s="1" t="str">
        <f t="shared" si="137"/>
        <v>2020-06-19</v>
      </c>
      <c r="I255" s="1" t="str">
        <f>"朱明华"</f>
        <v>朱明华</v>
      </c>
      <c r="J255" s="1" t="str">
        <f t="shared" si="122"/>
        <v>梦达驰汽车系统(天津)有限公司</v>
      </c>
    </row>
    <row r="256" spans="1:10">
      <c r="A256" s="1" t="str">
        <f t="shared" si="121"/>
        <v>梦达驰汽车系统（天津）有限公司</v>
      </c>
      <c r="B256" s="1" t="str">
        <f>"一种带卡扣装配结构取代胶带粘贴的前格栅皮纹装饰条"</f>
        <v>一种带卡扣装配结构取代胶带粘贴的前格栅皮纹装饰条</v>
      </c>
      <c r="C256" s="1" t="str">
        <f t="shared" si="134"/>
        <v>实用新型</v>
      </c>
      <c r="D256" s="1" t="str">
        <f t="shared" si="135"/>
        <v>授权</v>
      </c>
      <c r="E256" s="1" t="str">
        <f>"CN201921249109.3"</f>
        <v>CN201921249109.3</v>
      </c>
      <c r="F256" s="1" t="str">
        <f t="shared" si="136"/>
        <v>2019-08-02</v>
      </c>
      <c r="G256" s="1" t="str">
        <f>"CN210793049U"</f>
        <v>CN210793049U</v>
      </c>
      <c r="H256" s="1" t="str">
        <f t="shared" si="137"/>
        <v>2020-06-19</v>
      </c>
      <c r="I256" s="1" t="str">
        <f>"郑大刚"</f>
        <v>郑大刚</v>
      </c>
      <c r="J256" s="1" t="str">
        <f t="shared" si="122"/>
        <v>梦达驰汽车系统(天津)有限公司</v>
      </c>
    </row>
    <row r="257" spans="1:10">
      <c r="A257" s="1" t="str">
        <f t="shared" si="121"/>
        <v>梦达驰汽车系统（天津）有限公司</v>
      </c>
      <c r="B257" s="1" t="str">
        <f>"一种整体式取代分体设计的前格栅热烫印部件"</f>
        <v>一种整体式取代分体设计的前格栅热烫印部件</v>
      </c>
      <c r="C257" s="1" t="str">
        <f t="shared" si="134"/>
        <v>实用新型</v>
      </c>
      <c r="D257" s="1" t="str">
        <f t="shared" si="135"/>
        <v>授权</v>
      </c>
      <c r="E257" s="1" t="str">
        <f>"CN201921250946.8"</f>
        <v>CN201921250946.8</v>
      </c>
      <c r="F257" s="1" t="str">
        <f t="shared" si="136"/>
        <v>2019-08-02</v>
      </c>
      <c r="G257" s="1" t="str">
        <f>"CN210793080U"</f>
        <v>CN210793080U</v>
      </c>
      <c r="H257" s="1" t="str">
        <f t="shared" si="137"/>
        <v>2020-06-19</v>
      </c>
      <c r="I257" s="1" t="str">
        <f>"郑大刚"</f>
        <v>郑大刚</v>
      </c>
      <c r="J257" s="1" t="str">
        <f t="shared" si="122"/>
        <v>梦达驰汽车系统(天津)有限公司</v>
      </c>
    </row>
    <row r="258" spans="1:10">
      <c r="A258" s="1" t="str">
        <f t="shared" si="121"/>
        <v>梦达驰汽车系统（天津）有限公司</v>
      </c>
      <c r="B258" s="1" t="str">
        <f>"一种带有发泡密封条的落水槽"</f>
        <v>一种带有发泡密封条的落水槽</v>
      </c>
      <c r="C258" s="1" t="str">
        <f t="shared" si="134"/>
        <v>实用新型</v>
      </c>
      <c r="D258" s="1" t="str">
        <f t="shared" si="135"/>
        <v>授权</v>
      </c>
      <c r="E258" s="1" t="str">
        <f>"CN201921249108.9"</f>
        <v>CN201921249108.9</v>
      </c>
      <c r="F258" s="1" t="str">
        <f t="shared" si="136"/>
        <v>2019-08-02</v>
      </c>
      <c r="G258" s="1" t="str">
        <f>"CN210793050U"</f>
        <v>CN210793050U</v>
      </c>
      <c r="H258" s="1" t="str">
        <f t="shared" si="137"/>
        <v>2020-06-19</v>
      </c>
      <c r="I258" s="1" t="str">
        <f>"彭修元"</f>
        <v>彭修元</v>
      </c>
      <c r="J258" s="1" t="str">
        <f t="shared" si="122"/>
        <v>梦达驰汽车系统(天津)有限公司</v>
      </c>
    </row>
    <row r="259" spans="1:10">
      <c r="A259" s="1" t="str">
        <f t="shared" si="121"/>
        <v>梦达驰汽车系统（天津）有限公司</v>
      </c>
      <c r="B259" s="1" t="str">
        <f>"一种自带密封性能的卡扣"</f>
        <v>一种自带密封性能的卡扣</v>
      </c>
      <c r="C259" s="1" t="str">
        <f t="shared" si="134"/>
        <v>实用新型</v>
      </c>
      <c r="D259" s="1" t="str">
        <f t="shared" si="135"/>
        <v>授权</v>
      </c>
      <c r="E259" s="1" t="str">
        <f>"CN201921250949.1"</f>
        <v>CN201921250949.1</v>
      </c>
      <c r="F259" s="1" t="str">
        <f t="shared" si="136"/>
        <v>2019-08-02</v>
      </c>
      <c r="G259" s="1" t="str">
        <f>"CN210799641U"</f>
        <v>CN210799641U</v>
      </c>
      <c r="H259" s="1" t="str">
        <f t="shared" si="137"/>
        <v>2020-06-19</v>
      </c>
      <c r="I259" s="1" t="str">
        <f>"朱明华"</f>
        <v>朱明华</v>
      </c>
      <c r="J259" s="1" t="str">
        <f t="shared" si="122"/>
        <v>梦达驰汽车系统(天津)有限公司</v>
      </c>
    </row>
    <row r="260" spans="1:10">
      <c r="A260" s="1" t="str">
        <f t="shared" si="121"/>
        <v>梦达驰汽车系统（天津）有限公司</v>
      </c>
      <c r="B260" s="1" t="str">
        <f>"一种带电镀饰条的侧裙板"</f>
        <v>一种带电镀饰条的侧裙板</v>
      </c>
      <c r="C260" s="1" t="str">
        <f t="shared" si="134"/>
        <v>实用新型</v>
      </c>
      <c r="D260" s="1" t="str">
        <f t="shared" si="135"/>
        <v>授权</v>
      </c>
      <c r="E260" s="1" t="str">
        <f>"CN201921251320.9"</f>
        <v>CN201921251320.9</v>
      </c>
      <c r="F260" s="1" t="str">
        <f t="shared" si="136"/>
        <v>2019-08-02</v>
      </c>
      <c r="G260" s="1" t="str">
        <f>"CN210793377U"</f>
        <v>CN210793377U</v>
      </c>
      <c r="H260" s="1" t="str">
        <f t="shared" si="137"/>
        <v>2020-06-19</v>
      </c>
      <c r="I260" s="1" t="str">
        <f>"刘宇"</f>
        <v>刘宇</v>
      </c>
      <c r="J260" s="1" t="str">
        <f t="shared" si="122"/>
        <v>梦达驰汽车系统(天津)有限公司</v>
      </c>
    </row>
    <row r="261" spans="1:10">
      <c r="A261" s="1" t="str">
        <f t="shared" si="121"/>
        <v>梦达驰汽车系统（天津）有限公司</v>
      </c>
      <c r="B261" s="1" t="str">
        <f>"一种内装饰柱"</f>
        <v>一种内装饰柱</v>
      </c>
      <c r="C261" s="1" t="str">
        <f t="shared" si="134"/>
        <v>实用新型</v>
      </c>
      <c r="D261" s="1" t="str">
        <f t="shared" si="135"/>
        <v>授权</v>
      </c>
      <c r="E261" s="1" t="str">
        <f>"CN201822090640.2"</f>
        <v>CN201822090640.2</v>
      </c>
      <c r="F261" s="1" t="str">
        <f t="shared" ref="F261:F270" si="138">"2018-12-13"</f>
        <v>2018-12-13</v>
      </c>
      <c r="G261" s="1" t="str">
        <f>"CN210062876U"</f>
        <v>CN210062876U</v>
      </c>
      <c r="H261" s="1" t="str">
        <f>"2020-02-14"</f>
        <v>2020-02-14</v>
      </c>
      <c r="I261" s="1" t="str">
        <f>"陆文超"</f>
        <v>陆文超</v>
      </c>
      <c r="J261" s="1" t="str">
        <f t="shared" si="122"/>
        <v>梦达驰汽车系统(天津)有限公司</v>
      </c>
    </row>
    <row r="262" spans="1:10">
      <c r="A262" s="1" t="str">
        <f t="shared" si="121"/>
        <v>梦达驰汽车系统（天津）有限公司</v>
      </c>
      <c r="B262" s="1" t="str">
        <f>"一种一体注塑的卡扣代替卡扣件的落水槽"</f>
        <v>一种一体注塑的卡扣代替卡扣件的落水槽</v>
      </c>
      <c r="C262" s="1" t="str">
        <f t="shared" si="134"/>
        <v>实用新型</v>
      </c>
      <c r="D262" s="1" t="str">
        <f t="shared" si="135"/>
        <v>授权</v>
      </c>
      <c r="E262" s="1" t="str">
        <f>"CN201822090796.0"</f>
        <v>CN201822090796.0</v>
      </c>
      <c r="F262" s="1" t="str">
        <f t="shared" si="138"/>
        <v>2018-12-13</v>
      </c>
      <c r="G262" s="1" t="str">
        <f>"CN209852227U"</f>
        <v>CN209852227U</v>
      </c>
      <c r="H262" s="1" t="str">
        <f>"2019-12-27"</f>
        <v>2019-12-27</v>
      </c>
      <c r="I262" s="1" t="str">
        <f>"彭修元"</f>
        <v>彭修元</v>
      </c>
      <c r="J262" s="1" t="str">
        <f t="shared" si="122"/>
        <v>梦达驰汽车系统(天津)有限公司</v>
      </c>
    </row>
    <row r="263" spans="1:10">
      <c r="A263" s="1" t="str">
        <f t="shared" si="121"/>
        <v>梦达驰汽车系统（天津）有限公司</v>
      </c>
      <c r="B263" s="1" t="str">
        <f>"一种汽车主动进气格栅"</f>
        <v>一种汽车主动进气格栅</v>
      </c>
      <c r="C263" s="1" t="str">
        <f t="shared" si="134"/>
        <v>实用新型</v>
      </c>
      <c r="D263" s="1" t="str">
        <f t="shared" si="135"/>
        <v>授权</v>
      </c>
      <c r="E263" s="1" t="str">
        <f>"CN201822089773.8"</f>
        <v>CN201822089773.8</v>
      </c>
      <c r="F263" s="1" t="str">
        <f t="shared" si="138"/>
        <v>2018-12-13</v>
      </c>
      <c r="G263" s="1" t="str">
        <f>"CN209581129U"</f>
        <v>CN209581129U</v>
      </c>
      <c r="H263" s="1" t="str">
        <f t="shared" ref="H263:H268" si="139">"2019-11-05"</f>
        <v>2019-11-05</v>
      </c>
      <c r="I263" s="1" t="str">
        <f>"金苏生"</f>
        <v>金苏生</v>
      </c>
      <c r="J263" s="1" t="str">
        <f t="shared" si="122"/>
        <v>梦达驰汽车系统(天津)有限公司</v>
      </c>
    </row>
    <row r="264" spans="1:10">
      <c r="A264" s="1" t="str">
        <f t="shared" si="121"/>
        <v>梦达驰汽车系统（天津）有限公司</v>
      </c>
      <c r="B264" s="1" t="str">
        <f>"一种汽车立柱内饰件"</f>
        <v>一种汽车立柱内饰件</v>
      </c>
      <c r="C264" s="1" t="str">
        <f t="shared" si="134"/>
        <v>实用新型</v>
      </c>
      <c r="D264" s="1" t="str">
        <f t="shared" si="135"/>
        <v>授权</v>
      </c>
      <c r="E264" s="1" t="str">
        <f>"CN201822087648.3"</f>
        <v>CN201822087648.3</v>
      </c>
      <c r="F264" s="1" t="str">
        <f t="shared" si="138"/>
        <v>2018-12-13</v>
      </c>
      <c r="G264" s="1" t="str">
        <f>"CN209581362U"</f>
        <v>CN209581362U</v>
      </c>
      <c r="H264" s="1" t="str">
        <f t="shared" si="139"/>
        <v>2019-11-05</v>
      </c>
      <c r="I264" s="1" t="str">
        <f>"彭修元"</f>
        <v>彭修元</v>
      </c>
      <c r="J264" s="1" t="str">
        <f t="shared" si="122"/>
        <v>梦达驰汽车系统(天津)有限公司</v>
      </c>
    </row>
    <row r="265" spans="1:10">
      <c r="A265" s="1" t="str">
        <f t="shared" si="121"/>
        <v>梦达驰汽车系统（天津）有限公司</v>
      </c>
      <c r="B265" s="1" t="str">
        <f>"一种带有助剥结构的粘附型轮眉"</f>
        <v>一种带有助剥结构的粘附型轮眉</v>
      </c>
      <c r="C265" s="1" t="str">
        <f t="shared" si="134"/>
        <v>实用新型</v>
      </c>
      <c r="D265" s="1" t="str">
        <f t="shared" si="135"/>
        <v>授权</v>
      </c>
      <c r="E265" s="1" t="str">
        <f>"CN201822087647.9"</f>
        <v>CN201822087647.9</v>
      </c>
      <c r="F265" s="1" t="str">
        <f t="shared" si="138"/>
        <v>2018-12-13</v>
      </c>
      <c r="G265" s="1" t="str">
        <f>"CN209581367U"</f>
        <v>CN209581367U</v>
      </c>
      <c r="H265" s="1" t="str">
        <f t="shared" si="139"/>
        <v>2019-11-05</v>
      </c>
      <c r="I265" s="1" t="str">
        <f t="shared" ref="I265:I268" si="140">"朱明华"</f>
        <v>朱明华</v>
      </c>
      <c r="J265" s="1" t="str">
        <f t="shared" si="122"/>
        <v>梦达驰汽车系统(天津)有限公司</v>
      </c>
    </row>
    <row r="266" spans="1:10">
      <c r="A266" s="1" t="str">
        <f t="shared" si="121"/>
        <v>梦达驰汽车系统（天津）有限公司</v>
      </c>
      <c r="B266" s="1" t="str">
        <f>"一种通过互换盖板减少模具的前格栅"</f>
        <v>一种通过互换盖板减少模具的前格栅</v>
      </c>
      <c r="C266" s="1" t="str">
        <f t="shared" si="134"/>
        <v>实用新型</v>
      </c>
      <c r="D266" s="1" t="str">
        <f t="shared" si="135"/>
        <v>授权</v>
      </c>
      <c r="E266" s="1" t="str">
        <f>"CN201822091128.X"</f>
        <v>CN201822091128.X</v>
      </c>
      <c r="F266" s="1" t="str">
        <f t="shared" si="138"/>
        <v>2018-12-13</v>
      </c>
      <c r="G266" s="1" t="str">
        <f>"CN209581400U"</f>
        <v>CN209581400U</v>
      </c>
      <c r="H266" s="1" t="str">
        <f t="shared" si="139"/>
        <v>2019-11-05</v>
      </c>
      <c r="I266" s="1" t="str">
        <f t="shared" si="140"/>
        <v>朱明华</v>
      </c>
      <c r="J266" s="1" t="str">
        <f t="shared" si="122"/>
        <v>梦达驰汽车系统(天津)有限公司</v>
      </c>
    </row>
    <row r="267" spans="1:10">
      <c r="A267" s="1" t="str">
        <f t="shared" si="121"/>
        <v>梦达驰汽车系统（天津）有限公司</v>
      </c>
      <c r="B267" s="1" t="str">
        <f>"一种优化装配的塑料弹性结构"</f>
        <v>一种优化装配的塑料弹性结构</v>
      </c>
      <c r="C267" s="1" t="str">
        <f t="shared" si="134"/>
        <v>实用新型</v>
      </c>
      <c r="D267" s="1" t="str">
        <f t="shared" si="135"/>
        <v>授权</v>
      </c>
      <c r="E267" s="1" t="str">
        <f>"CN201822090798.X"</f>
        <v>CN201822090798.X</v>
      </c>
      <c r="F267" s="1" t="str">
        <f t="shared" si="138"/>
        <v>2018-12-13</v>
      </c>
      <c r="G267" s="1" t="str">
        <f>"CN209581399U"</f>
        <v>CN209581399U</v>
      </c>
      <c r="H267" s="1" t="str">
        <f t="shared" si="139"/>
        <v>2019-11-05</v>
      </c>
      <c r="I267" s="1" t="str">
        <f>"赵龙"</f>
        <v>赵龙</v>
      </c>
      <c r="J267" s="1" t="str">
        <f t="shared" si="122"/>
        <v>梦达驰汽车系统(天津)有限公司</v>
      </c>
    </row>
    <row r="268" spans="1:10">
      <c r="A268" s="1" t="str">
        <f t="shared" si="121"/>
        <v>梦达驰汽车系统（天津）有限公司</v>
      </c>
      <c r="B268" s="1" t="str">
        <f>"一种双色注塑代替密封条的落水槽"</f>
        <v>一种双色注塑代替密封条的落水槽</v>
      </c>
      <c r="C268" s="1" t="str">
        <f t="shared" si="134"/>
        <v>实用新型</v>
      </c>
      <c r="D268" s="1" t="str">
        <f t="shared" si="135"/>
        <v>授权</v>
      </c>
      <c r="E268" s="1" t="str">
        <f>"CN201822087650.0"</f>
        <v>CN201822087650.0</v>
      </c>
      <c r="F268" s="1" t="str">
        <f t="shared" si="138"/>
        <v>2018-12-13</v>
      </c>
      <c r="G268" s="1" t="str">
        <f>"CN209581369U"</f>
        <v>CN209581369U</v>
      </c>
      <c r="H268" s="1" t="str">
        <f t="shared" si="139"/>
        <v>2019-11-05</v>
      </c>
      <c r="I268" s="1" t="str">
        <f t="shared" si="140"/>
        <v>朱明华</v>
      </c>
      <c r="J268" s="1" t="str">
        <f t="shared" si="122"/>
        <v>梦达驰汽车系统(天津)有限公司</v>
      </c>
    </row>
    <row r="269" spans="1:10">
      <c r="A269" s="1" t="str">
        <f t="shared" si="121"/>
        <v>梦达驰汽车系统（天津）有限公司</v>
      </c>
      <c r="B269" s="1" t="str">
        <f>"一种通过夹具代替车身的实验设备"</f>
        <v>一种通过夹具代替车身的实验设备</v>
      </c>
      <c r="C269" s="1" t="str">
        <f t="shared" si="134"/>
        <v>实用新型</v>
      </c>
      <c r="D269" s="1" t="str">
        <f t="shared" si="135"/>
        <v>授权</v>
      </c>
      <c r="E269" s="1" t="str">
        <f>"CN201822091127.5"</f>
        <v>CN201822091127.5</v>
      </c>
      <c r="F269" s="1" t="str">
        <f t="shared" si="138"/>
        <v>2018-12-13</v>
      </c>
      <c r="G269" s="1" t="str">
        <f>"CN209570445U"</f>
        <v>CN209570445U</v>
      </c>
      <c r="H269" s="1" t="str">
        <f>"2019-11-01"</f>
        <v>2019-11-01</v>
      </c>
      <c r="I269" s="1" t="str">
        <f>"赵龙"</f>
        <v>赵龙</v>
      </c>
      <c r="J269" s="1" t="str">
        <f t="shared" si="122"/>
        <v>梦达驰汽车系统(天津)有限公司</v>
      </c>
    </row>
    <row r="270" spans="1:10">
      <c r="A270" s="1" t="str">
        <f t="shared" si="121"/>
        <v>梦达驰汽车系统（天津）有限公司</v>
      </c>
      <c r="B270" s="1" t="str">
        <f>"一种喷漆件集成一体的前格栅"</f>
        <v>一种喷漆件集成一体的前格栅</v>
      </c>
      <c r="C270" s="1" t="str">
        <f t="shared" si="134"/>
        <v>实用新型</v>
      </c>
      <c r="D270" s="1" t="str">
        <f t="shared" si="135"/>
        <v>授权</v>
      </c>
      <c r="E270" s="1" t="str">
        <f>"CN201822091196.6"</f>
        <v>CN201822091196.6</v>
      </c>
      <c r="F270" s="1" t="str">
        <f t="shared" si="138"/>
        <v>2018-12-13</v>
      </c>
      <c r="G270" s="1" t="str">
        <f>"CN209566880U"</f>
        <v>CN209566880U</v>
      </c>
      <c r="H270" s="1" t="str">
        <f>"2019-11-01"</f>
        <v>2019-11-01</v>
      </c>
      <c r="I270" s="1" t="str">
        <f>"陆文超"</f>
        <v>陆文超</v>
      </c>
      <c r="J270" s="1" t="str">
        <f t="shared" si="122"/>
        <v>梦达驰汽车系统(天津)有限公司</v>
      </c>
    </row>
    <row r="271" spans="1:10">
      <c r="A271" s="1" t="str">
        <f t="shared" si="121"/>
        <v>梦达驰汽车系统（天津）有限公司</v>
      </c>
      <c r="B271" s="1" t="str">
        <f>"一种油雾分离精滤装置"</f>
        <v>一种油雾分离精滤装置</v>
      </c>
      <c r="C271" s="1" t="str">
        <f t="shared" si="134"/>
        <v>实用新型</v>
      </c>
      <c r="D271" s="1" t="str">
        <f>"未缴年费专利权终止"</f>
        <v>未缴年费专利权终止</v>
      </c>
      <c r="E271" s="1" t="str">
        <f>"CN201820535374.7"</f>
        <v>CN201820535374.7</v>
      </c>
      <c r="F271" s="1" t="str">
        <f>"2018-04-11"</f>
        <v>2018-04-11</v>
      </c>
      <c r="G271" s="1" t="str">
        <f>"CN208718755U"</f>
        <v>CN208718755U</v>
      </c>
      <c r="H271" s="1" t="str">
        <f>"2019-04-09"</f>
        <v>2019-04-09</v>
      </c>
      <c r="I271" s="1" t="s">
        <v>4809</v>
      </c>
      <c r="J271" s="1" t="str">
        <f t="shared" si="122"/>
        <v>梦达驰汽车系统(天津)有限公司</v>
      </c>
    </row>
    <row r="272" spans="1:10">
      <c r="A272" s="1" t="str">
        <f t="shared" ref="A272:A335" si="141">"天津泓德汽车玻璃有限公司"</f>
        <v>天津泓德汽车玻璃有限公司</v>
      </c>
      <c r="B272" s="1" t="str">
        <f>"一种热熔工装"</f>
        <v>一种热熔工装</v>
      </c>
      <c r="C272" s="1" t="str">
        <f t="shared" si="134"/>
        <v>实用新型</v>
      </c>
      <c r="D272" s="1" t="str">
        <f t="shared" ref="D272:D287" si="142">"授权"</f>
        <v>授权</v>
      </c>
      <c r="E272" s="1" t="str">
        <f>"CN202422454015.7"</f>
        <v>CN202422454015.7</v>
      </c>
      <c r="F272" s="1" t="str">
        <f>"2024-10-11"</f>
        <v>2024-10-11</v>
      </c>
      <c r="G272" s="1" t="str">
        <f>"CN223386054U"</f>
        <v>CN223386054U</v>
      </c>
      <c r="H272" s="1" t="str">
        <f t="shared" ref="H272:H275" si="143">"2025-09-26"</f>
        <v>2025-09-26</v>
      </c>
      <c r="I272" s="1" t="s">
        <v>4810</v>
      </c>
      <c r="J272" s="1" t="str">
        <f t="shared" ref="J272:J335" si="144">"天津泓德汽车玻璃有限公司"</f>
        <v>天津泓德汽车玻璃有限公司</v>
      </c>
    </row>
    <row r="273" spans="1:10">
      <c r="A273" s="1" t="str">
        <f t="shared" si="141"/>
        <v>天津泓德汽车玻璃有限公司</v>
      </c>
      <c r="B273" s="1" t="str">
        <f>"一种玻璃清洁设备"</f>
        <v>一种玻璃清洁设备</v>
      </c>
      <c r="C273" s="1" t="str">
        <f t="shared" si="134"/>
        <v>实用新型</v>
      </c>
      <c r="D273" s="1" t="str">
        <f t="shared" si="142"/>
        <v>授权</v>
      </c>
      <c r="E273" s="1" t="str">
        <f>"CN202422440000.5"</f>
        <v>CN202422440000.5</v>
      </c>
      <c r="F273" s="1" t="str">
        <f>"2024-10-10"</f>
        <v>2024-10-10</v>
      </c>
      <c r="G273" s="1" t="str">
        <f>"CN223382236U"</f>
        <v>CN223382236U</v>
      </c>
      <c r="H273" s="1" t="str">
        <f t="shared" si="143"/>
        <v>2025-09-26</v>
      </c>
      <c r="I273" s="1" t="str">
        <f>"吴小磊"</f>
        <v>吴小磊</v>
      </c>
      <c r="J273" s="1" t="str">
        <f t="shared" si="144"/>
        <v>天津泓德汽车玻璃有限公司</v>
      </c>
    </row>
    <row r="274" spans="1:10">
      <c r="A274" s="1" t="str">
        <f t="shared" si="141"/>
        <v>天津泓德汽车玻璃有限公司</v>
      </c>
      <c r="B274" s="1" t="str">
        <f>"一种辊压预成型工装"</f>
        <v>一种辊压预成型工装</v>
      </c>
      <c r="C274" s="1" t="str">
        <f t="shared" si="134"/>
        <v>实用新型</v>
      </c>
      <c r="D274" s="1" t="str">
        <f t="shared" si="142"/>
        <v>授权</v>
      </c>
      <c r="E274" s="1" t="str">
        <f>"CN202422455919.1"</f>
        <v>CN202422455919.1</v>
      </c>
      <c r="F274" s="1" t="str">
        <f>"2024-10-10"</f>
        <v>2024-10-10</v>
      </c>
      <c r="G274" s="1" t="str">
        <f>"CN223386034U"</f>
        <v>CN223386034U</v>
      </c>
      <c r="H274" s="1" t="str">
        <f t="shared" si="143"/>
        <v>2025-09-26</v>
      </c>
      <c r="I274" s="1" t="str">
        <f>"马雄飞"</f>
        <v>马雄飞</v>
      </c>
      <c r="J274" s="1" t="str">
        <f t="shared" si="144"/>
        <v>天津泓德汽车玻璃有限公司</v>
      </c>
    </row>
    <row r="275" spans="1:10">
      <c r="A275" s="1" t="str">
        <f t="shared" si="141"/>
        <v>天津泓德汽车玻璃有限公司</v>
      </c>
      <c r="B275" s="1" t="str">
        <f>"一种玻璃附件性能辅助验证工装"</f>
        <v>一种玻璃附件性能辅助验证工装</v>
      </c>
      <c r="C275" s="1" t="str">
        <f t="shared" si="134"/>
        <v>实用新型</v>
      </c>
      <c r="D275" s="1" t="str">
        <f t="shared" si="142"/>
        <v>授权</v>
      </c>
      <c r="E275" s="1" t="str">
        <f>"CN202422370521.8"</f>
        <v>CN202422370521.8</v>
      </c>
      <c r="F275" s="1" t="str">
        <f>"2024-09-27"</f>
        <v>2024-09-27</v>
      </c>
      <c r="G275" s="1" t="str">
        <f>"CN223389555U"</f>
        <v>CN223389555U</v>
      </c>
      <c r="H275" s="1" t="str">
        <f t="shared" si="143"/>
        <v>2025-09-26</v>
      </c>
      <c r="I275" s="1" t="s">
        <v>4811</v>
      </c>
      <c r="J275" s="1" t="str">
        <f t="shared" si="144"/>
        <v>天津泓德汽车玻璃有限公司</v>
      </c>
    </row>
    <row r="276" spans="1:10">
      <c r="A276" s="1" t="str">
        <f t="shared" si="141"/>
        <v>天津泓德汽车玻璃有限公司</v>
      </c>
      <c r="B276" s="1" t="str">
        <f>"一种门玻检测工装及门玻检测自动控制系统"</f>
        <v>一种门玻检测工装及门玻检测自动控制系统</v>
      </c>
      <c r="C276" s="1" t="str">
        <f t="shared" si="134"/>
        <v>实用新型</v>
      </c>
      <c r="D276" s="1" t="str">
        <f t="shared" si="142"/>
        <v>授权</v>
      </c>
      <c r="E276" s="1" t="str">
        <f>"CN202422382847.2"</f>
        <v>CN202422382847.2</v>
      </c>
      <c r="F276" s="1" t="str">
        <f>"2024-09-29"</f>
        <v>2024-09-29</v>
      </c>
      <c r="G276" s="1" t="str">
        <f>"CN223332359U"</f>
        <v>CN223332359U</v>
      </c>
      <c r="H276" s="1" t="str">
        <f>"2025-09-12"</f>
        <v>2025-09-12</v>
      </c>
      <c r="I276" s="1" t="s">
        <v>4812</v>
      </c>
      <c r="J276" s="1" t="str">
        <f t="shared" si="144"/>
        <v>天津泓德汽车玻璃有限公司</v>
      </c>
    </row>
    <row r="277" spans="1:10">
      <c r="A277" s="1" t="str">
        <f t="shared" si="141"/>
        <v>天津泓德汽车玻璃有限公司</v>
      </c>
      <c r="B277" s="1" t="str">
        <f>"一种钉柱抓取结构、通用型钉柱自动安装装置及安装方法"</f>
        <v>一种钉柱抓取结构、通用型钉柱自动安装装置及安装方法</v>
      </c>
      <c r="C277" s="1" t="str">
        <f>"发明授权"</f>
        <v>发明授权</v>
      </c>
      <c r="D277" s="1" t="str">
        <f t="shared" si="142"/>
        <v>授权</v>
      </c>
      <c r="E277" s="1" t="str">
        <f>"CN202110179952.4"</f>
        <v>CN202110179952.4</v>
      </c>
      <c r="F277" s="1" t="str">
        <f>"2021-02-09"</f>
        <v>2021-02-09</v>
      </c>
      <c r="G277" s="1" t="str">
        <f>"CN114905238B"</f>
        <v>CN114905238B</v>
      </c>
      <c r="H277" s="1" t="str">
        <f>"2025-09-09"</f>
        <v>2025-09-09</v>
      </c>
      <c r="I277" s="1" t="s">
        <v>4813</v>
      </c>
      <c r="J277" s="1" t="str">
        <f t="shared" si="144"/>
        <v>天津泓德汽车玻璃有限公司</v>
      </c>
    </row>
    <row r="278" spans="1:10">
      <c r="A278" s="1" t="str">
        <f t="shared" si="141"/>
        <v>天津泓德汽车玻璃有限公司</v>
      </c>
      <c r="B278" s="1" t="str">
        <f>"一种包装箱"</f>
        <v>一种包装箱</v>
      </c>
      <c r="C278" s="1" t="str">
        <f t="shared" ref="C278:C282" si="145">"实用新型"</f>
        <v>实用新型</v>
      </c>
      <c r="D278" s="1" t="str">
        <f t="shared" si="142"/>
        <v>授权</v>
      </c>
      <c r="E278" s="1" t="str">
        <f>"CN202422379151.4"</f>
        <v>CN202422379151.4</v>
      </c>
      <c r="F278" s="1" t="str">
        <f>"2024-09-29"</f>
        <v>2024-09-29</v>
      </c>
      <c r="G278" s="1" t="str">
        <f>"CN223279612U"</f>
        <v>CN223279612U</v>
      </c>
      <c r="H278" s="1" t="str">
        <f>"2025-08-29"</f>
        <v>2025-08-29</v>
      </c>
      <c r="I278" s="1" t="str">
        <f>"陈宁"</f>
        <v>陈宁</v>
      </c>
      <c r="J278" s="1" t="str">
        <f t="shared" si="144"/>
        <v>天津泓德汽车玻璃有限公司</v>
      </c>
    </row>
    <row r="279" spans="1:10">
      <c r="A279" s="1" t="str">
        <f t="shared" si="141"/>
        <v>天津泓德汽车玻璃有限公司</v>
      </c>
      <c r="B279" s="1" t="str">
        <f>"一种包装箱"</f>
        <v>一种包装箱</v>
      </c>
      <c r="C279" s="1" t="str">
        <f t="shared" si="145"/>
        <v>实用新型</v>
      </c>
      <c r="D279" s="1" t="str">
        <f t="shared" si="142"/>
        <v>授权</v>
      </c>
      <c r="E279" s="1" t="str">
        <f>"CN202422311295.6"</f>
        <v>CN202422311295.6</v>
      </c>
      <c r="F279" s="1" t="str">
        <f>"2024-09-20"</f>
        <v>2024-09-20</v>
      </c>
      <c r="G279" s="1" t="str">
        <f>"CN223149117U"</f>
        <v>CN223149117U</v>
      </c>
      <c r="H279" s="1" t="str">
        <f t="shared" ref="H279:H281" si="146">"2025-07-25"</f>
        <v>2025-07-25</v>
      </c>
      <c r="I279" s="1" t="str">
        <f>"张同雯"</f>
        <v>张同雯</v>
      </c>
      <c r="J279" s="1" t="str">
        <f t="shared" si="144"/>
        <v>天津泓德汽车玻璃有限公司</v>
      </c>
    </row>
    <row r="280" spans="1:10">
      <c r="A280" s="1" t="str">
        <f t="shared" si="141"/>
        <v>天津泓德汽车玻璃有限公司</v>
      </c>
      <c r="B280" s="1" t="str">
        <f>"一种龙门气缸下置的安装工装"</f>
        <v>一种龙门气缸下置的安装工装</v>
      </c>
      <c r="C280" s="1" t="str">
        <f t="shared" si="145"/>
        <v>实用新型</v>
      </c>
      <c r="D280" s="1" t="str">
        <f t="shared" si="142"/>
        <v>授权</v>
      </c>
      <c r="E280" s="1" t="str">
        <f>"CN202421989215.6"</f>
        <v>CN202421989215.6</v>
      </c>
      <c r="F280" s="1" t="str">
        <f>"2024-08-16"</f>
        <v>2024-08-16</v>
      </c>
      <c r="G280" s="1" t="str">
        <f>"CN223146504U"</f>
        <v>CN223146504U</v>
      </c>
      <c r="H280" s="1" t="str">
        <f t="shared" si="146"/>
        <v>2025-07-25</v>
      </c>
      <c r="I280" s="1" t="s">
        <v>4814</v>
      </c>
      <c r="J280" s="1" t="str">
        <f t="shared" si="144"/>
        <v>天津泓德汽车玻璃有限公司</v>
      </c>
    </row>
    <row r="281" spans="1:10">
      <c r="A281" s="1" t="str">
        <f t="shared" si="141"/>
        <v>天津泓德汽车玻璃有限公司</v>
      </c>
      <c r="B281" s="1" t="str">
        <f>"一种分隔支架及集装架"</f>
        <v>一种分隔支架及集装架</v>
      </c>
      <c r="C281" s="1" t="str">
        <f t="shared" si="145"/>
        <v>实用新型</v>
      </c>
      <c r="D281" s="1" t="str">
        <f t="shared" si="142"/>
        <v>授权</v>
      </c>
      <c r="E281" s="1" t="str">
        <f>"CN202422052424.4"</f>
        <v>CN202422052424.4</v>
      </c>
      <c r="F281" s="1" t="str">
        <f>"2024-08-23"</f>
        <v>2024-08-23</v>
      </c>
      <c r="G281" s="1" t="str">
        <f>"CN223149100U"</f>
        <v>CN223149100U</v>
      </c>
      <c r="H281" s="1" t="str">
        <f t="shared" si="146"/>
        <v>2025-07-25</v>
      </c>
      <c r="I281" s="1" t="s">
        <v>4815</v>
      </c>
      <c r="J281" s="1" t="str">
        <f t="shared" si="144"/>
        <v>天津泓德汽车玻璃有限公司</v>
      </c>
    </row>
    <row r="282" spans="1:10">
      <c r="A282" s="1" t="str">
        <f t="shared" si="141"/>
        <v>天津泓德汽车玻璃有限公司</v>
      </c>
      <c r="B282" s="1" t="str">
        <f>"一种附件安装快换工装"</f>
        <v>一种附件安装快换工装</v>
      </c>
      <c r="C282" s="1" t="str">
        <f t="shared" si="145"/>
        <v>实用新型</v>
      </c>
      <c r="D282" s="1" t="str">
        <f t="shared" si="142"/>
        <v>授权</v>
      </c>
      <c r="E282" s="1" t="str">
        <f>"CN202421865972.2"</f>
        <v>CN202421865972.2</v>
      </c>
      <c r="F282" s="1" t="str">
        <f>"2024-08-02"</f>
        <v>2024-08-02</v>
      </c>
      <c r="G282" s="1" t="str">
        <f>"CN223060876U"</f>
        <v>CN223060876U</v>
      </c>
      <c r="H282" s="1" t="str">
        <f>"2025-07-04"</f>
        <v>2025-07-04</v>
      </c>
      <c r="I282" s="1" t="s">
        <v>4816</v>
      </c>
      <c r="J282" s="1" t="str">
        <f t="shared" si="144"/>
        <v>天津泓德汽车玻璃有限公司</v>
      </c>
    </row>
    <row r="283" spans="1:10">
      <c r="A283" s="1" t="str">
        <f t="shared" si="141"/>
        <v>天津泓德汽车玻璃有限公司</v>
      </c>
      <c r="B283" s="1" t="str">
        <f>"一种柔性安装结构、通用型钉柱自动安装装置及安装方法"</f>
        <v>一种柔性安装结构、通用型钉柱自动安装装置及安装方法</v>
      </c>
      <c r="C283" s="1" t="str">
        <f t="shared" ref="C283:C287" si="147">"发明授权"</f>
        <v>发明授权</v>
      </c>
      <c r="D283" s="1" t="str">
        <f t="shared" si="142"/>
        <v>授权</v>
      </c>
      <c r="E283" s="1" t="str">
        <f>"CN202110179954.3"</f>
        <v>CN202110179954.3</v>
      </c>
      <c r="F283" s="1" t="str">
        <f>"2021-02-09"</f>
        <v>2021-02-09</v>
      </c>
      <c r="G283" s="1" t="str">
        <f>"CN114905239B"</f>
        <v>CN114905239B</v>
      </c>
      <c r="H283" s="1" t="str">
        <f>"2025-07-01"</f>
        <v>2025-07-01</v>
      </c>
      <c r="I283" s="1" t="s">
        <v>4813</v>
      </c>
      <c r="J283" s="1" t="str">
        <f t="shared" si="144"/>
        <v>天津泓德汽车玻璃有限公司</v>
      </c>
    </row>
    <row r="284" spans="1:10">
      <c r="A284" s="1" t="str">
        <f t="shared" si="141"/>
        <v>天津泓德汽车玻璃有限公司</v>
      </c>
      <c r="B284" s="1" t="str">
        <f>"一种玻璃包装组件"</f>
        <v>一种玻璃包装组件</v>
      </c>
      <c r="C284" s="1" t="str">
        <f>"实用新型"</f>
        <v>实用新型</v>
      </c>
      <c r="D284" s="1" t="str">
        <f t="shared" si="142"/>
        <v>授权</v>
      </c>
      <c r="E284" s="1" t="str">
        <f>"CN202421913327.3"</f>
        <v>CN202421913327.3</v>
      </c>
      <c r="F284" s="1" t="str">
        <f>"2024-08-06"</f>
        <v>2024-08-06</v>
      </c>
      <c r="G284" s="1" t="str">
        <f>"CN223031649U"</f>
        <v>CN223031649U</v>
      </c>
      <c r="H284" s="1" t="str">
        <f>"2025-06-27"</f>
        <v>2025-06-27</v>
      </c>
      <c r="I284" s="1" t="s">
        <v>4817</v>
      </c>
      <c r="J284" s="1" t="str">
        <f t="shared" si="144"/>
        <v>天津泓德汽车玻璃有限公司</v>
      </c>
    </row>
    <row r="285" spans="1:10">
      <c r="A285" s="1" t="str">
        <f t="shared" si="141"/>
        <v>天津泓德汽车玻璃有限公司</v>
      </c>
      <c r="B285" s="1" t="str">
        <f>"一种卡条自动安装装置及其安装方法"</f>
        <v>一种卡条自动安装装置及其安装方法</v>
      </c>
      <c r="C285" s="1" t="str">
        <f t="shared" si="147"/>
        <v>发明授权</v>
      </c>
      <c r="D285" s="1" t="str">
        <f t="shared" si="142"/>
        <v>授权</v>
      </c>
      <c r="E285" s="1" t="str">
        <f>"CN202010479057.X"</f>
        <v>CN202010479057.X</v>
      </c>
      <c r="F285" s="1" t="str">
        <f>"2020-05-29"</f>
        <v>2020-05-29</v>
      </c>
      <c r="G285" s="1" t="str">
        <f>"CN113732657B"</f>
        <v>CN113732657B</v>
      </c>
      <c r="H285" s="1" t="str">
        <f>"2025-05-16"</f>
        <v>2025-05-16</v>
      </c>
      <c r="I285" s="1" t="s">
        <v>4818</v>
      </c>
      <c r="J285" s="1" t="str">
        <f t="shared" si="144"/>
        <v>天津泓德汽车玻璃有限公司</v>
      </c>
    </row>
    <row r="286" spans="1:10">
      <c r="A286" s="1" t="str">
        <f t="shared" si="141"/>
        <v>天津泓德汽车玻璃有限公司</v>
      </c>
      <c r="B286" s="1" t="str">
        <f>"一种通用型钉柱自动安装装置及其安装方法"</f>
        <v>一种通用型钉柱自动安装装置及其安装方法</v>
      </c>
      <c r="C286" s="1" t="str">
        <f t="shared" si="147"/>
        <v>发明授权</v>
      </c>
      <c r="D286" s="1" t="str">
        <f t="shared" si="142"/>
        <v>授权</v>
      </c>
      <c r="E286" s="1" t="str">
        <f>"CN202110177775.6"</f>
        <v>CN202110177775.6</v>
      </c>
      <c r="F286" s="1" t="str">
        <f>"2021-02-09"</f>
        <v>2021-02-09</v>
      </c>
      <c r="G286" s="1" t="str">
        <f>"CN114905237B"</f>
        <v>CN114905237B</v>
      </c>
      <c r="H286" s="1" t="str">
        <f>"2025-03-04"</f>
        <v>2025-03-04</v>
      </c>
      <c r="I286" s="1" t="s">
        <v>4813</v>
      </c>
      <c r="J286" s="1" t="str">
        <f t="shared" si="144"/>
        <v>天津泓德汽车玻璃有限公司</v>
      </c>
    </row>
    <row r="287" spans="1:10">
      <c r="A287" s="1" t="str">
        <f t="shared" si="141"/>
        <v>天津泓德汽车玻璃有限公司</v>
      </c>
      <c r="B287" s="1" t="str">
        <f>"一种用于钉柱安装的拔摸装置及其钉柱安装方法"</f>
        <v>一种用于钉柱安装的拔摸装置及其钉柱安装方法</v>
      </c>
      <c r="C287" s="1" t="str">
        <f t="shared" si="147"/>
        <v>发明授权</v>
      </c>
      <c r="D287" s="1" t="str">
        <f t="shared" si="142"/>
        <v>授权</v>
      </c>
      <c r="E287" s="1" t="str">
        <f>"CN202110673750.5"</f>
        <v>CN202110673750.5</v>
      </c>
      <c r="F287" s="1" t="str">
        <f>"2021-06-17"</f>
        <v>2021-06-17</v>
      </c>
      <c r="G287" s="1" t="str">
        <f>"CN115488617B"</f>
        <v>CN115488617B</v>
      </c>
      <c r="H287" s="1" t="str">
        <f>"2024-12-20"</f>
        <v>2024-12-20</v>
      </c>
      <c r="I287" s="1" t="s">
        <v>4819</v>
      </c>
      <c r="J287" s="1" t="str">
        <f t="shared" si="144"/>
        <v>天津泓德汽车玻璃有限公司</v>
      </c>
    </row>
    <row r="288" spans="1:10">
      <c r="A288" s="1" t="str">
        <f t="shared" si="141"/>
        <v>天津泓德汽车玻璃有限公司</v>
      </c>
      <c r="B288" s="1" t="str">
        <f>"一种玻璃支撑结构及玻璃集装架"</f>
        <v>一种玻璃支撑结构及玻璃集装架</v>
      </c>
      <c r="C288" s="1" t="str">
        <f>"发明公布"</f>
        <v>发明公布</v>
      </c>
      <c r="D288" s="1" t="str">
        <f>"实质审查"</f>
        <v>实质审查</v>
      </c>
      <c r="E288" s="1" t="str">
        <f>"CN202411218156.7"</f>
        <v>CN202411218156.7</v>
      </c>
      <c r="F288" s="1" t="str">
        <f>"2024-09-02"</f>
        <v>2024-09-02</v>
      </c>
      <c r="G288" s="1" t="str">
        <f>"CN119117678A"</f>
        <v>CN119117678A</v>
      </c>
      <c r="H288" s="1" t="str">
        <f>"2024-12-13"</f>
        <v>2024-12-13</v>
      </c>
      <c r="I288" s="1" t="s">
        <v>4820</v>
      </c>
      <c r="J288" s="1" t="str">
        <f t="shared" si="144"/>
        <v>天津泓德汽车玻璃有限公司</v>
      </c>
    </row>
    <row r="289" spans="1:10">
      <c r="A289" s="1" t="str">
        <f t="shared" si="141"/>
        <v>天津泓德汽车玻璃有限公司</v>
      </c>
      <c r="B289" s="1" t="str">
        <f>"一种滚压工装"</f>
        <v>一种滚压工装</v>
      </c>
      <c r="C289" s="1" t="str">
        <f t="shared" ref="C289:C303" si="148">"实用新型"</f>
        <v>实用新型</v>
      </c>
      <c r="D289" s="1" t="str">
        <f t="shared" ref="D289:D313" si="149">"授权"</f>
        <v>授权</v>
      </c>
      <c r="E289" s="1" t="str">
        <f>"CN202420008403.X"</f>
        <v>CN202420008403.X</v>
      </c>
      <c r="F289" s="1" t="str">
        <f>"2024-01-02"</f>
        <v>2024-01-02</v>
      </c>
      <c r="G289" s="1" t="str">
        <f>"CN221921594U"</f>
        <v>CN221921594U</v>
      </c>
      <c r="H289" s="1" t="str">
        <f>"2024-10-29"</f>
        <v>2024-10-29</v>
      </c>
      <c r="I289" s="1" t="s">
        <v>4821</v>
      </c>
      <c r="J289" s="1" t="str">
        <f t="shared" si="144"/>
        <v>天津泓德汽车玻璃有限公司</v>
      </c>
    </row>
    <row r="290" spans="1:10">
      <c r="A290" s="1" t="str">
        <f t="shared" si="141"/>
        <v>天津泓德汽车玻璃有限公司</v>
      </c>
      <c r="B290" s="1" t="str">
        <f>"一种金属钉抓取装置"</f>
        <v>一种金属钉抓取装置</v>
      </c>
      <c r="C290" s="1" t="str">
        <f t="shared" si="148"/>
        <v>实用新型</v>
      </c>
      <c r="D290" s="1" t="str">
        <f t="shared" si="149"/>
        <v>授权</v>
      </c>
      <c r="E290" s="1" t="str">
        <f>"CN202323245270.2"</f>
        <v>CN202323245270.2</v>
      </c>
      <c r="F290" s="1" t="str">
        <f>"2023-11-30"</f>
        <v>2023-11-30</v>
      </c>
      <c r="G290" s="1" t="str">
        <f>"CN221774504U"</f>
        <v>CN221774504U</v>
      </c>
      <c r="H290" s="1" t="str">
        <f>"2024-09-27"</f>
        <v>2024-09-27</v>
      </c>
      <c r="I290" s="1" t="s">
        <v>4822</v>
      </c>
      <c r="J290" s="1" t="str">
        <f t="shared" si="144"/>
        <v>天津泓德汽车玻璃有限公司</v>
      </c>
    </row>
    <row r="291" spans="1:10">
      <c r="A291" s="1" t="str">
        <f t="shared" si="141"/>
        <v>天津泓德汽车玻璃有限公司</v>
      </c>
      <c r="B291" s="1" t="str">
        <f>"一种自动粘贴玻璃条码标签及接线端子胶带的设备"</f>
        <v>一种自动粘贴玻璃条码标签及接线端子胶带的设备</v>
      </c>
      <c r="C291" s="1" t="str">
        <f>"发明授权"</f>
        <v>发明授权</v>
      </c>
      <c r="D291" s="1" t="str">
        <f t="shared" si="149"/>
        <v>授权</v>
      </c>
      <c r="E291" s="1" t="str">
        <f>"CN201911305137.7"</f>
        <v>CN201911305137.7</v>
      </c>
      <c r="F291" s="1" t="str">
        <f>"2019-12-17"</f>
        <v>2019-12-17</v>
      </c>
      <c r="G291" s="1" t="str">
        <f>"CN110979866B"</f>
        <v>CN110979866B</v>
      </c>
      <c r="H291" s="1" t="str">
        <f>"2024-05-03"</f>
        <v>2024-05-03</v>
      </c>
      <c r="I291" s="1" t="s">
        <v>4823</v>
      </c>
      <c r="J291" s="1" t="str">
        <f t="shared" si="144"/>
        <v>天津泓德汽车玻璃有限公司</v>
      </c>
    </row>
    <row r="292" spans="1:10">
      <c r="A292" s="1" t="str">
        <f t="shared" si="141"/>
        <v>天津泓德汽车玻璃有限公司</v>
      </c>
      <c r="B292" s="1" t="str">
        <f>"通用型汽车玻璃塑料托架安装装置"</f>
        <v>通用型汽车玻璃塑料托架安装装置</v>
      </c>
      <c r="C292" s="1" t="str">
        <f>"发明授权"</f>
        <v>发明授权</v>
      </c>
      <c r="D292" s="1" t="str">
        <f t="shared" si="149"/>
        <v>授权</v>
      </c>
      <c r="E292" s="1" t="str">
        <f>"CN201811651273.7"</f>
        <v>CN201811651273.7</v>
      </c>
      <c r="F292" s="1" t="str">
        <f>"2018-12-31"</f>
        <v>2018-12-31</v>
      </c>
      <c r="G292" s="1" t="str">
        <f>"CN109822925B"</f>
        <v>CN109822925B</v>
      </c>
      <c r="H292" s="1" t="str">
        <f>"2023-06-06"</f>
        <v>2023-06-06</v>
      </c>
      <c r="I292" s="1" t="s">
        <v>4824</v>
      </c>
      <c r="J292" s="1" t="str">
        <f t="shared" si="144"/>
        <v>天津泓德汽车玻璃有限公司</v>
      </c>
    </row>
    <row r="293" spans="1:10">
      <c r="A293" s="1" t="str">
        <f t="shared" si="141"/>
        <v>天津泓德汽车玻璃有限公司</v>
      </c>
      <c r="B293" s="1" t="str">
        <f>"一种钉柱抓取结构和通用型钉柱自动安装装置"</f>
        <v>一种钉柱抓取结构和通用型钉柱自动安装装置</v>
      </c>
      <c r="C293" s="1" t="str">
        <f t="shared" si="148"/>
        <v>实用新型</v>
      </c>
      <c r="D293" s="1" t="str">
        <f t="shared" si="149"/>
        <v>授权</v>
      </c>
      <c r="E293" s="1" t="str">
        <f>"CN202120363162.7"</f>
        <v>CN202120363162.7</v>
      </c>
      <c r="F293" s="1" t="str">
        <f t="shared" ref="F293:F295" si="150">"2021-02-09"</f>
        <v>2021-02-09</v>
      </c>
      <c r="G293" s="1" t="str">
        <f>"CN218856065U"</f>
        <v>CN218856065U</v>
      </c>
      <c r="H293" s="1" t="str">
        <f t="shared" ref="H293:H295" si="151">"2023-04-14"</f>
        <v>2023-04-14</v>
      </c>
      <c r="I293" s="1" t="s">
        <v>4813</v>
      </c>
      <c r="J293" s="1" t="str">
        <f t="shared" si="144"/>
        <v>天津泓德汽车玻璃有限公司</v>
      </c>
    </row>
    <row r="294" spans="1:10">
      <c r="A294" s="1" t="str">
        <f t="shared" si="141"/>
        <v>天津泓德汽车玻璃有限公司</v>
      </c>
      <c r="B294" s="1" t="str">
        <f>"应用于钉柱安装的定位结构和通用型钉柱自动安装装置"</f>
        <v>应用于钉柱安装的定位结构和通用型钉柱自动安装装置</v>
      </c>
      <c r="C294" s="1" t="str">
        <f t="shared" si="148"/>
        <v>实用新型</v>
      </c>
      <c r="D294" s="1" t="str">
        <f t="shared" si="149"/>
        <v>授权</v>
      </c>
      <c r="E294" s="1" t="str">
        <f>"CN202120363154.2"</f>
        <v>CN202120363154.2</v>
      </c>
      <c r="F294" s="1" t="str">
        <f t="shared" si="150"/>
        <v>2021-02-09</v>
      </c>
      <c r="G294" s="1" t="str">
        <f>"CN218856064U"</f>
        <v>CN218856064U</v>
      </c>
      <c r="H294" s="1" t="str">
        <f t="shared" si="151"/>
        <v>2023-04-14</v>
      </c>
      <c r="I294" s="1" t="s">
        <v>4813</v>
      </c>
      <c r="J294" s="1" t="str">
        <f t="shared" si="144"/>
        <v>天津泓德汽车玻璃有限公司</v>
      </c>
    </row>
    <row r="295" spans="1:10">
      <c r="A295" s="1" t="str">
        <f t="shared" si="141"/>
        <v>天津泓德汽车玻璃有限公司</v>
      </c>
      <c r="B295" s="1" t="str">
        <f>"一种柔性安装结构和通用型钉柱自动安装装置"</f>
        <v>一种柔性安装结构和通用型钉柱自动安装装置</v>
      </c>
      <c r="C295" s="1" t="str">
        <f t="shared" si="148"/>
        <v>实用新型</v>
      </c>
      <c r="D295" s="1" t="str">
        <f t="shared" si="149"/>
        <v>授权</v>
      </c>
      <c r="E295" s="1" t="str">
        <f>"CN202120361255.6"</f>
        <v>CN202120361255.6</v>
      </c>
      <c r="F295" s="1" t="str">
        <f t="shared" si="150"/>
        <v>2021-02-09</v>
      </c>
      <c r="G295" s="1" t="str">
        <f>"CN218856063U"</f>
        <v>CN218856063U</v>
      </c>
      <c r="H295" s="1" t="str">
        <f t="shared" si="151"/>
        <v>2023-04-14</v>
      </c>
      <c r="I295" s="1" t="s">
        <v>4813</v>
      </c>
      <c r="J295" s="1" t="str">
        <f t="shared" si="144"/>
        <v>天津泓德汽车玻璃有限公司</v>
      </c>
    </row>
    <row r="296" spans="1:10">
      <c r="A296" s="1" t="str">
        <f t="shared" si="141"/>
        <v>天津泓德汽车玻璃有限公司</v>
      </c>
      <c r="B296" s="1" t="str">
        <f>"一种可调包装箱"</f>
        <v>一种可调包装箱</v>
      </c>
      <c r="C296" s="1" t="str">
        <f t="shared" si="148"/>
        <v>实用新型</v>
      </c>
      <c r="D296" s="1" t="str">
        <f t="shared" si="149"/>
        <v>授权</v>
      </c>
      <c r="E296" s="1" t="str">
        <f>"CN202221500924.4"</f>
        <v>CN202221500924.4</v>
      </c>
      <c r="F296" s="1" t="str">
        <f>"2022-06-13"</f>
        <v>2022-06-13</v>
      </c>
      <c r="G296" s="1" t="str">
        <f>"CN218143010U"</f>
        <v>CN218143010U</v>
      </c>
      <c r="H296" s="1" t="str">
        <f t="shared" ref="H296:H298" si="152">"2022-12-27"</f>
        <v>2022-12-27</v>
      </c>
      <c r="I296" s="1" t="str">
        <f>"张同雯"</f>
        <v>张同雯</v>
      </c>
      <c r="J296" s="1" t="str">
        <f t="shared" si="144"/>
        <v>天津泓德汽车玻璃有限公司</v>
      </c>
    </row>
    <row r="297" spans="1:10">
      <c r="A297" s="1" t="str">
        <f t="shared" si="141"/>
        <v>天津泓德汽车玻璃有限公司</v>
      </c>
      <c r="B297" s="1" t="str">
        <f>"一种玻璃集装架"</f>
        <v>一种玻璃集装架</v>
      </c>
      <c r="C297" s="1" t="str">
        <f t="shared" si="148"/>
        <v>实用新型</v>
      </c>
      <c r="D297" s="1" t="str">
        <f t="shared" si="149"/>
        <v>授权</v>
      </c>
      <c r="E297" s="1" t="str">
        <f>"CN202221089196.2"</f>
        <v>CN202221089196.2</v>
      </c>
      <c r="F297" s="1" t="str">
        <f>"2022-04-27"</f>
        <v>2022-04-27</v>
      </c>
      <c r="G297" s="1" t="str">
        <f>"CN218142737U"</f>
        <v>CN218142737U</v>
      </c>
      <c r="H297" s="1" t="str">
        <f t="shared" si="152"/>
        <v>2022-12-27</v>
      </c>
      <c r="I297" s="1" t="s">
        <v>4825</v>
      </c>
      <c r="J297" s="1" t="str">
        <f t="shared" si="144"/>
        <v>天津泓德汽车玻璃有限公司</v>
      </c>
    </row>
    <row r="298" spans="1:10">
      <c r="A298" s="1" t="str">
        <f t="shared" si="141"/>
        <v>天津泓德汽车玻璃有限公司</v>
      </c>
      <c r="B298" s="1" t="str">
        <f>"一种玻璃托架安装装置"</f>
        <v>一种玻璃托架安装装置</v>
      </c>
      <c r="C298" s="1" t="str">
        <f t="shared" si="148"/>
        <v>实用新型</v>
      </c>
      <c r="D298" s="1" t="str">
        <f t="shared" si="149"/>
        <v>授权</v>
      </c>
      <c r="E298" s="1" t="str">
        <f>"CN202221705268.1"</f>
        <v>CN202221705268.1</v>
      </c>
      <c r="F298" s="1" t="str">
        <f>"2022-06-28"</f>
        <v>2022-06-28</v>
      </c>
      <c r="G298" s="1" t="str">
        <f>"CN218137718U"</f>
        <v>CN218137718U</v>
      </c>
      <c r="H298" s="1" t="str">
        <f t="shared" si="152"/>
        <v>2022-12-27</v>
      </c>
      <c r="I298" s="1" t="s">
        <v>4826</v>
      </c>
      <c r="J298" s="1" t="str">
        <f t="shared" si="144"/>
        <v>天津泓德汽车玻璃有限公司</v>
      </c>
    </row>
    <row r="299" spans="1:10">
      <c r="A299" s="1" t="str">
        <f t="shared" si="141"/>
        <v>天津泓德汽车玻璃有限公司</v>
      </c>
      <c r="B299" s="1" t="str">
        <f>"一种通用包装箱"</f>
        <v>一种通用包装箱</v>
      </c>
      <c r="C299" s="1" t="str">
        <f t="shared" si="148"/>
        <v>实用新型</v>
      </c>
      <c r="D299" s="1" t="str">
        <f t="shared" si="149"/>
        <v>授权</v>
      </c>
      <c r="E299" s="1" t="str">
        <f>"CN202221384934.6"</f>
        <v>CN202221384934.6</v>
      </c>
      <c r="F299" s="1" t="str">
        <f>"2022-05-25"</f>
        <v>2022-05-25</v>
      </c>
      <c r="G299" s="1" t="str">
        <f>"CN218113476U"</f>
        <v>CN218113476U</v>
      </c>
      <c r="H299" s="1" t="str">
        <f>"2022-12-23"</f>
        <v>2022-12-23</v>
      </c>
      <c r="I299" s="1" t="s">
        <v>4827</v>
      </c>
      <c r="J299" s="1" t="str">
        <f t="shared" si="144"/>
        <v>天津泓德汽车玻璃有限公司</v>
      </c>
    </row>
    <row r="300" spans="1:10">
      <c r="A300" s="1" t="str">
        <f t="shared" si="141"/>
        <v>天津泓德汽车玻璃有限公司</v>
      </c>
      <c r="B300" s="1" t="str">
        <f>"一种平放式包装箱"</f>
        <v>一种平放式包装箱</v>
      </c>
      <c r="C300" s="1" t="str">
        <f t="shared" si="148"/>
        <v>实用新型</v>
      </c>
      <c r="D300" s="1" t="str">
        <f t="shared" si="149"/>
        <v>授权</v>
      </c>
      <c r="E300" s="1" t="str">
        <f>"CN202221089454.7"</f>
        <v>CN202221089454.7</v>
      </c>
      <c r="F300" s="1" t="str">
        <f>"2022-04-27"</f>
        <v>2022-04-27</v>
      </c>
      <c r="G300" s="1" t="str">
        <f>"CN217806165U"</f>
        <v>CN217806165U</v>
      </c>
      <c r="H300" s="1" t="str">
        <f t="shared" ref="H300:H302" si="153">"2022-11-15"</f>
        <v>2022-11-15</v>
      </c>
      <c r="I300" s="1" t="s">
        <v>4825</v>
      </c>
      <c r="J300" s="1" t="str">
        <f t="shared" si="144"/>
        <v>天津泓德汽车玻璃有限公司</v>
      </c>
    </row>
    <row r="301" spans="1:10">
      <c r="A301" s="1" t="str">
        <f t="shared" si="141"/>
        <v>天津泓德汽车玻璃有限公司</v>
      </c>
      <c r="B301" s="1" t="str">
        <f>"一种半圆形齿条及包装箱"</f>
        <v>一种半圆形齿条及包装箱</v>
      </c>
      <c r="C301" s="1" t="str">
        <f t="shared" si="148"/>
        <v>实用新型</v>
      </c>
      <c r="D301" s="1" t="str">
        <f t="shared" si="149"/>
        <v>授权</v>
      </c>
      <c r="E301" s="1" t="str">
        <f>"CN202221197673.7"</f>
        <v>CN202221197673.7</v>
      </c>
      <c r="F301" s="1" t="str">
        <f>"2022-05-10"</f>
        <v>2022-05-10</v>
      </c>
      <c r="G301" s="1" t="str">
        <f>"CN217806054U"</f>
        <v>CN217806054U</v>
      </c>
      <c r="H301" s="1" t="str">
        <f t="shared" si="153"/>
        <v>2022-11-15</v>
      </c>
      <c r="I301" s="1" t="s">
        <v>4825</v>
      </c>
      <c r="J301" s="1" t="str">
        <f t="shared" si="144"/>
        <v>天津泓德汽车玻璃有限公司</v>
      </c>
    </row>
    <row r="302" spans="1:10">
      <c r="A302" s="1" t="str">
        <f t="shared" si="141"/>
        <v>天津泓德汽车玻璃有限公司</v>
      </c>
      <c r="B302" s="1" t="str">
        <f>"一种分段式玻璃装载结构"</f>
        <v>一种分段式玻璃装载结构</v>
      </c>
      <c r="C302" s="1" t="str">
        <f t="shared" si="148"/>
        <v>实用新型</v>
      </c>
      <c r="D302" s="1" t="str">
        <f t="shared" si="149"/>
        <v>授权</v>
      </c>
      <c r="E302" s="1" t="str">
        <f>"CN202220999107.1"</f>
        <v>CN202220999107.1</v>
      </c>
      <c r="F302" s="1" t="str">
        <f>"2022-04-26"</f>
        <v>2022-04-26</v>
      </c>
      <c r="G302" s="1" t="str">
        <f>"CN217806453U"</f>
        <v>CN217806453U</v>
      </c>
      <c r="H302" s="1" t="str">
        <f t="shared" si="153"/>
        <v>2022-11-15</v>
      </c>
      <c r="I302" s="1" t="s">
        <v>4827</v>
      </c>
      <c r="J302" s="1" t="str">
        <f t="shared" si="144"/>
        <v>天津泓德汽车玻璃有限公司</v>
      </c>
    </row>
    <row r="303" spans="1:10">
      <c r="A303" s="1" t="str">
        <f t="shared" si="141"/>
        <v>天津泓德汽车玻璃有限公司</v>
      </c>
      <c r="B303" s="1" t="str">
        <f>"一种炉外玻璃捕捉器"</f>
        <v>一种炉外玻璃捕捉器</v>
      </c>
      <c r="C303" s="1" t="str">
        <f t="shared" si="148"/>
        <v>实用新型</v>
      </c>
      <c r="D303" s="1" t="str">
        <f t="shared" si="149"/>
        <v>授权</v>
      </c>
      <c r="E303" s="1" t="str">
        <f>"CN202221139614.4"</f>
        <v>CN202221139614.4</v>
      </c>
      <c r="F303" s="1" t="str">
        <f>"2022-05-06"</f>
        <v>2022-05-06</v>
      </c>
      <c r="G303" s="1" t="str">
        <f>"CN217628142U"</f>
        <v>CN217628142U</v>
      </c>
      <c r="H303" s="1" t="str">
        <f>"2022-10-21"</f>
        <v>2022-10-21</v>
      </c>
      <c r="I303" s="1" t="str">
        <f>"刘西安"</f>
        <v>刘西安</v>
      </c>
      <c r="J303" s="1" t="str">
        <f t="shared" si="144"/>
        <v>天津泓德汽车玻璃有限公司</v>
      </c>
    </row>
    <row r="304" spans="1:10">
      <c r="A304" s="1" t="str">
        <f t="shared" si="141"/>
        <v>天津泓德汽车玻璃有限公司</v>
      </c>
      <c r="B304" s="1" t="str">
        <f>"一种自动粘结阻胶条的工装及其使用方法"</f>
        <v>一种自动粘结阻胶条的工装及其使用方法</v>
      </c>
      <c r="C304" s="1" t="str">
        <f>"发明授权"</f>
        <v>发明授权</v>
      </c>
      <c r="D304" s="1" t="str">
        <f t="shared" si="149"/>
        <v>授权</v>
      </c>
      <c r="E304" s="1" t="str">
        <f>"CN202110671849.1"</f>
        <v>CN202110671849.1</v>
      </c>
      <c r="F304" s="1" t="str">
        <f t="shared" ref="F304:F307" si="154">"2021-06-17"</f>
        <v>2021-06-17</v>
      </c>
      <c r="G304" s="1" t="str">
        <f>"CN113500790B"</f>
        <v>CN113500790B</v>
      </c>
      <c r="H304" s="1" t="str">
        <f>"2022-06-10"</f>
        <v>2022-06-10</v>
      </c>
      <c r="I304" s="1" t="s">
        <v>4828</v>
      </c>
      <c r="J304" s="1" t="str">
        <f t="shared" si="144"/>
        <v>天津泓德汽车玻璃有限公司</v>
      </c>
    </row>
    <row r="305" spans="1:10">
      <c r="A305" s="1" t="str">
        <f t="shared" si="141"/>
        <v>天津泓德汽车玻璃有限公司</v>
      </c>
      <c r="B305" s="1" t="str">
        <f>"一种等离子处理设备"</f>
        <v>一种等离子处理设备</v>
      </c>
      <c r="C305" s="1" t="str">
        <f t="shared" ref="C305:C321" si="155">"实用新型"</f>
        <v>实用新型</v>
      </c>
      <c r="D305" s="1" t="str">
        <f t="shared" si="149"/>
        <v>授权</v>
      </c>
      <c r="E305" s="1" t="str">
        <f>"CN202122813798.X"</f>
        <v>CN202122813798.X</v>
      </c>
      <c r="F305" s="1" t="str">
        <f>"2021-11-17"</f>
        <v>2021-11-17</v>
      </c>
      <c r="G305" s="1" t="str">
        <f>"CN216650080U"</f>
        <v>CN216650080U</v>
      </c>
      <c r="H305" s="1" t="str">
        <f>"2022-05-31"</f>
        <v>2022-05-31</v>
      </c>
      <c r="I305" s="1" t="s">
        <v>4829</v>
      </c>
      <c r="J305" s="1" t="str">
        <f t="shared" si="144"/>
        <v>天津泓德汽车玻璃有限公司</v>
      </c>
    </row>
    <row r="306" spans="1:10">
      <c r="A306" s="1" t="str">
        <f t="shared" si="141"/>
        <v>天津泓德汽车玻璃有限公司</v>
      </c>
      <c r="B306" s="1" t="str">
        <f>"一种用于钉柱安装的拔摸装置"</f>
        <v>一种用于钉柱安装的拔摸装置</v>
      </c>
      <c r="C306" s="1" t="str">
        <f t="shared" si="155"/>
        <v>实用新型</v>
      </c>
      <c r="D306" s="1" t="str">
        <f t="shared" si="149"/>
        <v>授权</v>
      </c>
      <c r="E306" s="1" t="str">
        <f>"CN202121346974.7"</f>
        <v>CN202121346974.7</v>
      </c>
      <c r="F306" s="1" t="str">
        <f t="shared" si="154"/>
        <v>2021-06-17</v>
      </c>
      <c r="G306" s="1" t="str">
        <f>"CN216264443U"</f>
        <v>CN216264443U</v>
      </c>
      <c r="H306" s="1" t="str">
        <f>"2022-04-12"</f>
        <v>2022-04-12</v>
      </c>
      <c r="I306" s="1" t="s">
        <v>4819</v>
      </c>
      <c r="J306" s="1" t="str">
        <f t="shared" si="144"/>
        <v>天津泓德汽车玻璃有限公司</v>
      </c>
    </row>
    <row r="307" spans="1:10">
      <c r="A307" s="1" t="str">
        <f t="shared" si="141"/>
        <v>天津泓德汽车玻璃有限公司</v>
      </c>
      <c r="B307" s="1" t="str">
        <f>"一种汽车后挡风玻璃刹车灯支架用安装检测设备"</f>
        <v>一种汽车后挡风玻璃刹车灯支架用安装检测设备</v>
      </c>
      <c r="C307" s="1" t="str">
        <f t="shared" si="155"/>
        <v>实用新型</v>
      </c>
      <c r="D307" s="1" t="str">
        <f t="shared" si="149"/>
        <v>授权</v>
      </c>
      <c r="E307" s="1" t="str">
        <f>"CN202121349521.X"</f>
        <v>CN202121349521.X</v>
      </c>
      <c r="F307" s="1" t="str">
        <f t="shared" si="154"/>
        <v>2021-06-17</v>
      </c>
      <c r="G307" s="1" t="str">
        <f>"CN215394984U"</f>
        <v>CN215394984U</v>
      </c>
      <c r="H307" s="1" t="str">
        <f t="shared" ref="H307:H309" si="156">"2022-01-04"</f>
        <v>2022-01-04</v>
      </c>
      <c r="I307" s="1" t="s">
        <v>4819</v>
      </c>
      <c r="J307" s="1" t="str">
        <f t="shared" si="144"/>
        <v>天津泓德汽车玻璃有限公司</v>
      </c>
    </row>
    <row r="308" spans="1:10">
      <c r="A308" s="1" t="str">
        <f t="shared" si="141"/>
        <v>天津泓德汽车玻璃有限公司</v>
      </c>
      <c r="B308" s="1" t="str">
        <f>"一种用于汽车玻璃铁托架的安装装置"</f>
        <v>一种用于汽车玻璃铁托架的安装装置</v>
      </c>
      <c r="C308" s="1" t="str">
        <f t="shared" si="155"/>
        <v>实用新型</v>
      </c>
      <c r="D308" s="1" t="str">
        <f t="shared" si="149"/>
        <v>授权</v>
      </c>
      <c r="E308" s="1" t="str">
        <f>"CN202121223187.3"</f>
        <v>CN202121223187.3</v>
      </c>
      <c r="F308" s="1" t="str">
        <f>"2021-06-02"</f>
        <v>2021-06-02</v>
      </c>
      <c r="G308" s="1" t="str">
        <f>"CN215394782U"</f>
        <v>CN215394782U</v>
      </c>
      <c r="H308" s="1" t="str">
        <f t="shared" si="156"/>
        <v>2022-01-04</v>
      </c>
      <c r="I308" s="1" t="s">
        <v>4828</v>
      </c>
      <c r="J308" s="1" t="str">
        <f t="shared" si="144"/>
        <v>天津泓德汽车玻璃有限公司</v>
      </c>
    </row>
    <row r="309" spans="1:10">
      <c r="A309" s="1" t="str">
        <f t="shared" si="141"/>
        <v>天津泓德汽车玻璃有限公司</v>
      </c>
      <c r="B309" s="1" t="str">
        <f>"一种玻璃定位工装和用于钉柱安装的定位组装工装"</f>
        <v>一种玻璃定位工装和用于钉柱安装的定位组装工装</v>
      </c>
      <c r="C309" s="1" t="str">
        <f t="shared" si="155"/>
        <v>实用新型</v>
      </c>
      <c r="D309" s="1" t="str">
        <f t="shared" si="149"/>
        <v>授权</v>
      </c>
      <c r="E309" s="1" t="str">
        <f>"CN202121349530.9"</f>
        <v>CN202121349530.9</v>
      </c>
      <c r="F309" s="1" t="str">
        <f>"2021-06-17"</f>
        <v>2021-06-17</v>
      </c>
      <c r="G309" s="1" t="str">
        <f>"CN215394793U"</f>
        <v>CN215394793U</v>
      </c>
      <c r="H309" s="1" t="str">
        <f t="shared" si="156"/>
        <v>2022-01-04</v>
      </c>
      <c r="I309" s="1" t="s">
        <v>4819</v>
      </c>
      <c r="J309" s="1" t="str">
        <f t="shared" si="144"/>
        <v>天津泓德汽车玻璃有限公司</v>
      </c>
    </row>
    <row r="310" spans="1:10">
      <c r="A310" s="1" t="str">
        <f t="shared" si="141"/>
        <v>天津泓德汽车玻璃有限公司</v>
      </c>
      <c r="B310" s="1" t="str">
        <f>"一种卡条自动安装装置"</f>
        <v>一种卡条自动安装装置</v>
      </c>
      <c r="C310" s="1" t="str">
        <f t="shared" si="155"/>
        <v>实用新型</v>
      </c>
      <c r="D310" s="1" t="str">
        <f t="shared" si="149"/>
        <v>授权</v>
      </c>
      <c r="E310" s="1" t="str">
        <f>"CN202020949970.7"</f>
        <v>CN202020949970.7</v>
      </c>
      <c r="F310" s="1" t="str">
        <f>"2020-05-29"</f>
        <v>2020-05-29</v>
      </c>
      <c r="G310" s="1" t="str">
        <f>"CN212652976U"</f>
        <v>CN212652976U</v>
      </c>
      <c r="H310" s="1" t="str">
        <f>"2021-03-05"</f>
        <v>2021-03-05</v>
      </c>
      <c r="I310" s="1" t="s">
        <v>4818</v>
      </c>
      <c r="J310" s="1" t="str">
        <f t="shared" si="144"/>
        <v>天津泓德汽车玻璃有限公司</v>
      </c>
    </row>
    <row r="311" spans="1:10">
      <c r="A311" s="1" t="str">
        <f t="shared" si="141"/>
        <v>天津泓德汽车玻璃有限公司</v>
      </c>
      <c r="B311" s="1" t="str">
        <f>"一种带印刷功能的卧式压粉机"</f>
        <v>一种带印刷功能的卧式压粉机</v>
      </c>
      <c r="C311" s="1" t="str">
        <f t="shared" si="155"/>
        <v>实用新型</v>
      </c>
      <c r="D311" s="1" t="str">
        <f t="shared" si="149"/>
        <v>授权</v>
      </c>
      <c r="E311" s="1" t="str">
        <f>"CN202020125371.3"</f>
        <v>CN202020125371.3</v>
      </c>
      <c r="F311" s="1" t="str">
        <f>"2020-01-19"</f>
        <v>2020-01-19</v>
      </c>
      <c r="G311" s="1" t="str">
        <f>"CN212041161U"</f>
        <v>CN212041161U</v>
      </c>
      <c r="H311" s="1" t="str">
        <f>"2020-12-01"</f>
        <v>2020-12-01</v>
      </c>
      <c r="I311" s="1" t="s">
        <v>4823</v>
      </c>
      <c r="J311" s="1" t="str">
        <f t="shared" si="144"/>
        <v>天津泓德汽车玻璃有限公司</v>
      </c>
    </row>
    <row r="312" spans="1:10">
      <c r="A312" s="1" t="str">
        <f t="shared" si="141"/>
        <v>天津泓德汽车玻璃有限公司</v>
      </c>
      <c r="B312" s="1" t="str">
        <f>"一种自动粘贴玻璃条码标签及接线端子胶带的设备"</f>
        <v>一种自动粘贴玻璃条码标签及接线端子胶带的设备</v>
      </c>
      <c r="C312" s="1" t="str">
        <f t="shared" si="155"/>
        <v>实用新型</v>
      </c>
      <c r="D312" s="1" t="str">
        <f t="shared" si="149"/>
        <v>授权</v>
      </c>
      <c r="E312" s="1" t="str">
        <f>"CN201922271371.4"</f>
        <v>CN201922271371.4</v>
      </c>
      <c r="F312" s="1" t="str">
        <f>"2019-12-17"</f>
        <v>2019-12-17</v>
      </c>
      <c r="G312" s="1" t="str">
        <f>"CN212048179U"</f>
        <v>CN212048179U</v>
      </c>
      <c r="H312" s="1" t="str">
        <f>"2020-12-01"</f>
        <v>2020-12-01</v>
      </c>
      <c r="I312" s="1" t="s">
        <v>4823</v>
      </c>
      <c r="J312" s="1" t="str">
        <f t="shared" si="144"/>
        <v>天津泓德汽车玻璃有限公司</v>
      </c>
    </row>
    <row r="313" spans="1:10">
      <c r="A313" s="1" t="str">
        <f t="shared" si="141"/>
        <v>天津泓德汽车玻璃有限公司</v>
      </c>
      <c r="B313" s="1" t="str">
        <f>"一种应用于电子检具和共用采集器之间的快换插头"</f>
        <v>一种应用于电子检具和共用采集器之间的快换插头</v>
      </c>
      <c r="C313" s="1" t="str">
        <f t="shared" si="155"/>
        <v>实用新型</v>
      </c>
      <c r="D313" s="1" t="str">
        <f t="shared" si="149"/>
        <v>授权</v>
      </c>
      <c r="E313" s="1" t="str">
        <f>"CN202020202183.6"</f>
        <v>CN202020202183.6</v>
      </c>
      <c r="F313" s="1" t="str">
        <f>"2020-02-24"</f>
        <v>2020-02-24</v>
      </c>
      <c r="G313" s="1" t="str">
        <f>"CN211655164U"</f>
        <v>CN211655164U</v>
      </c>
      <c r="H313" s="1" t="str">
        <f t="shared" ref="H313:H316" si="157">"2020-10-09"</f>
        <v>2020-10-09</v>
      </c>
      <c r="I313" s="1" t="s">
        <v>4830</v>
      </c>
      <c r="J313" s="1" t="str">
        <f t="shared" si="144"/>
        <v>天津泓德汽车玻璃有限公司</v>
      </c>
    </row>
    <row r="314" spans="1:10">
      <c r="A314" s="1" t="str">
        <f t="shared" si="141"/>
        <v>天津泓德汽车玻璃有限公司</v>
      </c>
      <c r="B314" s="1" t="str">
        <f>"一种用于玻璃成型的模具真空切换系统"</f>
        <v>一种用于玻璃成型的模具真空切换系统</v>
      </c>
      <c r="C314" s="1" t="str">
        <f t="shared" si="155"/>
        <v>实用新型</v>
      </c>
      <c r="D314" s="1" t="str">
        <f t="shared" ref="D314:D319" si="158">"未缴年费专利权终止"</f>
        <v>未缴年费专利权终止</v>
      </c>
      <c r="E314" s="1" t="str">
        <f>"CN201921066973.X"</f>
        <v>CN201921066973.X</v>
      </c>
      <c r="F314" s="1" t="str">
        <f>"2019-07-08"</f>
        <v>2019-07-08</v>
      </c>
      <c r="G314" s="1" t="str">
        <f>"CN211645042U"</f>
        <v>CN211645042U</v>
      </c>
      <c r="H314" s="1" t="str">
        <f t="shared" si="157"/>
        <v>2020-10-09</v>
      </c>
      <c r="I314" s="1" t="str">
        <f>"王东旭"</f>
        <v>王东旭</v>
      </c>
      <c r="J314" s="1" t="str">
        <f t="shared" si="144"/>
        <v>天津泓德汽车玻璃有限公司</v>
      </c>
    </row>
    <row r="315" spans="1:10">
      <c r="A315" s="1" t="str">
        <f t="shared" si="141"/>
        <v>天津泓德汽车玻璃有限公司</v>
      </c>
      <c r="B315" s="1" t="str">
        <f>"一种多品种边窗托架共用工装"</f>
        <v>一种多品种边窗托架共用工装</v>
      </c>
      <c r="C315" s="1" t="str">
        <f t="shared" si="155"/>
        <v>实用新型</v>
      </c>
      <c r="D315" s="1" t="str">
        <f t="shared" ref="D315:D317" si="159">"授权"</f>
        <v>授权</v>
      </c>
      <c r="E315" s="1" t="str">
        <f>"CN201922470878.2"</f>
        <v>CN201922470878.2</v>
      </c>
      <c r="F315" s="1" t="str">
        <f>"2019-12-31"</f>
        <v>2019-12-31</v>
      </c>
      <c r="G315" s="1" t="str">
        <f>"CN211639613U"</f>
        <v>CN211639613U</v>
      </c>
      <c r="H315" s="1" t="str">
        <f t="shared" si="157"/>
        <v>2020-10-09</v>
      </c>
      <c r="I315" s="1" t="s">
        <v>4831</v>
      </c>
      <c r="J315" s="1" t="str">
        <f t="shared" si="144"/>
        <v>天津泓德汽车玻璃有限公司</v>
      </c>
    </row>
    <row r="316" spans="1:10">
      <c r="A316" s="1" t="str">
        <f t="shared" si="141"/>
        <v>天津泓德汽车玻璃有限公司</v>
      </c>
      <c r="B316" s="1" t="str">
        <f>"无动力高压架传输线"</f>
        <v>无动力高压架传输线</v>
      </c>
      <c r="C316" s="1" t="str">
        <f t="shared" si="155"/>
        <v>实用新型</v>
      </c>
      <c r="D316" s="1" t="str">
        <f t="shared" si="159"/>
        <v>授权</v>
      </c>
      <c r="E316" s="1" t="str">
        <f>"CN201922108868.4"</f>
        <v>CN201922108868.4</v>
      </c>
      <c r="F316" s="1" t="str">
        <f>"2019-11-29"</f>
        <v>2019-11-29</v>
      </c>
      <c r="G316" s="1" t="str">
        <f>"CN211643641U"</f>
        <v>CN211643641U</v>
      </c>
      <c r="H316" s="1" t="str">
        <f t="shared" si="157"/>
        <v>2020-10-09</v>
      </c>
      <c r="I316" s="1" t="s">
        <v>4823</v>
      </c>
      <c r="J316" s="1" t="str">
        <f t="shared" si="144"/>
        <v>天津泓德汽车玻璃有限公司</v>
      </c>
    </row>
    <row r="317" spans="1:10">
      <c r="A317" s="1" t="str">
        <f t="shared" si="141"/>
        <v>天津泓德汽车玻璃有限公司</v>
      </c>
      <c r="B317" s="1" t="str">
        <f>"一种流水线悬吊式工位架"</f>
        <v>一种流水线悬吊式工位架</v>
      </c>
      <c r="C317" s="1" t="str">
        <f t="shared" si="155"/>
        <v>实用新型</v>
      </c>
      <c r="D317" s="1" t="str">
        <f t="shared" si="159"/>
        <v>授权</v>
      </c>
      <c r="E317" s="1" t="str">
        <f>"CN201921903791.3"</f>
        <v>CN201921903791.3</v>
      </c>
      <c r="F317" s="1" t="str">
        <f>"2019-11-06"</f>
        <v>2019-11-06</v>
      </c>
      <c r="G317" s="1" t="str">
        <f>"CN211309909U"</f>
        <v>CN211309909U</v>
      </c>
      <c r="H317" s="1" t="str">
        <f>"2020-08-21"</f>
        <v>2020-08-21</v>
      </c>
      <c r="I317" s="1" t="s">
        <v>4832</v>
      </c>
      <c r="J317" s="1" t="str">
        <f t="shared" si="144"/>
        <v>天津泓德汽车玻璃有限公司</v>
      </c>
    </row>
    <row r="318" spans="1:10">
      <c r="A318" s="1" t="str">
        <f t="shared" si="141"/>
        <v>天津泓德汽车玻璃有限公司</v>
      </c>
      <c r="B318" s="1" t="str">
        <f>"一种玻璃进炉的定位检测装置"</f>
        <v>一种玻璃进炉的定位检测装置</v>
      </c>
      <c r="C318" s="1" t="str">
        <f t="shared" si="155"/>
        <v>实用新型</v>
      </c>
      <c r="D318" s="1" t="str">
        <f t="shared" si="158"/>
        <v>未缴年费专利权终止</v>
      </c>
      <c r="E318" s="1" t="str">
        <f>"CN201921057686.2"</f>
        <v>CN201921057686.2</v>
      </c>
      <c r="F318" s="1" t="str">
        <f>"2019-07-08"</f>
        <v>2019-07-08</v>
      </c>
      <c r="G318" s="1" t="str">
        <f>"CN210528774U"</f>
        <v>CN210528774U</v>
      </c>
      <c r="H318" s="1" t="str">
        <f>"2020-05-15"</f>
        <v>2020-05-15</v>
      </c>
      <c r="I318" s="1" t="str">
        <f>"刘西安"</f>
        <v>刘西安</v>
      </c>
      <c r="J318" s="1" t="str">
        <f t="shared" si="144"/>
        <v>天津泓德汽车玻璃有限公司</v>
      </c>
    </row>
    <row r="319" spans="1:10">
      <c r="A319" s="1" t="str">
        <f t="shared" si="141"/>
        <v>天津泓德汽车玻璃有限公司</v>
      </c>
      <c r="B319" s="1" t="str">
        <f>"汽车前挡玻璃进釜用码垛输送装置"</f>
        <v>汽车前挡玻璃进釜用码垛输送装置</v>
      </c>
      <c r="C319" s="1" t="str">
        <f t="shared" si="155"/>
        <v>实用新型</v>
      </c>
      <c r="D319" s="1" t="str">
        <f t="shared" si="158"/>
        <v>未缴年费专利权终止</v>
      </c>
      <c r="E319" s="1" t="str">
        <f>"CN201822274279.9"</f>
        <v>CN201822274279.9</v>
      </c>
      <c r="F319" s="1" t="str">
        <f t="shared" ref="F319:F321" si="160">"2018-12-31"</f>
        <v>2018-12-31</v>
      </c>
      <c r="G319" s="1" t="str">
        <f>"CN209922253U"</f>
        <v>CN209922253U</v>
      </c>
      <c r="H319" s="1" t="str">
        <f t="shared" ref="H319:H321" si="161">"2020-01-10"</f>
        <v>2020-01-10</v>
      </c>
      <c r="I319" s="1" t="s">
        <v>4833</v>
      </c>
      <c r="J319" s="1" t="str">
        <f t="shared" si="144"/>
        <v>天津泓德汽车玻璃有限公司</v>
      </c>
    </row>
    <row r="320" spans="1:10">
      <c r="A320" s="1" t="str">
        <f t="shared" si="141"/>
        <v>天津泓德汽车玻璃有限公司</v>
      </c>
      <c r="B320" s="1" t="str">
        <f>"一种汽车角窗亮饰条专用装配工装"</f>
        <v>一种汽车角窗亮饰条专用装配工装</v>
      </c>
      <c r="C320" s="1" t="str">
        <f t="shared" si="155"/>
        <v>实用新型</v>
      </c>
      <c r="D320" s="1" t="str">
        <f>"授权"</f>
        <v>授权</v>
      </c>
      <c r="E320" s="1" t="str">
        <f>"CN201822264889.0"</f>
        <v>CN201822264889.0</v>
      </c>
      <c r="F320" s="1" t="str">
        <f t="shared" si="160"/>
        <v>2018-12-31</v>
      </c>
      <c r="G320" s="1" t="str">
        <f>"CN209919258U"</f>
        <v>CN209919258U</v>
      </c>
      <c r="H320" s="1" t="str">
        <f t="shared" si="161"/>
        <v>2020-01-10</v>
      </c>
      <c r="I320" s="1" t="s">
        <v>4834</v>
      </c>
      <c r="J320" s="1" t="str">
        <f t="shared" si="144"/>
        <v>天津泓德汽车玻璃有限公司</v>
      </c>
    </row>
    <row r="321" spans="1:10">
      <c r="A321" s="1" t="str">
        <f t="shared" si="141"/>
        <v>天津泓德汽车玻璃有限公司</v>
      </c>
      <c r="B321" s="1" t="str">
        <f>"一种通用型汽车玻璃塑料托架安装装置"</f>
        <v>一种通用型汽车玻璃塑料托架安装装置</v>
      </c>
      <c r="C321" s="1" t="str">
        <f t="shared" si="155"/>
        <v>实用新型</v>
      </c>
      <c r="D321" s="1" t="str">
        <f>"避重放弃"</f>
        <v>避重放弃</v>
      </c>
      <c r="E321" s="1" t="str">
        <f>"CN201822271590.8"</f>
        <v>CN201822271590.8</v>
      </c>
      <c r="F321" s="1" t="str">
        <f t="shared" si="160"/>
        <v>2018-12-31</v>
      </c>
      <c r="G321" s="1" t="str">
        <f>"CN209920554U"</f>
        <v>CN209920554U</v>
      </c>
      <c r="H321" s="1" t="str">
        <f t="shared" si="161"/>
        <v>2020-01-10</v>
      </c>
      <c r="I321" s="1" t="s">
        <v>4824</v>
      </c>
      <c r="J321" s="1" t="str">
        <f t="shared" si="144"/>
        <v>天津泓德汽车玻璃有限公司</v>
      </c>
    </row>
    <row r="322" spans="1:10">
      <c r="A322" s="1" t="str">
        <f t="shared" si="141"/>
        <v>天津泓德汽车玻璃有限公司</v>
      </c>
      <c r="B322" s="1" t="str">
        <f>"含有三层红外反射层的低辐射镀膜玻璃及其夹层玻璃制品"</f>
        <v>含有三层红外反射层的低辐射镀膜玻璃及其夹层玻璃制品</v>
      </c>
      <c r="C322" s="1" t="str">
        <f>"发明授权"</f>
        <v>发明授权</v>
      </c>
      <c r="D322" s="1" t="str">
        <f>"授权"</f>
        <v>授权</v>
      </c>
      <c r="E322" s="1" t="str">
        <f>"CN201610974451.4"</f>
        <v>CN201610974451.4</v>
      </c>
      <c r="F322" s="1" t="str">
        <f>"2016-11-07"</f>
        <v>2016-11-07</v>
      </c>
      <c r="G322" s="1" t="str">
        <f>"CN106542745B"</f>
        <v>CN106542745B</v>
      </c>
      <c r="H322" s="1" t="str">
        <f>"2019-09-24"</f>
        <v>2019-09-24</v>
      </c>
      <c r="I322" s="1" t="s">
        <v>4835</v>
      </c>
      <c r="J322" s="1" t="str">
        <f t="shared" si="144"/>
        <v>天津泓德汽车玻璃有限公司</v>
      </c>
    </row>
    <row r="323" spans="1:10">
      <c r="A323" s="1" t="str">
        <f t="shared" si="141"/>
        <v>天津泓德汽车玻璃有限公司</v>
      </c>
      <c r="B323" s="1" t="str">
        <f>"一种伺服电缸控制风门开合装置"</f>
        <v>一种伺服电缸控制风门开合装置</v>
      </c>
      <c r="C323" s="1" t="str">
        <f t="shared" ref="C323:C341" si="162">"实用新型"</f>
        <v>实用新型</v>
      </c>
      <c r="D323" s="1" t="str">
        <f t="shared" ref="D323:D341" si="163">"未缴年费专利权终止"</f>
        <v>未缴年费专利权终止</v>
      </c>
      <c r="E323" s="1" t="str">
        <f>"CN201820459884.0"</f>
        <v>CN201820459884.0</v>
      </c>
      <c r="F323" s="1" t="str">
        <f t="shared" ref="F323:F328" si="164">"2018-04-03"</f>
        <v>2018-04-03</v>
      </c>
      <c r="G323" s="1" t="str">
        <f>"CN208953935U"</f>
        <v>CN208953935U</v>
      </c>
      <c r="H323" s="1" t="str">
        <f>"2019-06-07"</f>
        <v>2019-06-07</v>
      </c>
      <c r="I323" s="1" t="str">
        <f t="shared" ref="I323:I328" si="165">"高扬"</f>
        <v>高扬</v>
      </c>
      <c r="J323" s="1" t="str">
        <f t="shared" si="144"/>
        <v>天津泓德汽车玻璃有限公司</v>
      </c>
    </row>
    <row r="324" spans="1:10">
      <c r="A324" s="1" t="str">
        <f t="shared" si="141"/>
        <v>天津泓德汽车玻璃有限公司</v>
      </c>
      <c r="B324" s="1" t="str">
        <f>"汽车角窗亮饰条专用装配工装"</f>
        <v>汽车角窗亮饰条专用装配工装</v>
      </c>
      <c r="C324" s="1" t="str">
        <f>"发明公布"</f>
        <v>发明公布</v>
      </c>
      <c r="D324" s="1" t="str">
        <f>"公布驳回"</f>
        <v>公布驳回</v>
      </c>
      <c r="E324" s="1" t="str">
        <f>"CN201811651283.0"</f>
        <v>CN201811651283.0</v>
      </c>
      <c r="F324" s="1" t="str">
        <f>"2018-12-31"</f>
        <v>2018-12-31</v>
      </c>
      <c r="G324" s="1" t="str">
        <f>"CN109664091A"</f>
        <v>CN109664091A</v>
      </c>
      <c r="H324" s="1" t="str">
        <f>"2019-04-23"</f>
        <v>2019-04-23</v>
      </c>
      <c r="I324" s="1" t="s">
        <v>4834</v>
      </c>
      <c r="J324" s="1" t="str">
        <f t="shared" si="144"/>
        <v>天津泓德汽车玻璃有限公司</v>
      </c>
    </row>
    <row r="325" spans="1:10">
      <c r="A325" s="1" t="str">
        <f t="shared" si="141"/>
        <v>天津泓德汽车玻璃有限公司</v>
      </c>
      <c r="B325" s="1" t="str">
        <f>"一种玻璃磨边吸附装置"</f>
        <v>一种玻璃磨边吸附装置</v>
      </c>
      <c r="C325" s="1" t="str">
        <f t="shared" si="162"/>
        <v>实用新型</v>
      </c>
      <c r="D325" s="1" t="str">
        <f t="shared" si="163"/>
        <v>未缴年费专利权终止</v>
      </c>
      <c r="E325" s="1" t="str">
        <f>"CN201820461373.2"</f>
        <v>CN201820461373.2</v>
      </c>
      <c r="F325" s="1" t="str">
        <f t="shared" si="164"/>
        <v>2018-04-03</v>
      </c>
      <c r="G325" s="1" t="str">
        <f>"CN208132715U"</f>
        <v>CN208132715U</v>
      </c>
      <c r="H325" s="1" t="str">
        <f t="shared" ref="H325:H328" si="166">"2018-11-23"</f>
        <v>2018-11-23</v>
      </c>
      <c r="I325" s="1" t="s">
        <v>4836</v>
      </c>
      <c r="J325" s="1" t="str">
        <f t="shared" si="144"/>
        <v>天津泓德汽车玻璃有限公司</v>
      </c>
    </row>
    <row r="326" spans="1:10">
      <c r="A326" s="1" t="str">
        <f t="shared" si="141"/>
        <v>天津泓德汽车玻璃有限公司</v>
      </c>
      <c r="B326" s="1" t="str">
        <f>"一种汽车风玻璃固化温度控制装置"</f>
        <v>一种汽车风玻璃固化温度控制装置</v>
      </c>
      <c r="C326" s="1" t="str">
        <f t="shared" si="162"/>
        <v>实用新型</v>
      </c>
      <c r="D326" s="1" t="str">
        <f t="shared" si="163"/>
        <v>未缴年费专利权终止</v>
      </c>
      <c r="E326" s="1" t="str">
        <f>"CN201820456215.8"</f>
        <v>CN201820456215.8</v>
      </c>
      <c r="F326" s="1" t="str">
        <f t="shared" si="164"/>
        <v>2018-04-03</v>
      </c>
      <c r="G326" s="1" t="str">
        <f>"CN208133418U"</f>
        <v>CN208133418U</v>
      </c>
      <c r="H326" s="1" t="str">
        <f t="shared" si="166"/>
        <v>2018-11-23</v>
      </c>
      <c r="I326" s="1" t="s">
        <v>4837</v>
      </c>
      <c r="J326" s="1" t="str">
        <f t="shared" si="144"/>
        <v>天津泓德汽车玻璃有限公司</v>
      </c>
    </row>
    <row r="327" spans="1:10">
      <c r="A327" s="1" t="str">
        <f t="shared" si="141"/>
        <v>天津泓德汽车玻璃有限公司</v>
      </c>
      <c r="B327" s="1" t="str">
        <f>"炉外炉分隔门升降装置"</f>
        <v>炉外炉分隔门升降装置</v>
      </c>
      <c r="C327" s="1" t="str">
        <f t="shared" si="162"/>
        <v>实用新型</v>
      </c>
      <c r="D327" s="1" t="str">
        <f t="shared" si="163"/>
        <v>未缴年费专利权终止</v>
      </c>
      <c r="E327" s="1" t="str">
        <f>"CN201820460969.0"</f>
        <v>CN201820460969.0</v>
      </c>
      <c r="F327" s="1" t="str">
        <f t="shared" si="164"/>
        <v>2018-04-03</v>
      </c>
      <c r="G327" s="1" t="str">
        <f>"CN208139845U"</f>
        <v>CN208139845U</v>
      </c>
      <c r="H327" s="1" t="str">
        <f t="shared" si="166"/>
        <v>2018-11-23</v>
      </c>
      <c r="I327" s="1" t="str">
        <f t="shared" si="165"/>
        <v>高扬</v>
      </c>
      <c r="J327" s="1" t="str">
        <f t="shared" si="144"/>
        <v>天津泓德汽车玻璃有限公司</v>
      </c>
    </row>
    <row r="328" spans="1:10">
      <c r="A328" s="1" t="str">
        <f t="shared" si="141"/>
        <v>天津泓德汽车玻璃有限公司</v>
      </c>
      <c r="B328" s="1" t="str">
        <f>"一种真空储水罐自动排水装置"</f>
        <v>一种真空储水罐自动排水装置</v>
      </c>
      <c r="C328" s="1" t="str">
        <f t="shared" si="162"/>
        <v>实用新型</v>
      </c>
      <c r="D328" s="1" t="str">
        <f t="shared" si="163"/>
        <v>未缴年费专利权终止</v>
      </c>
      <c r="E328" s="1" t="str">
        <f>"CN201820460706.X"</f>
        <v>CN201820460706.X</v>
      </c>
      <c r="F328" s="1" t="str">
        <f t="shared" si="164"/>
        <v>2018-04-03</v>
      </c>
      <c r="G328" s="1" t="str">
        <f>"CN208135137U"</f>
        <v>CN208135137U</v>
      </c>
      <c r="H328" s="1" t="str">
        <f t="shared" si="166"/>
        <v>2018-11-23</v>
      </c>
      <c r="I328" s="1" t="str">
        <f t="shared" si="165"/>
        <v>高扬</v>
      </c>
      <c r="J328" s="1" t="str">
        <f t="shared" si="144"/>
        <v>天津泓德汽车玻璃有限公司</v>
      </c>
    </row>
    <row r="329" spans="1:10">
      <c r="A329" s="1" t="str">
        <f t="shared" si="141"/>
        <v>天津泓德汽车玻璃有限公司</v>
      </c>
      <c r="B329" s="1" t="str">
        <f>"一种汽车边窗玻璃塑料孔扣自动安装装置"</f>
        <v>一种汽车边窗玻璃塑料孔扣自动安装装置</v>
      </c>
      <c r="C329" s="1" t="str">
        <f t="shared" si="162"/>
        <v>实用新型</v>
      </c>
      <c r="D329" s="1" t="str">
        <f t="shared" si="163"/>
        <v>未缴年费专利权终止</v>
      </c>
      <c r="E329" s="1" t="str">
        <f>"CN201721211592.7"</f>
        <v>CN201721211592.7</v>
      </c>
      <c r="F329" s="1" t="str">
        <f t="shared" ref="F329:F342" si="167">"2017-09-19"</f>
        <v>2017-09-19</v>
      </c>
      <c r="G329" s="1" t="str">
        <f>"CN207522497U"</f>
        <v>CN207522497U</v>
      </c>
      <c r="H329" s="1" t="str">
        <f t="shared" ref="H329:H331" si="168">"2018-06-22"</f>
        <v>2018-06-22</v>
      </c>
      <c r="I329" s="1" t="s">
        <v>4838</v>
      </c>
      <c r="J329" s="1" t="str">
        <f t="shared" si="144"/>
        <v>天津泓德汽车玻璃有限公司</v>
      </c>
    </row>
    <row r="330" spans="1:10">
      <c r="A330" s="1" t="str">
        <f t="shared" si="141"/>
        <v>天津泓德汽车玻璃有限公司</v>
      </c>
      <c r="B330" s="1" t="str">
        <f>"一种炉外成型炉的真空系统改造结构"</f>
        <v>一种炉外成型炉的真空系统改造结构</v>
      </c>
      <c r="C330" s="1" t="str">
        <f t="shared" si="162"/>
        <v>实用新型</v>
      </c>
      <c r="D330" s="1" t="str">
        <f t="shared" si="163"/>
        <v>未缴年费专利权终止</v>
      </c>
      <c r="E330" s="1" t="str">
        <f>"CN201721213805.X"</f>
        <v>CN201721213805.X</v>
      </c>
      <c r="F330" s="1" t="str">
        <f t="shared" si="167"/>
        <v>2017-09-19</v>
      </c>
      <c r="G330" s="1" t="str">
        <f>"CN207525131U"</f>
        <v>CN207525131U</v>
      </c>
      <c r="H330" s="1" t="str">
        <f t="shared" si="168"/>
        <v>2018-06-22</v>
      </c>
      <c r="I330" s="1" t="s">
        <v>4839</v>
      </c>
      <c r="J330" s="1" t="str">
        <f t="shared" si="144"/>
        <v>天津泓德汽车玻璃有限公司</v>
      </c>
    </row>
    <row r="331" spans="1:10">
      <c r="A331" s="1" t="str">
        <f t="shared" si="141"/>
        <v>天津泓德汽车玻璃有限公司</v>
      </c>
      <c r="B331" s="1" t="str">
        <f>"一种钢化炉外玻璃爆片报警系统"</f>
        <v>一种钢化炉外玻璃爆片报警系统</v>
      </c>
      <c r="C331" s="1" t="str">
        <f t="shared" si="162"/>
        <v>实用新型</v>
      </c>
      <c r="D331" s="1" t="str">
        <f t="shared" si="163"/>
        <v>未缴年费专利权终止</v>
      </c>
      <c r="E331" s="1" t="str">
        <f>"CN201721207063.X"</f>
        <v>CN201721207063.X</v>
      </c>
      <c r="F331" s="1" t="str">
        <f t="shared" si="167"/>
        <v>2017-09-19</v>
      </c>
      <c r="G331" s="1" t="str">
        <f>"CN207525138U"</f>
        <v>CN207525138U</v>
      </c>
      <c r="H331" s="1" t="str">
        <f t="shared" si="168"/>
        <v>2018-06-22</v>
      </c>
      <c r="I331" s="1" t="s">
        <v>4840</v>
      </c>
      <c r="J331" s="1" t="str">
        <f t="shared" si="144"/>
        <v>天津泓德汽车玻璃有限公司</v>
      </c>
    </row>
    <row r="332" spans="1:10">
      <c r="A332" s="1" t="str">
        <f t="shared" si="141"/>
        <v>天津泓德汽车玻璃有限公司</v>
      </c>
      <c r="B332" s="1" t="str">
        <f>"一种炉外成型炉的分隔门改造结构"</f>
        <v>一种炉外成型炉的分隔门改造结构</v>
      </c>
      <c r="C332" s="1" t="str">
        <f t="shared" si="162"/>
        <v>实用新型</v>
      </c>
      <c r="D332" s="1" t="str">
        <f t="shared" si="163"/>
        <v>未缴年费专利权终止</v>
      </c>
      <c r="E332" s="1" t="str">
        <f>"CN201721211483.5"</f>
        <v>CN201721211483.5</v>
      </c>
      <c r="F332" s="1" t="str">
        <f t="shared" si="167"/>
        <v>2017-09-19</v>
      </c>
      <c r="G332" s="1" t="str">
        <f>"CN207347394U"</f>
        <v>CN207347394U</v>
      </c>
      <c r="H332" s="1" t="str">
        <f t="shared" ref="H332:H341" si="169">"2018-05-11"</f>
        <v>2018-05-11</v>
      </c>
      <c r="I332" s="1" t="s">
        <v>4841</v>
      </c>
      <c r="J332" s="1" t="str">
        <f t="shared" si="144"/>
        <v>天津泓德汽车玻璃有限公司</v>
      </c>
    </row>
    <row r="333" spans="1:10">
      <c r="A333" s="1" t="str">
        <f t="shared" si="141"/>
        <v>天津泓德汽车玻璃有限公司</v>
      </c>
      <c r="B333" s="1" t="str">
        <f>"一种通用型汽车玻璃光学检验可调支架"</f>
        <v>一种通用型汽车玻璃光学检验可调支架</v>
      </c>
      <c r="C333" s="1" t="str">
        <f t="shared" si="162"/>
        <v>实用新型</v>
      </c>
      <c r="D333" s="1" t="str">
        <f t="shared" si="163"/>
        <v>未缴年费专利权终止</v>
      </c>
      <c r="E333" s="1" t="str">
        <f>"CN201721207228.3"</f>
        <v>CN201721207228.3</v>
      </c>
      <c r="F333" s="1" t="str">
        <f t="shared" si="167"/>
        <v>2017-09-19</v>
      </c>
      <c r="G333" s="1" t="str">
        <f>"CN207351481U"</f>
        <v>CN207351481U</v>
      </c>
      <c r="H333" s="1" t="str">
        <f t="shared" si="169"/>
        <v>2018-05-11</v>
      </c>
      <c r="I333" s="1" t="s">
        <v>4842</v>
      </c>
      <c r="J333" s="1" t="str">
        <f t="shared" si="144"/>
        <v>天津泓德汽车玻璃有限公司</v>
      </c>
    </row>
    <row r="334" spans="1:10">
      <c r="A334" s="1" t="str">
        <f t="shared" si="141"/>
        <v>天津泓德汽车玻璃有限公司</v>
      </c>
      <c r="B334" s="1" t="str">
        <f>"一种用于炉外成型的玻璃定位装置"</f>
        <v>一种用于炉外成型的玻璃定位装置</v>
      </c>
      <c r="C334" s="1" t="str">
        <f t="shared" si="162"/>
        <v>实用新型</v>
      </c>
      <c r="D334" s="1" t="str">
        <f t="shared" si="163"/>
        <v>未缴年费专利权终止</v>
      </c>
      <c r="E334" s="1" t="str">
        <f>"CN201721207245.7"</f>
        <v>CN201721207245.7</v>
      </c>
      <c r="F334" s="1" t="str">
        <f t="shared" si="167"/>
        <v>2017-09-19</v>
      </c>
      <c r="G334" s="1" t="str">
        <f>"CN207347385U"</f>
        <v>CN207347385U</v>
      </c>
      <c r="H334" s="1" t="str">
        <f t="shared" si="169"/>
        <v>2018-05-11</v>
      </c>
      <c r="I334" s="1" t="s">
        <v>4843</v>
      </c>
      <c r="J334" s="1" t="str">
        <f t="shared" si="144"/>
        <v>天津泓德汽车玻璃有限公司</v>
      </c>
    </row>
    <row r="335" spans="1:10">
      <c r="A335" s="1" t="str">
        <f t="shared" si="141"/>
        <v>天津泓德汽车玻璃有限公司</v>
      </c>
      <c r="B335" s="1" t="str">
        <f>"一种钢化炉外玻璃捕捉器"</f>
        <v>一种钢化炉外玻璃捕捉器</v>
      </c>
      <c r="C335" s="1" t="str">
        <f t="shared" si="162"/>
        <v>实用新型</v>
      </c>
      <c r="D335" s="1" t="str">
        <f t="shared" si="163"/>
        <v>未缴年费专利权终止</v>
      </c>
      <c r="E335" s="1" t="str">
        <f>"CN201721206804.2"</f>
        <v>CN201721206804.2</v>
      </c>
      <c r="F335" s="1" t="str">
        <f t="shared" si="167"/>
        <v>2017-09-19</v>
      </c>
      <c r="G335" s="1" t="str">
        <f>"CN207347395U"</f>
        <v>CN207347395U</v>
      </c>
      <c r="H335" s="1" t="str">
        <f t="shared" si="169"/>
        <v>2018-05-11</v>
      </c>
      <c r="I335" s="1" t="s">
        <v>4844</v>
      </c>
      <c r="J335" s="1" t="str">
        <f t="shared" si="144"/>
        <v>天津泓德汽车玻璃有限公司</v>
      </c>
    </row>
    <row r="336" spans="1:10">
      <c r="A336" s="1" t="str">
        <f t="shared" ref="A336:A371" si="170">"天津泓德汽车玻璃有限公司"</f>
        <v>天津泓德汽车玻璃有限公司</v>
      </c>
      <c r="B336" s="1" t="str">
        <f>"一种炉外成型炉的高温计改造结构"</f>
        <v>一种炉外成型炉的高温计改造结构</v>
      </c>
      <c r="C336" s="1" t="str">
        <f t="shared" si="162"/>
        <v>实用新型</v>
      </c>
      <c r="D336" s="1" t="str">
        <f t="shared" si="163"/>
        <v>未缴年费专利权终止</v>
      </c>
      <c r="E336" s="1" t="str">
        <f>"CN201721206805.7"</f>
        <v>CN201721206805.7</v>
      </c>
      <c r="F336" s="1" t="str">
        <f t="shared" si="167"/>
        <v>2017-09-19</v>
      </c>
      <c r="G336" s="1" t="str">
        <f>"CN207351574U"</f>
        <v>CN207351574U</v>
      </c>
      <c r="H336" s="1" t="str">
        <f t="shared" si="169"/>
        <v>2018-05-11</v>
      </c>
      <c r="I336" s="1" t="s">
        <v>4845</v>
      </c>
      <c r="J336" s="1" t="str">
        <f t="shared" ref="J336:J371" si="171">"天津泓德汽车玻璃有限公司"</f>
        <v>天津泓德汽车玻璃有限公司</v>
      </c>
    </row>
    <row r="337" spans="1:10">
      <c r="A337" s="1" t="str">
        <f t="shared" si="170"/>
        <v>天津泓德汽车玻璃有限公司</v>
      </c>
      <c r="B337" s="1" t="str">
        <f>"一种用于压制成型前挡玻璃的附件安装装置"</f>
        <v>一种用于压制成型前挡玻璃的附件安装装置</v>
      </c>
      <c r="C337" s="1" t="str">
        <f t="shared" si="162"/>
        <v>实用新型</v>
      </c>
      <c r="D337" s="1" t="str">
        <f t="shared" si="163"/>
        <v>未缴年费专利权终止</v>
      </c>
      <c r="E337" s="1" t="str">
        <f>"CN201721207000.4"</f>
        <v>CN201721207000.4</v>
      </c>
      <c r="F337" s="1" t="str">
        <f t="shared" si="167"/>
        <v>2017-09-19</v>
      </c>
      <c r="G337" s="1" t="str">
        <f>"CN207344140U"</f>
        <v>CN207344140U</v>
      </c>
      <c r="H337" s="1" t="str">
        <f t="shared" si="169"/>
        <v>2018-05-11</v>
      </c>
      <c r="I337" s="1" t="s">
        <v>4846</v>
      </c>
      <c r="J337" s="1" t="str">
        <f t="shared" si="171"/>
        <v>天津泓德汽车玻璃有限公司</v>
      </c>
    </row>
    <row r="338" spans="1:10">
      <c r="A338" s="1" t="str">
        <f t="shared" si="170"/>
        <v>天津泓德汽车玻璃有限公司</v>
      </c>
      <c r="B338" s="1" t="str">
        <f>"一种前挡玻璃压制印刷用银浆搅拌装置"</f>
        <v>一种前挡玻璃压制印刷用银浆搅拌装置</v>
      </c>
      <c r="C338" s="1" t="str">
        <f t="shared" si="162"/>
        <v>实用新型</v>
      </c>
      <c r="D338" s="1" t="str">
        <f t="shared" si="163"/>
        <v>未缴年费专利权终止</v>
      </c>
      <c r="E338" s="1" t="str">
        <f>"CN201721214054.3"</f>
        <v>CN201721214054.3</v>
      </c>
      <c r="F338" s="1" t="str">
        <f t="shared" si="167"/>
        <v>2017-09-19</v>
      </c>
      <c r="G338" s="1" t="str">
        <f>"CN207342621U"</f>
        <v>CN207342621U</v>
      </c>
      <c r="H338" s="1" t="str">
        <f t="shared" si="169"/>
        <v>2018-05-11</v>
      </c>
      <c r="I338" s="1" t="s">
        <v>4847</v>
      </c>
      <c r="J338" s="1" t="str">
        <f t="shared" si="171"/>
        <v>天津泓德汽车玻璃有限公司</v>
      </c>
    </row>
    <row r="339" spans="1:10">
      <c r="A339" s="1" t="str">
        <f t="shared" si="170"/>
        <v>天津泓德汽车玻璃有限公司</v>
      </c>
      <c r="B339" s="1" t="str">
        <f>"一种炉外出炉光眼的改造结构"</f>
        <v>一种炉外出炉光眼的改造结构</v>
      </c>
      <c r="C339" s="1" t="str">
        <f t="shared" si="162"/>
        <v>实用新型</v>
      </c>
      <c r="D339" s="1" t="str">
        <f t="shared" si="163"/>
        <v>未缴年费专利权终止</v>
      </c>
      <c r="E339" s="1" t="str">
        <f>"CN201721202390.6"</f>
        <v>CN201721202390.6</v>
      </c>
      <c r="F339" s="1" t="str">
        <f t="shared" si="167"/>
        <v>2017-09-19</v>
      </c>
      <c r="G339" s="1" t="str">
        <f>"CN207347393U"</f>
        <v>CN207347393U</v>
      </c>
      <c r="H339" s="1" t="str">
        <f t="shared" si="169"/>
        <v>2018-05-11</v>
      </c>
      <c r="I339" s="1" t="s">
        <v>4848</v>
      </c>
      <c r="J339" s="1" t="str">
        <f t="shared" si="171"/>
        <v>天津泓德汽车玻璃有限公司</v>
      </c>
    </row>
    <row r="340" spans="1:10">
      <c r="A340" s="1" t="str">
        <f t="shared" si="170"/>
        <v>天津泓德汽车玻璃有限公司</v>
      </c>
      <c r="B340" s="1" t="str">
        <f>"一种超声波熔胶粘结钉柱的辅助装置"</f>
        <v>一种超声波熔胶粘结钉柱的辅助装置</v>
      </c>
      <c r="C340" s="1" t="str">
        <f t="shared" si="162"/>
        <v>实用新型</v>
      </c>
      <c r="D340" s="1" t="str">
        <f t="shared" si="163"/>
        <v>未缴年费专利权终止</v>
      </c>
      <c r="E340" s="1" t="str">
        <f>"CN201721211482.0"</f>
        <v>CN201721211482.0</v>
      </c>
      <c r="F340" s="1" t="str">
        <f t="shared" si="167"/>
        <v>2017-09-19</v>
      </c>
      <c r="G340" s="1" t="str">
        <f>"CN207349225U"</f>
        <v>CN207349225U</v>
      </c>
      <c r="H340" s="1" t="str">
        <f t="shared" si="169"/>
        <v>2018-05-11</v>
      </c>
      <c r="I340" s="1" t="s">
        <v>4849</v>
      </c>
      <c r="J340" s="1" t="str">
        <f t="shared" si="171"/>
        <v>天津泓德汽车玻璃有限公司</v>
      </c>
    </row>
    <row r="341" spans="1:10">
      <c r="A341" s="1" t="str">
        <f t="shared" si="170"/>
        <v>天津泓德汽车玻璃有限公司</v>
      </c>
      <c r="B341" s="1" t="str">
        <f>"一种BT连线旋转装置"</f>
        <v>一种BT连线旋转装置</v>
      </c>
      <c r="C341" s="1" t="str">
        <f t="shared" si="162"/>
        <v>实用新型</v>
      </c>
      <c r="D341" s="1" t="str">
        <f t="shared" si="163"/>
        <v>未缴年费专利权终止</v>
      </c>
      <c r="E341" s="1" t="str">
        <f>"CN201721202389.3"</f>
        <v>CN201721202389.3</v>
      </c>
      <c r="F341" s="1" t="str">
        <f t="shared" si="167"/>
        <v>2017-09-19</v>
      </c>
      <c r="G341" s="1" t="str">
        <f>"CN207346779U"</f>
        <v>CN207346779U</v>
      </c>
      <c r="H341" s="1" t="str">
        <f t="shared" si="169"/>
        <v>2018-05-11</v>
      </c>
      <c r="I341" s="1" t="s">
        <v>4850</v>
      </c>
      <c r="J341" s="1" t="str">
        <f t="shared" si="171"/>
        <v>天津泓德汽车玻璃有限公司</v>
      </c>
    </row>
    <row r="342" spans="1:10">
      <c r="A342" s="1" t="str">
        <f t="shared" si="170"/>
        <v>天津泓德汽车玻璃有限公司</v>
      </c>
      <c r="B342" s="1" t="str">
        <f>"用于压制成型前挡玻璃的附件安装装置"</f>
        <v>用于压制成型前挡玻璃的附件安装装置</v>
      </c>
      <c r="C342" s="1" t="str">
        <f>"发明公布"</f>
        <v>发明公布</v>
      </c>
      <c r="D342" s="1" t="str">
        <f>"公布驳回"</f>
        <v>公布驳回</v>
      </c>
      <c r="E342" s="1" t="str">
        <f>"CN201710852548.2"</f>
        <v>CN201710852548.2</v>
      </c>
      <c r="F342" s="1" t="str">
        <f t="shared" si="167"/>
        <v>2017-09-19</v>
      </c>
      <c r="G342" s="1" t="str">
        <f>"CN107520611A"</f>
        <v>CN107520611A</v>
      </c>
      <c r="H342" s="1" t="str">
        <f>"2017-12-29"</f>
        <v>2017-12-29</v>
      </c>
      <c r="I342" s="1" t="s">
        <v>4846</v>
      </c>
      <c r="J342" s="1" t="str">
        <f t="shared" si="171"/>
        <v>天津泓德汽车玻璃有限公司</v>
      </c>
    </row>
    <row r="343" spans="1:10">
      <c r="A343" s="1" t="str">
        <f t="shared" si="170"/>
        <v>天津泓德汽车玻璃有限公司</v>
      </c>
      <c r="B343" s="1" t="str">
        <f>"一种固化室温湿度控制系统"</f>
        <v>一种固化室温湿度控制系统</v>
      </c>
      <c r="C343" s="1" t="str">
        <f t="shared" ref="C343:C362" si="172">"实用新型"</f>
        <v>实用新型</v>
      </c>
      <c r="D343" s="1" t="str">
        <f t="shared" ref="D343:D371" si="173">"未缴年费专利权终止"</f>
        <v>未缴年费专利权终止</v>
      </c>
      <c r="E343" s="1" t="str">
        <f>"CN201621028150.4"</f>
        <v>CN201621028150.4</v>
      </c>
      <c r="F343" s="1" t="str">
        <f>"2016-08-31"</f>
        <v>2016-08-31</v>
      </c>
      <c r="G343" s="1" t="str">
        <f>"CN206541215U"</f>
        <v>CN206541215U</v>
      </c>
      <c r="H343" s="1" t="str">
        <f>"2017-10-03"</f>
        <v>2017-10-03</v>
      </c>
      <c r="I343" s="1" t="s">
        <v>4851</v>
      </c>
      <c r="J343" s="1" t="str">
        <f t="shared" si="171"/>
        <v>天津泓德汽车玻璃有限公司</v>
      </c>
    </row>
    <row r="344" spans="1:10">
      <c r="A344" s="1" t="str">
        <f t="shared" si="170"/>
        <v>天津泓德汽车玻璃有限公司</v>
      </c>
      <c r="B344" s="1" t="str">
        <f>"一种汽车玻璃通用检具架"</f>
        <v>一种汽车玻璃通用检具架</v>
      </c>
      <c r="C344" s="1" t="str">
        <f>"发明授权"</f>
        <v>发明授权</v>
      </c>
      <c r="D344" s="1" t="str">
        <f>"授权"</f>
        <v>授权</v>
      </c>
      <c r="E344" s="1" t="str">
        <f>"CN201510391865.X"</f>
        <v>CN201510391865.X</v>
      </c>
      <c r="F344" s="1" t="str">
        <f>"2015-07-06"</f>
        <v>2015-07-06</v>
      </c>
      <c r="G344" s="1" t="str">
        <f>"CN105115531B"</f>
        <v>CN105115531B</v>
      </c>
      <c r="H344" s="1" t="str">
        <f>"2017-09-19"</f>
        <v>2017-09-19</v>
      </c>
      <c r="I344" s="1" t="s">
        <v>4852</v>
      </c>
      <c r="J344" s="1" t="str">
        <f t="shared" si="171"/>
        <v>天津泓德汽车玻璃有限公司</v>
      </c>
    </row>
    <row r="345" spans="1:10">
      <c r="A345" s="1" t="str">
        <f t="shared" si="170"/>
        <v>天津泓德汽车玻璃有限公司</v>
      </c>
      <c r="B345" s="1" t="str">
        <f>"一种高速滑动轴承式鼓风机"</f>
        <v>一种高速滑动轴承式鼓风机</v>
      </c>
      <c r="C345" s="1" t="str">
        <f>"发明授权"</f>
        <v>发明授权</v>
      </c>
      <c r="D345" s="1" t="str">
        <f>"授权"</f>
        <v>授权</v>
      </c>
      <c r="E345" s="1" t="str">
        <f>"CN201510418856.5"</f>
        <v>CN201510418856.5</v>
      </c>
      <c r="F345" s="1" t="str">
        <f>"2015-07-16"</f>
        <v>2015-07-16</v>
      </c>
      <c r="G345" s="1" t="str">
        <f>"CN105179384B"</f>
        <v>CN105179384B</v>
      </c>
      <c r="H345" s="1" t="str">
        <f>"2017-06-23"</f>
        <v>2017-06-23</v>
      </c>
      <c r="I345" s="1" t="s">
        <v>4853</v>
      </c>
      <c r="J345" s="1" t="str">
        <f t="shared" si="171"/>
        <v>天津泓德汽车玻璃有限公司</v>
      </c>
    </row>
    <row r="346" spans="1:10">
      <c r="A346" s="1" t="str">
        <f t="shared" si="170"/>
        <v>天津泓德汽车玻璃有限公司</v>
      </c>
      <c r="B346" s="1" t="str">
        <f>"一种气缸串气报警防呆安装工装"</f>
        <v>一种气缸串气报警防呆安装工装</v>
      </c>
      <c r="C346" s="1" t="str">
        <f t="shared" si="172"/>
        <v>实用新型</v>
      </c>
      <c r="D346" s="1" t="str">
        <f t="shared" si="173"/>
        <v>未缴年费专利权终止</v>
      </c>
      <c r="E346" s="1" t="str">
        <f>"CN201620894482.4"</f>
        <v>CN201620894482.4</v>
      </c>
      <c r="F346" s="1" t="str">
        <f t="shared" ref="F346:F351" si="174">"2016-08-17"</f>
        <v>2016-08-17</v>
      </c>
      <c r="G346" s="1" t="str">
        <f>"CN206021035U"</f>
        <v>CN206021035U</v>
      </c>
      <c r="H346" s="1" t="str">
        <f t="shared" ref="H346:H355" si="175">"2017-03-15"</f>
        <v>2017-03-15</v>
      </c>
      <c r="I346" s="1" t="s">
        <v>4854</v>
      </c>
      <c r="J346" s="1" t="str">
        <f t="shared" si="171"/>
        <v>天津泓德汽车玻璃有限公司</v>
      </c>
    </row>
    <row r="347" spans="1:10">
      <c r="A347" s="1" t="str">
        <f t="shared" si="170"/>
        <v>天津泓德汽车玻璃有限公司</v>
      </c>
      <c r="B347" s="1" t="str">
        <f>"一种后档钢化GT炉热梭一体式支撑轮"</f>
        <v>一种后档钢化GT炉热梭一体式支撑轮</v>
      </c>
      <c r="C347" s="1" t="str">
        <f t="shared" si="172"/>
        <v>实用新型</v>
      </c>
      <c r="D347" s="1" t="str">
        <f t="shared" si="173"/>
        <v>未缴年费专利权终止</v>
      </c>
      <c r="E347" s="1" t="str">
        <f>"CN201620841495.5"</f>
        <v>CN201620841495.5</v>
      </c>
      <c r="F347" s="1" t="str">
        <f>"2016-08-04"</f>
        <v>2016-08-04</v>
      </c>
      <c r="G347" s="1" t="str">
        <f>"CN206014665U"</f>
        <v>CN206014665U</v>
      </c>
      <c r="H347" s="1" t="str">
        <f t="shared" si="175"/>
        <v>2017-03-15</v>
      </c>
      <c r="I347" s="1" t="s">
        <v>4855</v>
      </c>
      <c r="J347" s="1" t="str">
        <f t="shared" si="171"/>
        <v>天津泓德汽车玻璃有限公司</v>
      </c>
    </row>
    <row r="348" spans="1:10">
      <c r="A348" s="1" t="str">
        <f t="shared" si="170"/>
        <v>天津泓德汽车玻璃有限公司</v>
      </c>
      <c r="B348" s="1" t="str">
        <f>"一种玻璃洗涤设备自动加酸系统"</f>
        <v>一种玻璃洗涤设备自动加酸系统</v>
      </c>
      <c r="C348" s="1" t="str">
        <f t="shared" si="172"/>
        <v>实用新型</v>
      </c>
      <c r="D348" s="1" t="str">
        <f t="shared" si="173"/>
        <v>未缴年费专利权终止</v>
      </c>
      <c r="E348" s="1" t="str">
        <f>"CN201620831337.1"</f>
        <v>CN201620831337.1</v>
      </c>
      <c r="F348" s="1" t="str">
        <f t="shared" ref="F348:F353" si="176">"2016-08-03"</f>
        <v>2016-08-03</v>
      </c>
      <c r="G348" s="1" t="str">
        <f>"CN206009381U"</f>
        <v>CN206009381U</v>
      </c>
      <c r="H348" s="1" t="str">
        <f t="shared" si="175"/>
        <v>2017-03-15</v>
      </c>
      <c r="I348" s="1" t="s">
        <v>4856</v>
      </c>
      <c r="J348" s="1" t="str">
        <f t="shared" si="171"/>
        <v>天津泓德汽车玻璃有限公司</v>
      </c>
    </row>
    <row r="349" spans="1:10">
      <c r="A349" s="1" t="str">
        <f t="shared" si="170"/>
        <v>天津泓德汽车玻璃有限公司</v>
      </c>
      <c r="B349" s="1" t="str">
        <f>"一种玻璃预处理自动清粉装置"</f>
        <v>一种玻璃预处理自动清粉装置</v>
      </c>
      <c r="C349" s="1" t="str">
        <f t="shared" si="172"/>
        <v>实用新型</v>
      </c>
      <c r="D349" s="1" t="str">
        <f t="shared" si="173"/>
        <v>未缴年费专利权终止</v>
      </c>
      <c r="E349" s="1" t="str">
        <f>"CN201620832023.3"</f>
        <v>CN201620832023.3</v>
      </c>
      <c r="F349" s="1" t="str">
        <f t="shared" si="176"/>
        <v>2016-08-03</v>
      </c>
      <c r="G349" s="1" t="str">
        <f>"CN206013868U"</f>
        <v>CN206013868U</v>
      </c>
      <c r="H349" s="1" t="str">
        <f t="shared" si="175"/>
        <v>2017-03-15</v>
      </c>
      <c r="I349" s="1" t="s">
        <v>4857</v>
      </c>
      <c r="J349" s="1" t="str">
        <f t="shared" si="171"/>
        <v>天津泓德汽车玻璃有限公司</v>
      </c>
    </row>
    <row r="350" spans="1:10">
      <c r="A350" s="1" t="str">
        <f t="shared" si="170"/>
        <v>天津泓德汽车玻璃有限公司</v>
      </c>
      <c r="B350" s="1" t="str">
        <f>"一种小支架聚氨酯胶批量安装工装"</f>
        <v>一种小支架聚氨酯胶批量安装工装</v>
      </c>
      <c r="C350" s="1" t="str">
        <f t="shared" si="172"/>
        <v>实用新型</v>
      </c>
      <c r="D350" s="1" t="str">
        <f t="shared" si="173"/>
        <v>未缴年费专利权终止</v>
      </c>
      <c r="E350" s="1" t="str">
        <f>"CN201620896360.9"</f>
        <v>CN201620896360.9</v>
      </c>
      <c r="F350" s="1" t="str">
        <f t="shared" si="174"/>
        <v>2016-08-17</v>
      </c>
      <c r="G350" s="1" t="str">
        <f>"CN206017359U"</f>
        <v>CN206017359U</v>
      </c>
      <c r="H350" s="1" t="str">
        <f t="shared" si="175"/>
        <v>2017-03-15</v>
      </c>
      <c r="I350" s="1" t="s">
        <v>4858</v>
      </c>
      <c r="J350" s="1" t="str">
        <f t="shared" si="171"/>
        <v>天津泓德汽车玻璃有限公司</v>
      </c>
    </row>
    <row r="351" spans="1:10">
      <c r="A351" s="1" t="str">
        <f t="shared" si="170"/>
        <v>天津泓德汽车玻璃有限公司</v>
      </c>
      <c r="B351" s="1" t="str">
        <f>"一种玻璃清洗机循环水箱"</f>
        <v>一种玻璃清洗机循环水箱</v>
      </c>
      <c r="C351" s="1" t="str">
        <f t="shared" si="172"/>
        <v>实用新型</v>
      </c>
      <c r="D351" s="1" t="str">
        <f t="shared" si="173"/>
        <v>未缴年费专利权终止</v>
      </c>
      <c r="E351" s="1" t="str">
        <f>"CN201620896110.5"</f>
        <v>CN201620896110.5</v>
      </c>
      <c r="F351" s="1" t="str">
        <f t="shared" si="174"/>
        <v>2016-08-17</v>
      </c>
      <c r="G351" s="1" t="str">
        <f>"CN206014437U"</f>
        <v>CN206014437U</v>
      </c>
      <c r="H351" s="1" t="str">
        <f t="shared" si="175"/>
        <v>2017-03-15</v>
      </c>
      <c r="I351" s="1" t="s">
        <v>4859</v>
      </c>
      <c r="J351" s="1" t="str">
        <f t="shared" si="171"/>
        <v>天津泓德汽车玻璃有限公司</v>
      </c>
    </row>
    <row r="352" spans="1:10">
      <c r="A352" s="1" t="str">
        <f t="shared" si="170"/>
        <v>天津泓德汽车玻璃有限公司</v>
      </c>
      <c r="B352" s="1" t="str">
        <f>"一种检测光眼安装架"</f>
        <v>一种检测光眼安装架</v>
      </c>
      <c r="C352" s="1" t="str">
        <f t="shared" si="172"/>
        <v>实用新型</v>
      </c>
      <c r="D352" s="1" t="str">
        <f t="shared" si="173"/>
        <v>未缴年费专利权终止</v>
      </c>
      <c r="E352" s="1" t="str">
        <f>"CN201620832028.6"</f>
        <v>CN201620832028.6</v>
      </c>
      <c r="F352" s="1" t="str">
        <f t="shared" si="176"/>
        <v>2016-08-03</v>
      </c>
      <c r="G352" s="1" t="str">
        <f>"CN206014648U"</f>
        <v>CN206014648U</v>
      </c>
      <c r="H352" s="1" t="str">
        <f t="shared" si="175"/>
        <v>2017-03-15</v>
      </c>
      <c r="I352" s="1" t="s">
        <v>4860</v>
      </c>
      <c r="J352" s="1" t="str">
        <f t="shared" si="171"/>
        <v>天津泓德汽车玻璃有限公司</v>
      </c>
    </row>
    <row r="353" spans="1:10">
      <c r="A353" s="1" t="str">
        <f t="shared" si="170"/>
        <v>天津泓德汽车玻璃有限公司</v>
      </c>
      <c r="B353" s="1" t="str">
        <f>"一种水冷电机管道自清洁防堵塞装置"</f>
        <v>一种水冷电机管道自清洁防堵塞装置</v>
      </c>
      <c r="C353" s="1" t="str">
        <f t="shared" si="172"/>
        <v>实用新型</v>
      </c>
      <c r="D353" s="1" t="str">
        <f t="shared" si="173"/>
        <v>未缴年费专利权终止</v>
      </c>
      <c r="E353" s="1" t="str">
        <f>"CN201620831343.7"</f>
        <v>CN201620831343.7</v>
      </c>
      <c r="F353" s="1" t="str">
        <f t="shared" si="176"/>
        <v>2016-08-03</v>
      </c>
      <c r="G353" s="1" t="str">
        <f>"CN206009357U"</f>
        <v>CN206009357U</v>
      </c>
      <c r="H353" s="1" t="str">
        <f t="shared" si="175"/>
        <v>2017-03-15</v>
      </c>
      <c r="I353" s="1" t="s">
        <v>4861</v>
      </c>
      <c r="J353" s="1" t="str">
        <f t="shared" si="171"/>
        <v>天津泓德汽车玻璃有限公司</v>
      </c>
    </row>
    <row r="354" spans="1:10">
      <c r="A354" s="1" t="str">
        <f t="shared" si="170"/>
        <v>天津泓德汽车玻璃有限公司</v>
      </c>
      <c r="B354" s="1" t="str">
        <f>"一种固化室玻璃固化自动周转系统"</f>
        <v>一种固化室玻璃固化自动周转系统</v>
      </c>
      <c r="C354" s="1" t="str">
        <f t="shared" si="172"/>
        <v>实用新型</v>
      </c>
      <c r="D354" s="1" t="str">
        <f t="shared" si="173"/>
        <v>未缴年费专利权终止</v>
      </c>
      <c r="E354" s="1" t="str">
        <f>"CN201620882646.1"</f>
        <v>CN201620882646.1</v>
      </c>
      <c r="F354" s="1" t="str">
        <f>"2016-08-15"</f>
        <v>2016-08-15</v>
      </c>
      <c r="G354" s="1" t="str">
        <f>"CN206011510U"</f>
        <v>CN206011510U</v>
      </c>
      <c r="H354" s="1" t="str">
        <f t="shared" si="175"/>
        <v>2017-03-15</v>
      </c>
      <c r="I354" s="1" t="s">
        <v>4851</v>
      </c>
      <c r="J354" s="1" t="str">
        <f t="shared" si="171"/>
        <v>天津泓德汽车玻璃有限公司</v>
      </c>
    </row>
    <row r="355" spans="1:10">
      <c r="A355" s="1" t="str">
        <f t="shared" si="170"/>
        <v>天津泓德汽车玻璃有限公司</v>
      </c>
      <c r="B355" s="1" t="str">
        <f>"一种解决汽车包边玻璃油墨剥落的玻璃结构"</f>
        <v>一种解决汽车包边玻璃油墨剥落的玻璃结构</v>
      </c>
      <c r="C355" s="1" t="str">
        <f t="shared" si="172"/>
        <v>实用新型</v>
      </c>
      <c r="D355" s="1" t="str">
        <f t="shared" si="173"/>
        <v>未缴年费专利权终止</v>
      </c>
      <c r="E355" s="1" t="str">
        <f>"CN201620896368.5"</f>
        <v>CN201620896368.5</v>
      </c>
      <c r="F355" s="1" t="str">
        <f>"2016-08-17"</f>
        <v>2016-08-17</v>
      </c>
      <c r="G355" s="1" t="str">
        <f>"CN206012284U"</f>
        <v>CN206012284U</v>
      </c>
      <c r="H355" s="1" t="str">
        <f t="shared" si="175"/>
        <v>2017-03-15</v>
      </c>
      <c r="I355" s="1" t="s">
        <v>4862</v>
      </c>
      <c r="J355" s="1" t="str">
        <f t="shared" si="171"/>
        <v>天津泓德汽车玻璃有限公司</v>
      </c>
    </row>
    <row r="356" spans="1:10">
      <c r="A356" s="1" t="str">
        <f t="shared" si="170"/>
        <v>天津泓德汽车玻璃有限公司</v>
      </c>
      <c r="B356" s="1" t="str">
        <f>"一种玻璃清洗机传输辊道安装底座"</f>
        <v>一种玻璃清洗机传输辊道安装底座</v>
      </c>
      <c r="C356" s="1" t="str">
        <f t="shared" si="172"/>
        <v>实用新型</v>
      </c>
      <c r="D356" s="1" t="str">
        <f t="shared" si="173"/>
        <v>未缴年费专利权终止</v>
      </c>
      <c r="E356" s="1" t="str">
        <f>"CN201520498722.4"</f>
        <v>CN201520498722.4</v>
      </c>
      <c r="F356" s="1" t="str">
        <f t="shared" ref="F356:F360" si="177">"2015-07-10"</f>
        <v>2015-07-10</v>
      </c>
      <c r="G356" s="1" t="str">
        <f>"CN204980000U"</f>
        <v>CN204980000U</v>
      </c>
      <c r="H356" s="1" t="str">
        <f>"2016-01-20"</f>
        <v>2016-01-20</v>
      </c>
      <c r="I356" s="1" t="s">
        <v>4863</v>
      </c>
      <c r="J356" s="1" t="str">
        <f t="shared" si="171"/>
        <v>天津泓德汽车玻璃有限公司</v>
      </c>
    </row>
    <row r="357" spans="1:10">
      <c r="A357" s="1" t="str">
        <f t="shared" si="170"/>
        <v>天津泓德汽车玻璃有限公司</v>
      </c>
      <c r="B357" s="1" t="str">
        <f>"一种烘干机调偏机构"</f>
        <v>一种烘干机调偏机构</v>
      </c>
      <c r="C357" s="1" t="str">
        <f t="shared" si="172"/>
        <v>实用新型</v>
      </c>
      <c r="D357" s="1" t="str">
        <f t="shared" si="173"/>
        <v>未缴年费专利权终止</v>
      </c>
      <c r="E357" s="1" t="str">
        <f>"CN201520498704.6"</f>
        <v>CN201520498704.6</v>
      </c>
      <c r="F357" s="1" t="str">
        <f t="shared" si="177"/>
        <v>2015-07-10</v>
      </c>
      <c r="G357" s="1" t="str">
        <f>"CN204847110U"</f>
        <v>CN204847110U</v>
      </c>
      <c r="H357" s="1" t="str">
        <f>"2015-12-09"</f>
        <v>2015-12-09</v>
      </c>
      <c r="I357" s="1" t="str">
        <f>"潘金虎"</f>
        <v>潘金虎</v>
      </c>
      <c r="J357" s="1" t="str">
        <f t="shared" si="171"/>
        <v>天津泓德汽车玻璃有限公司</v>
      </c>
    </row>
    <row r="358" spans="1:10">
      <c r="A358" s="1" t="str">
        <f t="shared" si="170"/>
        <v>天津泓德汽车玻璃有限公司</v>
      </c>
      <c r="B358" s="1" t="str">
        <f>"一种锁紧车后侧窗玻璃的金属钉"</f>
        <v>一种锁紧车后侧窗玻璃的金属钉</v>
      </c>
      <c r="C358" s="1" t="str">
        <f t="shared" si="172"/>
        <v>实用新型</v>
      </c>
      <c r="D358" s="1" t="str">
        <f t="shared" si="173"/>
        <v>未缴年费专利权终止</v>
      </c>
      <c r="E358" s="1" t="str">
        <f>"CN201520498799.1"</f>
        <v>CN201520498799.1</v>
      </c>
      <c r="F358" s="1" t="str">
        <f t="shared" si="177"/>
        <v>2015-07-10</v>
      </c>
      <c r="G358" s="1" t="str">
        <f>"CN204828194U"</f>
        <v>CN204828194U</v>
      </c>
      <c r="H358" s="1" t="str">
        <f t="shared" ref="H358:H362" si="178">"2015-12-02"</f>
        <v>2015-12-02</v>
      </c>
      <c r="I358" s="1" t="s">
        <v>4864</v>
      </c>
      <c r="J358" s="1" t="str">
        <f t="shared" si="171"/>
        <v>天津泓德汽车玻璃有限公司</v>
      </c>
    </row>
    <row r="359" spans="1:10">
      <c r="A359" s="1" t="str">
        <f t="shared" si="170"/>
        <v>天津泓德汽车玻璃有限公司</v>
      </c>
      <c r="B359" s="1" t="str">
        <f>"一种多辊道钢化成型机"</f>
        <v>一种多辊道钢化成型机</v>
      </c>
      <c r="C359" s="1" t="str">
        <f t="shared" si="172"/>
        <v>实用新型</v>
      </c>
      <c r="D359" s="1" t="str">
        <f t="shared" si="173"/>
        <v>未缴年费专利权终止</v>
      </c>
      <c r="E359" s="1" t="str">
        <f>"CN201520498740.2"</f>
        <v>CN201520498740.2</v>
      </c>
      <c r="F359" s="1" t="str">
        <f t="shared" si="177"/>
        <v>2015-07-10</v>
      </c>
      <c r="G359" s="1" t="str">
        <f>"CN204824595U"</f>
        <v>CN204824595U</v>
      </c>
      <c r="H359" s="1" t="str">
        <f t="shared" si="178"/>
        <v>2015-12-02</v>
      </c>
      <c r="I359" s="1" t="str">
        <f>"马雄飞"</f>
        <v>马雄飞</v>
      </c>
      <c r="J359" s="1" t="str">
        <f t="shared" si="171"/>
        <v>天津泓德汽车玻璃有限公司</v>
      </c>
    </row>
    <row r="360" spans="1:10">
      <c r="A360" s="1" t="str">
        <f t="shared" si="170"/>
        <v>天津泓德汽车玻璃有限公司</v>
      </c>
      <c r="B360" s="1" t="str">
        <f>"一种汽车车窗亮饰条安装工装"</f>
        <v>一种汽车车窗亮饰条安装工装</v>
      </c>
      <c r="C360" s="1" t="str">
        <f t="shared" si="172"/>
        <v>实用新型</v>
      </c>
      <c r="D360" s="1" t="str">
        <f t="shared" si="173"/>
        <v>未缴年费专利权终止</v>
      </c>
      <c r="E360" s="1" t="str">
        <f>"CN201520498962.4"</f>
        <v>CN201520498962.4</v>
      </c>
      <c r="F360" s="1" t="str">
        <f t="shared" si="177"/>
        <v>2015-07-10</v>
      </c>
      <c r="G360" s="1" t="str">
        <f>"CN204828170U"</f>
        <v>CN204828170U</v>
      </c>
      <c r="H360" s="1" t="str">
        <f t="shared" si="178"/>
        <v>2015-12-02</v>
      </c>
      <c r="I360" s="1" t="s">
        <v>4865</v>
      </c>
      <c r="J360" s="1" t="str">
        <f t="shared" si="171"/>
        <v>天津泓德汽车玻璃有限公司</v>
      </c>
    </row>
    <row r="361" spans="1:10">
      <c r="A361" s="1" t="str">
        <f t="shared" si="170"/>
        <v>天津泓德汽车玻璃有限公司</v>
      </c>
      <c r="B361" s="1" t="str">
        <f>"一种玻璃磨边喷水冷却装置"</f>
        <v>一种玻璃磨边喷水冷却装置</v>
      </c>
      <c r="C361" s="1" t="str">
        <f t="shared" si="172"/>
        <v>实用新型</v>
      </c>
      <c r="D361" s="1" t="str">
        <f t="shared" si="173"/>
        <v>未缴年费专利权终止</v>
      </c>
      <c r="E361" s="1" t="str">
        <f>"CN201520481343.4"</f>
        <v>CN201520481343.4</v>
      </c>
      <c r="F361" s="1" t="str">
        <f>"2015-07-06"</f>
        <v>2015-07-06</v>
      </c>
      <c r="G361" s="1" t="str">
        <f>"CN204819174U"</f>
        <v>CN204819174U</v>
      </c>
      <c r="H361" s="1" t="str">
        <f t="shared" si="178"/>
        <v>2015-12-02</v>
      </c>
      <c r="I361" s="1" t="str">
        <f>"张德智"</f>
        <v>张德智</v>
      </c>
      <c r="J361" s="1" t="str">
        <f t="shared" si="171"/>
        <v>天津泓德汽车玻璃有限公司</v>
      </c>
    </row>
    <row r="362" spans="1:10">
      <c r="A362" s="1" t="str">
        <f t="shared" si="170"/>
        <v>天津泓德汽车玻璃有限公司</v>
      </c>
      <c r="B362" s="1" t="str">
        <f>"一种导向顶杯"</f>
        <v>一种导向顶杯</v>
      </c>
      <c r="C362" s="1" t="str">
        <f t="shared" si="172"/>
        <v>实用新型</v>
      </c>
      <c r="D362" s="1" t="str">
        <f t="shared" si="173"/>
        <v>未缴年费专利权终止</v>
      </c>
      <c r="E362" s="1" t="str">
        <f>"CN201520498737.0"</f>
        <v>CN201520498737.0</v>
      </c>
      <c r="F362" s="1" t="str">
        <f>"2015-07-10"</f>
        <v>2015-07-10</v>
      </c>
      <c r="G362" s="1" t="str">
        <f>"CN204824594U"</f>
        <v>CN204824594U</v>
      </c>
      <c r="H362" s="1" t="str">
        <f t="shared" si="178"/>
        <v>2015-12-02</v>
      </c>
      <c r="I362" s="1" t="str">
        <f>"冷宏宝"</f>
        <v>冷宏宝</v>
      </c>
      <c r="J362" s="1" t="str">
        <f t="shared" si="171"/>
        <v>天津泓德汽车玻璃有限公司</v>
      </c>
    </row>
    <row r="363" spans="1:10">
      <c r="A363" s="1" t="str">
        <f t="shared" si="170"/>
        <v>天津泓德汽车玻璃有限公司</v>
      </c>
      <c r="B363" s="1" t="str">
        <f>"去离子水自动更换装置"</f>
        <v>去离子水自动更换装置</v>
      </c>
      <c r="C363" s="1" t="str">
        <f>"发明授权"</f>
        <v>发明授权</v>
      </c>
      <c r="D363" s="1" t="str">
        <f t="shared" si="173"/>
        <v>未缴年费专利权终止</v>
      </c>
      <c r="E363" s="1" t="str">
        <f>"CN201310199728.7"</f>
        <v>CN201310199728.7</v>
      </c>
      <c r="F363" s="1" t="str">
        <f>"2013-05-27"</f>
        <v>2013-05-27</v>
      </c>
      <c r="G363" s="1" t="str">
        <f>"CN103268110B"</f>
        <v>CN103268110B</v>
      </c>
      <c r="H363" s="1" t="str">
        <f>"2015-08-26"</f>
        <v>2015-08-26</v>
      </c>
      <c r="I363" s="1" t="s">
        <v>4866</v>
      </c>
      <c r="J363" s="1" t="str">
        <f t="shared" si="171"/>
        <v>天津泓德汽车玻璃有限公司</v>
      </c>
    </row>
    <row r="364" spans="1:10">
      <c r="A364" s="1" t="str">
        <f t="shared" si="170"/>
        <v>天津泓德汽车玻璃有限公司</v>
      </c>
      <c r="B364" s="1" t="str">
        <f>"一种玻璃球面检测装置"</f>
        <v>一种玻璃球面检测装置</v>
      </c>
      <c r="C364" s="1" t="str">
        <f t="shared" ref="C364:C383" si="179">"实用新型"</f>
        <v>实用新型</v>
      </c>
      <c r="D364" s="1" t="str">
        <f t="shared" si="173"/>
        <v>未缴年费专利权终止</v>
      </c>
      <c r="E364" s="1" t="str">
        <f>"CN201420420327.X"</f>
        <v>CN201420420327.X</v>
      </c>
      <c r="F364" s="1" t="str">
        <f t="shared" ref="F364:F370" si="180">"2014-07-28"</f>
        <v>2014-07-28</v>
      </c>
      <c r="G364" s="1" t="str">
        <f>"CN204085472U"</f>
        <v>CN204085472U</v>
      </c>
      <c r="H364" s="1" t="str">
        <f>"2015-01-07"</f>
        <v>2015-01-07</v>
      </c>
      <c r="I364" s="1" t="s">
        <v>4867</v>
      </c>
      <c r="J364" s="1" t="str">
        <f t="shared" si="171"/>
        <v>天津泓德汽车玻璃有限公司</v>
      </c>
    </row>
    <row r="365" spans="1:10">
      <c r="A365" s="1" t="str">
        <f t="shared" si="170"/>
        <v>天津泓德汽车玻璃有限公司</v>
      </c>
      <c r="B365" s="1" t="str">
        <f>"一种汽车挡风玻璃的成形模具"</f>
        <v>一种汽车挡风玻璃的成形模具</v>
      </c>
      <c r="C365" s="1" t="str">
        <f t="shared" si="179"/>
        <v>实用新型</v>
      </c>
      <c r="D365" s="1" t="str">
        <f t="shared" si="173"/>
        <v>未缴年费专利权终止</v>
      </c>
      <c r="E365" s="1" t="str">
        <f>"CN201420420194.6"</f>
        <v>CN201420420194.6</v>
      </c>
      <c r="F365" s="1" t="str">
        <f t="shared" si="180"/>
        <v>2014-07-28</v>
      </c>
      <c r="G365" s="1" t="str">
        <f>"CN204022659U"</f>
        <v>CN204022659U</v>
      </c>
      <c r="H365" s="1" t="str">
        <f t="shared" ref="H365:H370" si="181">"2014-12-17"</f>
        <v>2014-12-17</v>
      </c>
      <c r="I365" s="1" t="s">
        <v>4867</v>
      </c>
      <c r="J365" s="1" t="str">
        <f t="shared" si="171"/>
        <v>天津泓德汽车玻璃有限公司</v>
      </c>
    </row>
    <row r="366" spans="1:10">
      <c r="A366" s="1" t="str">
        <f t="shared" si="170"/>
        <v>天津泓德汽车玻璃有限公司</v>
      </c>
      <c r="B366" s="1" t="str">
        <f>"一种自动绷网机"</f>
        <v>一种自动绷网机</v>
      </c>
      <c r="C366" s="1" t="str">
        <f t="shared" si="179"/>
        <v>实用新型</v>
      </c>
      <c r="D366" s="1" t="str">
        <f t="shared" si="173"/>
        <v>未缴年费专利权终止</v>
      </c>
      <c r="E366" s="1" t="str">
        <f>"CN201420422524.5"</f>
        <v>CN201420422524.5</v>
      </c>
      <c r="F366" s="1" t="str">
        <f>"2014-07-29"</f>
        <v>2014-07-29</v>
      </c>
      <c r="G366" s="1" t="str">
        <f>"CN204020196U"</f>
        <v>CN204020196U</v>
      </c>
      <c r="H366" s="1" t="str">
        <f t="shared" si="181"/>
        <v>2014-12-17</v>
      </c>
      <c r="I366" s="1" t="s">
        <v>4868</v>
      </c>
      <c r="J366" s="1" t="str">
        <f t="shared" si="171"/>
        <v>天津泓德汽车玻璃有限公司</v>
      </c>
    </row>
    <row r="367" spans="1:10">
      <c r="A367" s="1" t="str">
        <f t="shared" si="170"/>
        <v>天津泓德汽车玻璃有限公司</v>
      </c>
      <c r="B367" s="1" t="str">
        <f>"一种用于测量面差的百分表基座"</f>
        <v>一种用于测量面差的百分表基座</v>
      </c>
      <c r="C367" s="1" t="str">
        <f t="shared" si="179"/>
        <v>实用新型</v>
      </c>
      <c r="D367" s="1" t="str">
        <f t="shared" si="173"/>
        <v>未缴年费专利权终止</v>
      </c>
      <c r="E367" s="1" t="str">
        <f>"CN201420421063.X"</f>
        <v>CN201420421063.X</v>
      </c>
      <c r="F367" s="1" t="str">
        <f>"2014-07-29"</f>
        <v>2014-07-29</v>
      </c>
      <c r="G367" s="1" t="str">
        <f>"CN204027468U"</f>
        <v>CN204027468U</v>
      </c>
      <c r="H367" s="1" t="str">
        <f t="shared" si="181"/>
        <v>2014-12-17</v>
      </c>
      <c r="I367" s="1" t="s">
        <v>4869</v>
      </c>
      <c r="J367" s="1" t="str">
        <f t="shared" si="171"/>
        <v>天津泓德汽车玻璃有限公司</v>
      </c>
    </row>
    <row r="368" spans="1:10">
      <c r="A368" s="1" t="str">
        <f t="shared" si="170"/>
        <v>天津泓德汽车玻璃有限公司</v>
      </c>
      <c r="B368" s="1" t="str">
        <f>"一种玻璃打胶装置"</f>
        <v>一种玻璃打胶装置</v>
      </c>
      <c r="C368" s="1" t="str">
        <f t="shared" si="179"/>
        <v>实用新型</v>
      </c>
      <c r="D368" s="1" t="str">
        <f t="shared" si="173"/>
        <v>未缴年费专利权终止</v>
      </c>
      <c r="E368" s="1" t="str">
        <f>"CN201420420254.4"</f>
        <v>CN201420420254.4</v>
      </c>
      <c r="F368" s="1" t="str">
        <f t="shared" si="180"/>
        <v>2014-07-28</v>
      </c>
      <c r="G368" s="1" t="str">
        <f>"CN204018131U"</f>
        <v>CN204018131U</v>
      </c>
      <c r="H368" s="1" t="str">
        <f t="shared" si="181"/>
        <v>2014-12-17</v>
      </c>
      <c r="I368" s="1" t="s">
        <v>4870</v>
      </c>
      <c r="J368" s="1" t="str">
        <f t="shared" si="171"/>
        <v>天津泓德汽车玻璃有限公司</v>
      </c>
    </row>
    <row r="369" spans="1:10">
      <c r="A369" s="1" t="str">
        <f t="shared" si="170"/>
        <v>天津泓德汽车玻璃有限公司</v>
      </c>
      <c r="B369" s="1" t="str">
        <f>"一种脱模剂循环供料系统"</f>
        <v>一种脱模剂循环供料系统</v>
      </c>
      <c r="C369" s="1" t="str">
        <f t="shared" si="179"/>
        <v>实用新型</v>
      </c>
      <c r="D369" s="1" t="str">
        <f t="shared" si="173"/>
        <v>未缴年费专利权终止</v>
      </c>
      <c r="E369" s="1" t="str">
        <f>"CN201420420756.7"</f>
        <v>CN201420420756.7</v>
      </c>
      <c r="F369" s="1" t="str">
        <f t="shared" si="180"/>
        <v>2014-07-28</v>
      </c>
      <c r="G369" s="1" t="str">
        <f>"CN204021932U"</f>
        <v>CN204021932U</v>
      </c>
      <c r="H369" s="1" t="str">
        <f t="shared" si="181"/>
        <v>2014-12-17</v>
      </c>
      <c r="I369" s="1" t="s">
        <v>4871</v>
      </c>
      <c r="J369" s="1" t="str">
        <f t="shared" si="171"/>
        <v>天津泓德汽车玻璃有限公司</v>
      </c>
    </row>
    <row r="370" spans="1:10">
      <c r="A370" s="1" t="str">
        <f t="shared" si="170"/>
        <v>天津泓德汽车玻璃有限公司</v>
      </c>
      <c r="B370" s="1" t="str">
        <f>"一种包装连接自动化上片台"</f>
        <v>一种包装连接自动化上片台</v>
      </c>
      <c r="C370" s="1" t="str">
        <f t="shared" si="179"/>
        <v>实用新型</v>
      </c>
      <c r="D370" s="1" t="str">
        <f t="shared" si="173"/>
        <v>未缴年费专利权终止</v>
      </c>
      <c r="E370" s="1" t="str">
        <f>"CN201420419533.9"</f>
        <v>CN201420419533.9</v>
      </c>
      <c r="F370" s="1" t="str">
        <f t="shared" si="180"/>
        <v>2014-07-28</v>
      </c>
      <c r="G370" s="1" t="str">
        <f>"CN204021912U"</f>
        <v>CN204021912U</v>
      </c>
      <c r="H370" s="1" t="str">
        <f t="shared" si="181"/>
        <v>2014-12-17</v>
      </c>
      <c r="I370" s="1" t="s">
        <v>4867</v>
      </c>
      <c r="J370" s="1" t="str">
        <f t="shared" si="171"/>
        <v>天津泓德汽车玻璃有限公司</v>
      </c>
    </row>
    <row r="371" spans="1:10">
      <c r="A371" s="1" t="str">
        <f t="shared" si="170"/>
        <v>天津泓德汽车玻璃有限公司</v>
      </c>
      <c r="B371" s="1" t="str">
        <f>"一种坂东防撞盘"</f>
        <v>一种坂东防撞盘</v>
      </c>
      <c r="C371" s="1" t="str">
        <f t="shared" si="179"/>
        <v>实用新型</v>
      </c>
      <c r="D371" s="1" t="str">
        <f t="shared" si="173"/>
        <v>未缴年费专利权终止</v>
      </c>
      <c r="E371" s="1" t="str">
        <f>"CN201320293112.1"</f>
        <v>CN201320293112.1</v>
      </c>
      <c r="F371" s="1" t="str">
        <f>"2013-05-27"</f>
        <v>2013-05-27</v>
      </c>
      <c r="G371" s="1" t="str">
        <f>"CN203343891U"</f>
        <v>CN203343891U</v>
      </c>
      <c r="H371" s="1" t="str">
        <f>"2013-12-18"</f>
        <v>2013-12-18</v>
      </c>
      <c r="I371" s="1" t="s">
        <v>4872</v>
      </c>
      <c r="J371" s="1" t="str">
        <f t="shared" si="171"/>
        <v>天津泓德汽车玻璃有限公司</v>
      </c>
    </row>
    <row r="372" spans="1:10">
      <c r="A372" s="1" t="str">
        <f t="shared" ref="A372:A435" si="182">"天津惠德汽车进气系统股份有限公司"</f>
        <v>天津惠德汽车进气系统股份有限公司</v>
      </c>
      <c r="B372" s="1" t="str">
        <f>"一种V型双缸发动机增程器"</f>
        <v>一种V型双缸发动机增程器</v>
      </c>
      <c r="C372" s="1" t="str">
        <f t="shared" si="179"/>
        <v>实用新型</v>
      </c>
      <c r="D372" s="1" t="str">
        <f>"授权"</f>
        <v>授权</v>
      </c>
      <c r="E372" s="1" t="str">
        <f>"CN202022657655.X"</f>
        <v>CN202022657655.X</v>
      </c>
      <c r="F372" s="1" t="str">
        <f>"2020-11-17"</f>
        <v>2020-11-17</v>
      </c>
      <c r="G372" s="1" t="str">
        <f>"CN213684318U"</f>
        <v>CN213684318U</v>
      </c>
      <c r="H372" s="1" t="str">
        <f>"2021-07-13"</f>
        <v>2021-07-13</v>
      </c>
      <c r="I372" s="1" t="str">
        <f t="shared" ref="I372:I435" si="183">"刘德新"</f>
        <v>刘德新</v>
      </c>
      <c r="J372" s="1" t="str">
        <f t="shared" ref="J372:J405" si="184">"天津惠德汽车进气系统股份有限公司"</f>
        <v>天津惠德汽车进气系统股份有限公司</v>
      </c>
    </row>
    <row r="373" spans="1:10">
      <c r="A373" s="1" t="str">
        <f t="shared" si="182"/>
        <v>天津惠德汽车进气系统股份有限公司</v>
      </c>
      <c r="B373" s="1" t="str">
        <f>"一种柴油压气机塑料消声器"</f>
        <v>一种柴油压气机塑料消声器</v>
      </c>
      <c r="C373" s="1" t="str">
        <f t="shared" si="179"/>
        <v>实用新型</v>
      </c>
      <c r="D373" s="1" t="str">
        <f>"授权"</f>
        <v>授权</v>
      </c>
      <c r="E373" s="1" t="str">
        <f>"CN202022657700.1"</f>
        <v>CN202022657700.1</v>
      </c>
      <c r="F373" s="1" t="str">
        <f>"2020-11-17"</f>
        <v>2020-11-17</v>
      </c>
      <c r="G373" s="1" t="str">
        <f>"CN213684283U"</f>
        <v>CN213684283U</v>
      </c>
      <c r="H373" s="1" t="str">
        <f>"2021-07-13"</f>
        <v>2021-07-13</v>
      </c>
      <c r="I373" s="1" t="str">
        <f t="shared" si="183"/>
        <v>刘德新</v>
      </c>
      <c r="J373" s="1" t="str">
        <f t="shared" si="184"/>
        <v>天津惠德汽车进气系统股份有限公司</v>
      </c>
    </row>
    <row r="374" spans="1:10">
      <c r="A374" s="1" t="str">
        <f t="shared" si="182"/>
        <v>天津惠德汽车进气系统股份有限公司</v>
      </c>
      <c r="B374" s="1" t="str">
        <f>"一种汽油机塑料进气歧管"</f>
        <v>一种汽油机塑料进气歧管</v>
      </c>
      <c r="C374" s="1" t="str">
        <f t="shared" si="179"/>
        <v>实用新型</v>
      </c>
      <c r="D374" s="1" t="str">
        <f t="shared" ref="D374:D383" si="185">"未缴年费专利权终止"</f>
        <v>未缴年费专利权终止</v>
      </c>
      <c r="E374" s="1" t="str">
        <f>"CN201922025783.X"</f>
        <v>CN201922025783.X</v>
      </c>
      <c r="F374" s="1" t="str">
        <f>"2019-11-21"</f>
        <v>2019-11-21</v>
      </c>
      <c r="G374" s="1" t="str">
        <f>"CN211422804U"</f>
        <v>CN211422804U</v>
      </c>
      <c r="H374" s="1" t="str">
        <f>"2020-09-04"</f>
        <v>2020-09-04</v>
      </c>
      <c r="I374" s="1" t="str">
        <f t="shared" si="183"/>
        <v>刘德新</v>
      </c>
      <c r="J374" s="1" t="str">
        <f t="shared" si="184"/>
        <v>天津惠德汽车进气系统股份有限公司</v>
      </c>
    </row>
    <row r="375" spans="1:10">
      <c r="A375" s="1" t="str">
        <f t="shared" si="182"/>
        <v>天津惠德汽车进气系统股份有限公司</v>
      </c>
      <c r="B375" s="1" t="str">
        <f>"一种塑料气体单向阀"</f>
        <v>一种塑料气体单向阀</v>
      </c>
      <c r="C375" s="1" t="str">
        <f t="shared" si="179"/>
        <v>实用新型</v>
      </c>
      <c r="D375" s="1" t="str">
        <f t="shared" si="185"/>
        <v>未缴年费专利权终止</v>
      </c>
      <c r="E375" s="1" t="str">
        <f>"CN201921084127.0"</f>
        <v>CN201921084127.0</v>
      </c>
      <c r="F375" s="1" t="str">
        <f t="shared" ref="F375:F377" si="186">"2019-07-11"</f>
        <v>2019-07-11</v>
      </c>
      <c r="G375" s="1" t="str">
        <f>"CN210770443U"</f>
        <v>CN210770443U</v>
      </c>
      <c r="H375" s="1" t="str">
        <f>"2020-06-16"</f>
        <v>2020-06-16</v>
      </c>
      <c r="I375" s="1" t="str">
        <f t="shared" si="183"/>
        <v>刘德新</v>
      </c>
      <c r="J375" s="1" t="str">
        <f t="shared" si="184"/>
        <v>天津惠德汽车进气系统股份有限公司</v>
      </c>
    </row>
    <row r="376" spans="1:10">
      <c r="A376" s="1" t="str">
        <f t="shared" si="182"/>
        <v>天津惠德汽车进气系统股份有限公司</v>
      </c>
      <c r="B376" s="1" t="str">
        <f>"一种外挂式增程器"</f>
        <v>一种外挂式增程器</v>
      </c>
      <c r="C376" s="1" t="str">
        <f t="shared" si="179"/>
        <v>实用新型</v>
      </c>
      <c r="D376" s="1" t="str">
        <f t="shared" si="185"/>
        <v>未缴年费专利权终止</v>
      </c>
      <c r="E376" s="1" t="str">
        <f>"CN201921085681.0"</f>
        <v>CN201921085681.0</v>
      </c>
      <c r="F376" s="1" t="str">
        <f t="shared" si="186"/>
        <v>2019-07-11</v>
      </c>
      <c r="G376" s="1" t="str">
        <f>"CN210680414U"</f>
        <v>CN210680414U</v>
      </c>
      <c r="H376" s="1" t="str">
        <f>"2020-06-05"</f>
        <v>2020-06-05</v>
      </c>
      <c r="I376" s="1" t="str">
        <f t="shared" si="183"/>
        <v>刘德新</v>
      </c>
      <c r="J376" s="1" t="str">
        <f t="shared" si="184"/>
        <v>天津惠德汽车进气系统股份有限公司</v>
      </c>
    </row>
    <row r="377" spans="1:10">
      <c r="A377" s="1" t="str">
        <f t="shared" si="182"/>
        <v>天津惠德汽车进气系统股份有限公司</v>
      </c>
      <c r="B377" s="1" t="str">
        <f>"一种进气歧管的旋转结构"</f>
        <v>一种进气歧管的旋转结构</v>
      </c>
      <c r="C377" s="1" t="str">
        <f t="shared" si="179"/>
        <v>实用新型</v>
      </c>
      <c r="D377" s="1" t="str">
        <f t="shared" si="185"/>
        <v>未缴年费专利权终止</v>
      </c>
      <c r="E377" s="1" t="str">
        <f>"CN201921084132.1"</f>
        <v>CN201921084132.1</v>
      </c>
      <c r="F377" s="1" t="str">
        <f t="shared" si="186"/>
        <v>2019-07-11</v>
      </c>
      <c r="G377" s="1" t="str">
        <f>"CN210422817U"</f>
        <v>CN210422817U</v>
      </c>
      <c r="H377" s="1" t="str">
        <f>"2020-04-28"</f>
        <v>2020-04-28</v>
      </c>
      <c r="I377" s="1" t="str">
        <f t="shared" si="183"/>
        <v>刘德新</v>
      </c>
      <c r="J377" s="1" t="str">
        <f t="shared" si="184"/>
        <v>天津惠德汽车进气系统股份有限公司</v>
      </c>
    </row>
    <row r="378" spans="1:10">
      <c r="A378" s="1" t="str">
        <f t="shared" si="182"/>
        <v>天津惠德汽车进气系统股份有限公司</v>
      </c>
      <c r="B378" s="1" t="str">
        <f>"一种航模发动机增程器"</f>
        <v>一种航模发动机增程器</v>
      </c>
      <c r="C378" s="1" t="str">
        <f t="shared" si="179"/>
        <v>实用新型</v>
      </c>
      <c r="D378" s="1" t="str">
        <f t="shared" si="185"/>
        <v>未缴年费专利权终止</v>
      </c>
      <c r="E378" s="1" t="str">
        <f>"CN201822017713.5"</f>
        <v>CN201822017713.5</v>
      </c>
      <c r="F378" s="1" t="str">
        <f t="shared" ref="F378:F381" si="187">"2018-11-30"</f>
        <v>2018-11-30</v>
      </c>
      <c r="G378" s="1" t="str">
        <f>"CN209818168U"</f>
        <v>CN209818168U</v>
      </c>
      <c r="H378" s="1" t="str">
        <f>"2019-12-20"</f>
        <v>2019-12-20</v>
      </c>
      <c r="I378" s="1" t="str">
        <f t="shared" si="183"/>
        <v>刘德新</v>
      </c>
      <c r="J378" s="1" t="str">
        <f t="shared" si="184"/>
        <v>天津惠德汽车进气系统股份有限公司</v>
      </c>
    </row>
    <row r="379" spans="1:10">
      <c r="A379" s="1" t="str">
        <f t="shared" si="182"/>
        <v>天津惠德汽车进气系统股份有限公司</v>
      </c>
      <c r="B379" s="1" t="str">
        <f>"一种可处理进气余热的进气歧管"</f>
        <v>一种可处理进气余热的进气歧管</v>
      </c>
      <c r="C379" s="1" t="str">
        <f t="shared" si="179"/>
        <v>实用新型</v>
      </c>
      <c r="D379" s="1" t="str">
        <f t="shared" si="185"/>
        <v>未缴年费专利权终止</v>
      </c>
      <c r="E379" s="1" t="str">
        <f>"CN201821991901.1"</f>
        <v>CN201821991901.1</v>
      </c>
      <c r="F379" s="1" t="str">
        <f t="shared" ref="F379:F384" si="188">"2018-11-28"</f>
        <v>2018-11-28</v>
      </c>
      <c r="G379" s="1" t="str">
        <f>"CN209228502U"</f>
        <v>CN209228502U</v>
      </c>
      <c r="H379" s="1" t="str">
        <f t="shared" ref="H379:H383" si="189">"2019-08-09"</f>
        <v>2019-08-09</v>
      </c>
      <c r="I379" s="1" t="str">
        <f t="shared" si="183"/>
        <v>刘德新</v>
      </c>
      <c r="J379" s="1" t="str">
        <f t="shared" si="184"/>
        <v>天津惠德汽车进气系统股份有限公司</v>
      </c>
    </row>
    <row r="380" spans="1:10">
      <c r="A380" s="1" t="str">
        <f t="shared" si="182"/>
        <v>天津惠德汽车进气系统股份有限公司</v>
      </c>
      <c r="B380" s="1" t="str">
        <f>"一种带有进气谐振功能的进气歧管"</f>
        <v>一种带有进气谐振功能的进气歧管</v>
      </c>
      <c r="C380" s="1" t="str">
        <f t="shared" si="179"/>
        <v>实用新型</v>
      </c>
      <c r="D380" s="1" t="str">
        <f t="shared" si="185"/>
        <v>未缴年费专利权终止</v>
      </c>
      <c r="E380" s="1" t="str">
        <f>"CN201822017712.0"</f>
        <v>CN201822017712.0</v>
      </c>
      <c r="F380" s="1" t="str">
        <f t="shared" si="187"/>
        <v>2018-11-30</v>
      </c>
      <c r="G380" s="1" t="str">
        <f>"CN209228505U"</f>
        <v>CN209228505U</v>
      </c>
      <c r="H380" s="1" t="str">
        <f t="shared" si="189"/>
        <v>2019-08-09</v>
      </c>
      <c r="I380" s="1" t="str">
        <f t="shared" si="183"/>
        <v>刘德新</v>
      </c>
      <c r="J380" s="1" t="str">
        <f t="shared" si="184"/>
        <v>天津惠德汽车进气系统股份有限公司</v>
      </c>
    </row>
    <row r="381" spans="1:10">
      <c r="A381" s="1" t="str">
        <f t="shared" si="182"/>
        <v>天津惠德汽车进气系统股份有限公司</v>
      </c>
      <c r="B381" s="1" t="str">
        <f>"一种进气可变的进气歧管"</f>
        <v>一种进气可变的进气歧管</v>
      </c>
      <c r="C381" s="1" t="str">
        <f t="shared" si="179"/>
        <v>实用新型</v>
      </c>
      <c r="D381" s="1" t="str">
        <f t="shared" si="185"/>
        <v>未缴年费专利权终止</v>
      </c>
      <c r="E381" s="1" t="str">
        <f>"CN201822011907.4"</f>
        <v>CN201822011907.4</v>
      </c>
      <c r="F381" s="1" t="str">
        <f t="shared" si="187"/>
        <v>2018-11-30</v>
      </c>
      <c r="G381" s="1" t="str">
        <f>"CN209228504U"</f>
        <v>CN209228504U</v>
      </c>
      <c r="H381" s="1" t="str">
        <f t="shared" si="189"/>
        <v>2019-08-09</v>
      </c>
      <c r="I381" s="1" t="str">
        <f t="shared" si="183"/>
        <v>刘德新</v>
      </c>
      <c r="J381" s="1" t="str">
        <f t="shared" si="184"/>
        <v>天津惠德汽车进气系统股份有限公司</v>
      </c>
    </row>
    <row r="382" spans="1:10">
      <c r="A382" s="1" t="str">
        <f t="shared" si="182"/>
        <v>天津惠德汽车进气系统股份有限公司</v>
      </c>
      <c r="B382" s="1" t="str">
        <f>"一种汽车增程器塑料防护罩"</f>
        <v>一种汽车增程器塑料防护罩</v>
      </c>
      <c r="C382" s="1" t="str">
        <f t="shared" si="179"/>
        <v>实用新型</v>
      </c>
      <c r="D382" s="1" t="str">
        <f t="shared" si="185"/>
        <v>未缴年费专利权终止</v>
      </c>
      <c r="E382" s="1" t="str">
        <f>"CN201821996637.0"</f>
        <v>CN201821996637.0</v>
      </c>
      <c r="F382" s="1" t="str">
        <f t="shared" si="188"/>
        <v>2018-11-28</v>
      </c>
      <c r="G382" s="1" t="str">
        <f>"CN209225082U"</f>
        <v>CN209225082U</v>
      </c>
      <c r="H382" s="1" t="str">
        <f t="shared" si="189"/>
        <v>2019-08-09</v>
      </c>
      <c r="I382" s="1" t="str">
        <f t="shared" si="183"/>
        <v>刘德新</v>
      </c>
      <c r="J382" s="1" t="str">
        <f t="shared" si="184"/>
        <v>天津惠德汽车进气系统股份有限公司</v>
      </c>
    </row>
    <row r="383" spans="1:10">
      <c r="A383" s="1" t="str">
        <f t="shared" si="182"/>
        <v>天津惠德汽车进气系统股份有限公司</v>
      </c>
      <c r="B383" s="1" t="str">
        <f>"一种发动机塑料进气歧管"</f>
        <v>一种发动机塑料进气歧管</v>
      </c>
      <c r="C383" s="1" t="str">
        <f t="shared" si="179"/>
        <v>实用新型</v>
      </c>
      <c r="D383" s="1" t="str">
        <f t="shared" si="185"/>
        <v>未缴年费专利权终止</v>
      </c>
      <c r="E383" s="1" t="str">
        <f>"CN201821994341.5"</f>
        <v>CN201821994341.5</v>
      </c>
      <c r="F383" s="1" t="str">
        <f t="shared" si="188"/>
        <v>2018-11-28</v>
      </c>
      <c r="G383" s="1" t="str">
        <f>"CN209228503U"</f>
        <v>CN209228503U</v>
      </c>
      <c r="H383" s="1" t="str">
        <f t="shared" si="189"/>
        <v>2019-08-09</v>
      </c>
      <c r="I383" s="1" t="str">
        <f t="shared" si="183"/>
        <v>刘德新</v>
      </c>
      <c r="J383" s="1" t="str">
        <f t="shared" si="184"/>
        <v>天津惠德汽车进气系统股份有限公司</v>
      </c>
    </row>
    <row r="384" spans="1:10">
      <c r="A384" s="1" t="str">
        <f t="shared" si="182"/>
        <v>天津惠德汽车进气系统股份有限公司</v>
      </c>
      <c r="B384" s="1" t="str">
        <f>"一种进气歧管"</f>
        <v>一种进气歧管</v>
      </c>
      <c r="C384" s="1" t="str">
        <f t="shared" ref="C384:C388" si="190">"发明公布"</f>
        <v>发明公布</v>
      </c>
      <c r="D384" s="1" t="str">
        <f t="shared" ref="D384:D388" si="191">"公布驳回"</f>
        <v>公布驳回</v>
      </c>
      <c r="E384" s="1" t="str">
        <f>"CN201811436055.1"</f>
        <v>CN201811436055.1</v>
      </c>
      <c r="F384" s="1" t="str">
        <f t="shared" si="188"/>
        <v>2018-11-28</v>
      </c>
      <c r="G384" s="1" t="str">
        <f>"CN109630329A"</f>
        <v>CN109630329A</v>
      </c>
      <c r="H384" s="1" t="str">
        <f>"2019-04-16"</f>
        <v>2019-04-16</v>
      </c>
      <c r="I384" s="1" t="str">
        <f t="shared" si="183"/>
        <v>刘德新</v>
      </c>
      <c r="J384" s="1" t="str">
        <f t="shared" si="184"/>
        <v>天津惠德汽车进气系统股份有限公司</v>
      </c>
    </row>
    <row r="385" spans="1:10">
      <c r="A385" s="1" t="str">
        <f t="shared" si="182"/>
        <v>天津惠德汽车进气系统股份有限公司</v>
      </c>
      <c r="B385" s="1" t="str">
        <f>"一种具有进气谐振的进气歧管"</f>
        <v>一种具有进气谐振的进气歧管</v>
      </c>
      <c r="C385" s="1" t="str">
        <f t="shared" si="190"/>
        <v>发明公布</v>
      </c>
      <c r="D385" s="1" t="str">
        <f t="shared" si="191"/>
        <v>公布驳回</v>
      </c>
      <c r="E385" s="1" t="str">
        <f>"CN201811458892.4"</f>
        <v>CN201811458892.4</v>
      </c>
      <c r="F385" s="1" t="str">
        <f>"2018-11-30"</f>
        <v>2018-11-30</v>
      </c>
      <c r="G385" s="1" t="str">
        <f>"CN109630330A"</f>
        <v>CN109630330A</v>
      </c>
      <c r="H385" s="1" t="str">
        <f>"2019-04-16"</f>
        <v>2019-04-16</v>
      </c>
      <c r="I385" s="1" t="str">
        <f t="shared" si="183"/>
        <v>刘德新</v>
      </c>
      <c r="J385" s="1" t="str">
        <f t="shared" si="184"/>
        <v>天津惠德汽车进气系统股份有限公司</v>
      </c>
    </row>
    <row r="386" spans="1:10">
      <c r="A386" s="1" t="str">
        <f t="shared" si="182"/>
        <v>天津惠德汽车进气系统股份有限公司</v>
      </c>
      <c r="B386" s="1" t="str">
        <f>"一种增程器防护罩"</f>
        <v>一种增程器防护罩</v>
      </c>
      <c r="C386" s="1" t="str">
        <f t="shared" si="190"/>
        <v>发明公布</v>
      </c>
      <c r="D386" s="1" t="str">
        <f t="shared" si="191"/>
        <v>公布驳回</v>
      </c>
      <c r="E386" s="1" t="str">
        <f>"CN201811436017.6"</f>
        <v>CN201811436017.6</v>
      </c>
      <c r="F386" s="1" t="str">
        <f>"2018-11-28"</f>
        <v>2018-11-28</v>
      </c>
      <c r="G386" s="1" t="str">
        <f>"CN109606139A"</f>
        <v>CN109606139A</v>
      </c>
      <c r="H386" s="1" t="str">
        <f>"2019-04-12"</f>
        <v>2019-04-12</v>
      </c>
      <c r="I386" s="1" t="str">
        <f t="shared" si="183"/>
        <v>刘德新</v>
      </c>
      <c r="J386" s="1" t="str">
        <f t="shared" si="184"/>
        <v>天津惠德汽车进气系统股份有限公司</v>
      </c>
    </row>
    <row r="387" spans="1:10">
      <c r="A387" s="1" t="str">
        <f t="shared" si="182"/>
        <v>天津惠德汽车进气系统股份有限公司</v>
      </c>
      <c r="B387" s="1" t="str">
        <f>"一种新型发动机进气歧管"</f>
        <v>一种新型发动机进气歧管</v>
      </c>
      <c r="C387" s="1" t="str">
        <f t="shared" si="190"/>
        <v>发明公布</v>
      </c>
      <c r="D387" s="1" t="str">
        <f t="shared" si="191"/>
        <v>公布驳回</v>
      </c>
      <c r="E387" s="1" t="str">
        <f>"CN201811448902.6"</f>
        <v>CN201811448902.6</v>
      </c>
      <c r="F387" s="1" t="str">
        <f>"2018-11-28"</f>
        <v>2018-11-28</v>
      </c>
      <c r="G387" s="1" t="str">
        <f>"CN109441676A"</f>
        <v>CN109441676A</v>
      </c>
      <c r="H387" s="1" t="str">
        <f>"2019-03-08"</f>
        <v>2019-03-08</v>
      </c>
      <c r="I387" s="1" t="str">
        <f t="shared" si="183"/>
        <v>刘德新</v>
      </c>
      <c r="J387" s="1" t="str">
        <f t="shared" si="184"/>
        <v>天津惠德汽车进气系统股份有限公司</v>
      </c>
    </row>
    <row r="388" spans="1:10">
      <c r="A388" s="1" t="str">
        <f t="shared" si="182"/>
        <v>天津惠德汽车进气系统股份有限公司</v>
      </c>
      <c r="B388" s="1" t="str">
        <f>"一种新型增程器"</f>
        <v>一种新型增程器</v>
      </c>
      <c r="C388" s="1" t="str">
        <f t="shared" si="190"/>
        <v>发明公布</v>
      </c>
      <c r="D388" s="1" t="str">
        <f t="shared" si="191"/>
        <v>公布驳回</v>
      </c>
      <c r="E388" s="1" t="str">
        <f>"CN201811462015.4"</f>
        <v>CN201811462015.4</v>
      </c>
      <c r="F388" s="1" t="str">
        <f>"2018-11-30"</f>
        <v>2018-11-30</v>
      </c>
      <c r="G388" s="1" t="str">
        <f>"CN109404126A"</f>
        <v>CN109404126A</v>
      </c>
      <c r="H388" s="1" t="str">
        <f>"2019-03-01"</f>
        <v>2019-03-01</v>
      </c>
      <c r="I388" s="1" t="str">
        <f t="shared" si="183"/>
        <v>刘德新</v>
      </c>
      <c r="J388" s="1" t="str">
        <f t="shared" si="184"/>
        <v>天津惠德汽车进气系统股份有限公司</v>
      </c>
    </row>
    <row r="389" spans="1:10">
      <c r="A389" s="1" t="str">
        <f t="shared" si="182"/>
        <v>天津惠德汽车进气系统股份有限公司</v>
      </c>
      <c r="B389" s="1" t="str">
        <f>"一种适用于柴油机塑料进岐管的固定支架"</f>
        <v>一种适用于柴油机塑料进岐管的固定支架</v>
      </c>
      <c r="C389" s="1" t="str">
        <f t="shared" ref="C389:C400" si="192">"实用新型"</f>
        <v>实用新型</v>
      </c>
      <c r="D389" s="1" t="str">
        <f t="shared" ref="D389:D400" si="193">"未缴年费专利权终止"</f>
        <v>未缴年费专利权终止</v>
      </c>
      <c r="E389" s="1" t="str">
        <f>"CN201721863402.X"</f>
        <v>CN201721863402.X</v>
      </c>
      <c r="F389" s="1" t="str">
        <f t="shared" ref="F389:F405" si="194">"2017-12-27"</f>
        <v>2017-12-27</v>
      </c>
      <c r="G389" s="1" t="str">
        <f>"CN208005530U"</f>
        <v>CN208005530U</v>
      </c>
      <c r="H389" s="1" t="str">
        <f>"2018-10-26"</f>
        <v>2018-10-26</v>
      </c>
      <c r="I389" s="1" t="str">
        <f t="shared" si="183"/>
        <v>刘德新</v>
      </c>
      <c r="J389" s="1" t="str">
        <f t="shared" si="184"/>
        <v>天津惠德汽车进气系统股份有限公司</v>
      </c>
    </row>
    <row r="390" spans="1:10">
      <c r="A390" s="1" t="str">
        <f t="shared" si="182"/>
        <v>天津惠德汽车进气系统股份有限公司</v>
      </c>
      <c r="B390" s="1" t="str">
        <f>"一种替代真空上料机的空气放大器"</f>
        <v>一种替代真空上料机的空气放大器</v>
      </c>
      <c r="C390" s="1" t="str">
        <f t="shared" si="192"/>
        <v>实用新型</v>
      </c>
      <c r="D390" s="1" t="str">
        <f t="shared" si="193"/>
        <v>未缴年费专利权终止</v>
      </c>
      <c r="E390" s="1" t="str">
        <f>"CN201721866299.4"</f>
        <v>CN201721866299.4</v>
      </c>
      <c r="F390" s="1" t="str">
        <f t="shared" si="194"/>
        <v>2017-12-27</v>
      </c>
      <c r="G390" s="1" t="str">
        <f>"CN208010670U"</f>
        <v>CN208010670U</v>
      </c>
      <c r="H390" s="1" t="str">
        <f>"2018-10-26"</f>
        <v>2018-10-26</v>
      </c>
      <c r="I390" s="1" t="str">
        <f t="shared" si="183"/>
        <v>刘德新</v>
      </c>
      <c r="J390" s="1" t="str">
        <f t="shared" si="184"/>
        <v>天津惠德汽车进气系统股份有限公司</v>
      </c>
    </row>
    <row r="391" spans="1:10">
      <c r="A391" s="1" t="str">
        <f t="shared" si="182"/>
        <v>天津惠德汽车进气系统股份有限公司</v>
      </c>
      <c r="B391" s="1" t="str">
        <f>"柴油机塑料缸盖罩"</f>
        <v>柴油机塑料缸盖罩</v>
      </c>
      <c r="C391" s="1" t="str">
        <f t="shared" si="192"/>
        <v>实用新型</v>
      </c>
      <c r="D391" s="1" t="str">
        <f t="shared" si="193"/>
        <v>未缴年费专利权终止</v>
      </c>
      <c r="E391" s="1" t="str">
        <f>"CN201721874188.8"</f>
        <v>CN201721874188.8</v>
      </c>
      <c r="F391" s="1" t="str">
        <f t="shared" si="194"/>
        <v>2017-12-27</v>
      </c>
      <c r="G391" s="1" t="str">
        <f>"CN207847792U"</f>
        <v>CN207847792U</v>
      </c>
      <c r="H391" s="1" t="str">
        <f t="shared" ref="H391:H400" si="195">"2018-09-11"</f>
        <v>2018-09-11</v>
      </c>
      <c r="I391" s="1" t="str">
        <f t="shared" si="183"/>
        <v>刘德新</v>
      </c>
      <c r="J391" s="1" t="str">
        <f t="shared" si="184"/>
        <v>天津惠德汽车进气系统股份有限公司</v>
      </c>
    </row>
    <row r="392" spans="1:10">
      <c r="A392" s="1" t="str">
        <f t="shared" si="182"/>
        <v>天津惠德汽车进气系统股份有限公司</v>
      </c>
      <c r="B392" s="1" t="str">
        <f>"一种油气分离检测装置"</f>
        <v>一种油气分离检测装置</v>
      </c>
      <c r="C392" s="1" t="str">
        <f t="shared" si="192"/>
        <v>实用新型</v>
      </c>
      <c r="D392" s="1" t="str">
        <f t="shared" si="193"/>
        <v>未缴年费专利权终止</v>
      </c>
      <c r="E392" s="1" t="str">
        <f>"CN201721872032.6"</f>
        <v>CN201721872032.6</v>
      </c>
      <c r="F392" s="1" t="str">
        <f t="shared" si="194"/>
        <v>2017-12-27</v>
      </c>
      <c r="G392" s="1" t="str">
        <f>"CN207838481U"</f>
        <v>CN207838481U</v>
      </c>
      <c r="H392" s="1" t="str">
        <f t="shared" si="195"/>
        <v>2018-09-11</v>
      </c>
      <c r="I392" s="1" t="str">
        <f t="shared" si="183"/>
        <v>刘德新</v>
      </c>
      <c r="J392" s="1" t="str">
        <f t="shared" si="184"/>
        <v>天津惠德汽车进气系统股份有限公司</v>
      </c>
    </row>
    <row r="393" spans="1:10">
      <c r="A393" s="1" t="str">
        <f t="shared" si="182"/>
        <v>天津惠德汽车进气系统股份有限公司</v>
      </c>
      <c r="B393" s="1" t="str">
        <f>"一种高效率油气分离器"</f>
        <v>一种高效率油气分离器</v>
      </c>
      <c r="C393" s="1" t="str">
        <f t="shared" si="192"/>
        <v>实用新型</v>
      </c>
      <c r="D393" s="1" t="str">
        <f t="shared" si="193"/>
        <v>未缴年费专利权终止</v>
      </c>
      <c r="E393" s="1" t="str">
        <f>"CN201721866301.8"</f>
        <v>CN201721866301.8</v>
      </c>
      <c r="F393" s="1" t="str">
        <f t="shared" si="194"/>
        <v>2017-12-27</v>
      </c>
      <c r="G393" s="1" t="str">
        <f>"CN207847728U"</f>
        <v>CN207847728U</v>
      </c>
      <c r="H393" s="1" t="str">
        <f t="shared" si="195"/>
        <v>2018-09-11</v>
      </c>
      <c r="I393" s="1" t="str">
        <f t="shared" si="183"/>
        <v>刘德新</v>
      </c>
      <c r="J393" s="1" t="str">
        <f t="shared" si="184"/>
        <v>天津惠德汽车进气系统股份有限公司</v>
      </c>
    </row>
    <row r="394" spans="1:10">
      <c r="A394" s="1" t="str">
        <f t="shared" si="182"/>
        <v>天津惠德汽车进气系统股份有限公司</v>
      </c>
      <c r="B394" s="1" t="str">
        <f>"一种增压发动机塑料增压器出气管的加工治具"</f>
        <v>一种增压发动机塑料增压器出气管的加工治具</v>
      </c>
      <c r="C394" s="1" t="str">
        <f t="shared" si="192"/>
        <v>实用新型</v>
      </c>
      <c r="D394" s="1" t="str">
        <f t="shared" si="193"/>
        <v>未缴年费专利权终止</v>
      </c>
      <c r="E394" s="1" t="str">
        <f>"CN201721874232.5"</f>
        <v>CN201721874232.5</v>
      </c>
      <c r="F394" s="1" t="str">
        <f t="shared" si="194"/>
        <v>2017-12-27</v>
      </c>
      <c r="G394" s="1" t="str">
        <f>"CN207842039U"</f>
        <v>CN207842039U</v>
      </c>
      <c r="H394" s="1" t="str">
        <f t="shared" si="195"/>
        <v>2018-09-11</v>
      </c>
      <c r="I394" s="1" t="str">
        <f t="shared" si="183"/>
        <v>刘德新</v>
      </c>
      <c r="J394" s="1" t="str">
        <f t="shared" si="184"/>
        <v>天津惠德汽车进气系统股份有限公司</v>
      </c>
    </row>
    <row r="395" spans="1:10">
      <c r="A395" s="1" t="str">
        <f t="shared" si="182"/>
        <v>天津惠德汽车进气系统股份有限公司</v>
      </c>
      <c r="B395" s="1" t="str">
        <f>"一款增压发动机塑料气门室罩盖"</f>
        <v>一款增压发动机塑料气门室罩盖</v>
      </c>
      <c r="C395" s="1" t="str">
        <f t="shared" si="192"/>
        <v>实用新型</v>
      </c>
      <c r="D395" s="1" t="str">
        <f t="shared" si="193"/>
        <v>未缴年费专利权终止</v>
      </c>
      <c r="E395" s="1" t="str">
        <f>"CN201721865100.6"</f>
        <v>CN201721865100.6</v>
      </c>
      <c r="F395" s="1" t="str">
        <f t="shared" si="194"/>
        <v>2017-12-27</v>
      </c>
      <c r="G395" s="1" t="str">
        <f>"CN207847791U"</f>
        <v>CN207847791U</v>
      </c>
      <c r="H395" s="1" t="str">
        <f t="shared" si="195"/>
        <v>2018-09-11</v>
      </c>
      <c r="I395" s="1" t="str">
        <f t="shared" si="183"/>
        <v>刘德新</v>
      </c>
      <c r="J395" s="1" t="str">
        <f t="shared" si="184"/>
        <v>天津惠德汽车进气系统股份有限公司</v>
      </c>
    </row>
    <row r="396" spans="1:10">
      <c r="A396" s="1" t="str">
        <f t="shared" si="182"/>
        <v>天津惠德汽车进气系统股份有限公司</v>
      </c>
      <c r="B396" s="1" t="str">
        <f>"一种新型柴油机塑料进岐管连接管"</f>
        <v>一种新型柴油机塑料进岐管连接管</v>
      </c>
      <c r="C396" s="1" t="str">
        <f t="shared" si="192"/>
        <v>实用新型</v>
      </c>
      <c r="D396" s="1" t="str">
        <f t="shared" si="193"/>
        <v>未缴年费专利权终止</v>
      </c>
      <c r="E396" s="1" t="str">
        <f>"CN201721866305.6"</f>
        <v>CN201721866305.6</v>
      </c>
      <c r="F396" s="1" t="str">
        <f t="shared" si="194"/>
        <v>2017-12-27</v>
      </c>
      <c r="G396" s="1" t="str">
        <f>"CN207847823U"</f>
        <v>CN207847823U</v>
      </c>
      <c r="H396" s="1" t="str">
        <f t="shared" si="195"/>
        <v>2018-09-11</v>
      </c>
      <c r="I396" s="1" t="str">
        <f t="shared" si="183"/>
        <v>刘德新</v>
      </c>
      <c r="J396" s="1" t="str">
        <f t="shared" si="184"/>
        <v>天津惠德汽车进气系统股份有限公司</v>
      </c>
    </row>
    <row r="397" spans="1:10">
      <c r="A397" s="1" t="str">
        <f t="shared" si="182"/>
        <v>天津惠德汽车进气系统股份有限公司</v>
      </c>
      <c r="B397" s="1" t="str">
        <f>"一种油气分离器"</f>
        <v>一种油气分离器</v>
      </c>
      <c r="C397" s="1" t="str">
        <f t="shared" si="192"/>
        <v>实用新型</v>
      </c>
      <c r="D397" s="1" t="str">
        <f t="shared" si="193"/>
        <v>未缴年费专利权终止</v>
      </c>
      <c r="E397" s="1" t="str">
        <f>"CN201721865099.7"</f>
        <v>CN201721865099.7</v>
      </c>
      <c r="F397" s="1" t="str">
        <f t="shared" si="194"/>
        <v>2017-12-27</v>
      </c>
      <c r="G397" s="1" t="str">
        <f>"CN207847727U"</f>
        <v>CN207847727U</v>
      </c>
      <c r="H397" s="1" t="str">
        <f t="shared" si="195"/>
        <v>2018-09-11</v>
      </c>
      <c r="I397" s="1" t="str">
        <f t="shared" si="183"/>
        <v>刘德新</v>
      </c>
      <c r="J397" s="1" t="str">
        <f t="shared" si="184"/>
        <v>天津惠德汽车进气系统股份有限公司</v>
      </c>
    </row>
    <row r="398" spans="1:10">
      <c r="A398" s="1" t="str">
        <f t="shared" si="182"/>
        <v>天津惠德汽车进气系统股份有限公司</v>
      </c>
      <c r="B398" s="1" t="str">
        <f>"一款增压直喷发动机塑料进气歧管"</f>
        <v>一款增压直喷发动机塑料进气歧管</v>
      </c>
      <c r="C398" s="1" t="str">
        <f t="shared" si="192"/>
        <v>实用新型</v>
      </c>
      <c r="D398" s="1" t="str">
        <f t="shared" si="193"/>
        <v>未缴年费专利权终止</v>
      </c>
      <c r="E398" s="1" t="str">
        <f>"CN201721874185.4"</f>
        <v>CN201721874185.4</v>
      </c>
      <c r="F398" s="1" t="str">
        <f t="shared" si="194"/>
        <v>2017-12-27</v>
      </c>
      <c r="G398" s="1" t="str">
        <f>"CN207847824U"</f>
        <v>CN207847824U</v>
      </c>
      <c r="H398" s="1" t="str">
        <f t="shared" si="195"/>
        <v>2018-09-11</v>
      </c>
      <c r="I398" s="1" t="str">
        <f t="shared" si="183"/>
        <v>刘德新</v>
      </c>
      <c r="J398" s="1" t="str">
        <f t="shared" si="184"/>
        <v>天津惠德汽车进气系统股份有限公司</v>
      </c>
    </row>
    <row r="399" spans="1:10">
      <c r="A399" s="1" t="str">
        <f t="shared" si="182"/>
        <v>天津惠德汽车进气系统股份有限公司</v>
      </c>
      <c r="B399" s="1" t="str">
        <f>"一款柴油机塑料呼吸器"</f>
        <v>一款柴油机塑料呼吸器</v>
      </c>
      <c r="C399" s="1" t="str">
        <f t="shared" si="192"/>
        <v>实用新型</v>
      </c>
      <c r="D399" s="1" t="str">
        <f t="shared" si="193"/>
        <v>未缴年费专利权终止</v>
      </c>
      <c r="E399" s="1" t="str">
        <f>"CN201721865080.2"</f>
        <v>CN201721865080.2</v>
      </c>
      <c r="F399" s="1" t="str">
        <f t="shared" si="194"/>
        <v>2017-12-27</v>
      </c>
      <c r="G399" s="1" t="str">
        <f>"CN207847726U"</f>
        <v>CN207847726U</v>
      </c>
      <c r="H399" s="1" t="str">
        <f t="shared" si="195"/>
        <v>2018-09-11</v>
      </c>
      <c r="I399" s="1" t="str">
        <f t="shared" si="183"/>
        <v>刘德新</v>
      </c>
      <c r="J399" s="1" t="str">
        <f t="shared" si="184"/>
        <v>天津惠德汽车进气系统股份有限公司</v>
      </c>
    </row>
    <row r="400" spans="1:10">
      <c r="A400" s="1" t="str">
        <f t="shared" si="182"/>
        <v>天津惠德汽车进气系统股份有限公司</v>
      </c>
      <c r="B400" s="1" t="str">
        <f>"一种流量检测装置"</f>
        <v>一种流量检测装置</v>
      </c>
      <c r="C400" s="1" t="str">
        <f t="shared" si="192"/>
        <v>实用新型</v>
      </c>
      <c r="D400" s="1" t="str">
        <f t="shared" si="193"/>
        <v>未缴年费专利权终止</v>
      </c>
      <c r="E400" s="1" t="str">
        <f>"CN201721874190.5"</f>
        <v>CN201721874190.5</v>
      </c>
      <c r="F400" s="1" t="str">
        <f t="shared" si="194"/>
        <v>2017-12-27</v>
      </c>
      <c r="G400" s="1" t="str">
        <f>"CN207850444U"</f>
        <v>CN207850444U</v>
      </c>
      <c r="H400" s="1" t="str">
        <f t="shared" si="195"/>
        <v>2018-09-11</v>
      </c>
      <c r="I400" s="1" t="str">
        <f t="shared" si="183"/>
        <v>刘德新</v>
      </c>
      <c r="J400" s="1" t="str">
        <f t="shared" si="184"/>
        <v>天津惠德汽车进气系统股份有限公司</v>
      </c>
    </row>
    <row r="401" spans="1:10">
      <c r="A401" s="1" t="str">
        <f t="shared" si="182"/>
        <v>天津惠德汽车进气系统股份有限公司</v>
      </c>
      <c r="B401" s="1" t="str">
        <f>"一种双效油气分离器"</f>
        <v>一种双效油气分离器</v>
      </c>
      <c r="C401" s="1" t="str">
        <f t="shared" ref="C401:C410" si="196">"发明公布"</f>
        <v>发明公布</v>
      </c>
      <c r="D401" s="1" t="str">
        <f t="shared" ref="D401:D405" si="197">"公布驳回"</f>
        <v>公布驳回</v>
      </c>
      <c r="E401" s="1" t="str">
        <f>"CN201711450870.9"</f>
        <v>CN201711450870.9</v>
      </c>
      <c r="F401" s="1" t="str">
        <f t="shared" si="194"/>
        <v>2017-12-27</v>
      </c>
      <c r="G401" s="1" t="str">
        <f>"CN108223053A"</f>
        <v>CN108223053A</v>
      </c>
      <c r="H401" s="1" t="str">
        <f>"2018-06-29"</f>
        <v>2018-06-29</v>
      </c>
      <c r="I401" s="1" t="str">
        <f t="shared" si="183"/>
        <v>刘德新</v>
      </c>
      <c r="J401" s="1" t="str">
        <f t="shared" si="184"/>
        <v>天津惠德汽车进气系统股份有限公司</v>
      </c>
    </row>
    <row r="402" spans="1:10">
      <c r="A402" s="1" t="str">
        <f t="shared" si="182"/>
        <v>天津惠德汽车进气系统股份有限公司</v>
      </c>
      <c r="B402" s="1" t="str">
        <f>"一种新型塑料进气歧管"</f>
        <v>一种新型塑料进气歧管</v>
      </c>
      <c r="C402" s="1" t="str">
        <f t="shared" si="196"/>
        <v>发明公布</v>
      </c>
      <c r="D402" s="1" t="str">
        <f t="shared" si="197"/>
        <v>公布驳回</v>
      </c>
      <c r="E402" s="1" t="str">
        <f>"CN201711450867.7"</f>
        <v>CN201711450867.7</v>
      </c>
      <c r="F402" s="1" t="str">
        <f t="shared" si="194"/>
        <v>2017-12-27</v>
      </c>
      <c r="G402" s="1" t="str">
        <f>"CN108194235A"</f>
        <v>CN108194235A</v>
      </c>
      <c r="H402" s="1" t="str">
        <f>"2018-06-22"</f>
        <v>2018-06-22</v>
      </c>
      <c r="I402" s="1" t="str">
        <f t="shared" si="183"/>
        <v>刘德新</v>
      </c>
      <c r="J402" s="1" t="str">
        <f t="shared" si="184"/>
        <v>天津惠德汽车进气系统股份有限公司</v>
      </c>
    </row>
    <row r="403" spans="1:10">
      <c r="A403" s="1" t="str">
        <f t="shared" si="182"/>
        <v>天津惠德汽车进气系统股份有限公司</v>
      </c>
      <c r="B403" s="1" t="str">
        <f>"一种新型柴油机呼吸器"</f>
        <v>一种新型柴油机呼吸器</v>
      </c>
      <c r="C403" s="1" t="str">
        <f t="shared" si="196"/>
        <v>发明公布</v>
      </c>
      <c r="D403" s="1" t="str">
        <f t="shared" si="197"/>
        <v>公布驳回</v>
      </c>
      <c r="E403" s="1" t="str">
        <f>"CN201711450869.6"</f>
        <v>CN201711450869.6</v>
      </c>
      <c r="F403" s="1" t="str">
        <f t="shared" si="194"/>
        <v>2017-12-27</v>
      </c>
      <c r="G403" s="1" t="str">
        <f>"CN108167046A"</f>
        <v>CN108167046A</v>
      </c>
      <c r="H403" s="1" t="str">
        <f>"2018-06-15"</f>
        <v>2018-06-15</v>
      </c>
      <c r="I403" s="1" t="str">
        <f t="shared" si="183"/>
        <v>刘德新</v>
      </c>
      <c r="J403" s="1" t="str">
        <f t="shared" si="184"/>
        <v>天津惠德汽车进气系统股份有限公司</v>
      </c>
    </row>
    <row r="404" spans="1:10">
      <c r="A404" s="1" t="str">
        <f t="shared" si="182"/>
        <v>天津惠德汽车进气系统股份有限公司</v>
      </c>
      <c r="B404" s="1" t="str">
        <f>"一种新型油气分离器"</f>
        <v>一种新型油气分离器</v>
      </c>
      <c r="C404" s="1" t="str">
        <f t="shared" si="196"/>
        <v>发明公布</v>
      </c>
      <c r="D404" s="1" t="str">
        <f t="shared" si="197"/>
        <v>公布驳回</v>
      </c>
      <c r="E404" s="1" t="str">
        <f>"CN201711449202.4"</f>
        <v>CN201711449202.4</v>
      </c>
      <c r="F404" s="1" t="str">
        <f t="shared" si="194"/>
        <v>2017-12-27</v>
      </c>
      <c r="G404" s="1" t="str">
        <f>"CN108087060A"</f>
        <v>CN108087060A</v>
      </c>
      <c r="H404" s="1" t="str">
        <f>"2018-05-29"</f>
        <v>2018-05-29</v>
      </c>
      <c r="I404" s="1" t="str">
        <f t="shared" si="183"/>
        <v>刘德新</v>
      </c>
      <c r="J404" s="1" t="str">
        <f t="shared" si="184"/>
        <v>天津惠德汽车进气系统股份有限公司</v>
      </c>
    </row>
    <row r="405" spans="1:10">
      <c r="A405" s="1" t="str">
        <f t="shared" si="182"/>
        <v>天津惠德汽车进气系统股份有限公司</v>
      </c>
      <c r="B405" s="1" t="str">
        <f>"一种发动机气门室罩盖"</f>
        <v>一种发动机气门室罩盖</v>
      </c>
      <c r="C405" s="1" t="str">
        <f t="shared" si="196"/>
        <v>发明公布</v>
      </c>
      <c r="D405" s="1" t="str">
        <f t="shared" si="197"/>
        <v>公布驳回</v>
      </c>
      <c r="E405" s="1" t="str">
        <f>"CN201711450878.5"</f>
        <v>CN201711450878.5</v>
      </c>
      <c r="F405" s="1" t="str">
        <f t="shared" si="194"/>
        <v>2017-12-27</v>
      </c>
      <c r="G405" s="1" t="str">
        <f>"CN107989713A"</f>
        <v>CN107989713A</v>
      </c>
      <c r="H405" s="1" t="str">
        <f>"2018-05-04"</f>
        <v>2018-05-04</v>
      </c>
      <c r="I405" s="1" t="str">
        <f t="shared" si="183"/>
        <v>刘德新</v>
      </c>
      <c r="J405" s="1" t="str">
        <f t="shared" si="184"/>
        <v>天津惠德汽车进气系统股份有限公司</v>
      </c>
    </row>
    <row r="406" spans="1:10">
      <c r="A406" s="1" t="str">
        <f t="shared" si="182"/>
        <v>天津惠德汽车进气系统股份有限公司</v>
      </c>
      <c r="B406" s="1" t="str">
        <f>"一种塑料进气歧管上的电磁阀安装结构"</f>
        <v>一种塑料进气歧管上的电磁阀安装结构</v>
      </c>
      <c r="C406" s="1" t="str">
        <f t="shared" si="196"/>
        <v>发明公布</v>
      </c>
      <c r="D406" s="1" t="str">
        <f t="shared" ref="D406:D410" si="198">"公布视为撤回"</f>
        <v>公布视为撤回</v>
      </c>
      <c r="E406" s="1" t="str">
        <f>"CN201610784239.1"</f>
        <v>CN201610784239.1</v>
      </c>
      <c r="F406" s="1" t="str">
        <f t="shared" ref="F406:F424" si="199">"2016-08-31"</f>
        <v>2016-08-31</v>
      </c>
      <c r="G406" s="1" t="str">
        <f>"CN107795387A"</f>
        <v>CN107795387A</v>
      </c>
      <c r="H406" s="1" t="str">
        <f>"2018-03-13"</f>
        <v>2018-03-13</v>
      </c>
      <c r="I406" s="1" t="str">
        <f t="shared" si="183"/>
        <v>刘德新</v>
      </c>
      <c r="J406" s="1" t="str">
        <f t="shared" ref="J406:J410" si="200">"天津惠德汽车进气系统有限公司"</f>
        <v>天津惠德汽车进气系统有限公司</v>
      </c>
    </row>
    <row r="407" spans="1:10">
      <c r="A407" s="1" t="str">
        <f t="shared" si="182"/>
        <v>天津惠德汽车进气系统股份有限公司</v>
      </c>
      <c r="B407" s="1" t="str">
        <f>"一款方便加注机油的汽油发动机装饰罩"</f>
        <v>一款方便加注机油的汽油发动机装饰罩</v>
      </c>
      <c r="C407" s="1" t="str">
        <f t="shared" si="196"/>
        <v>发明公布</v>
      </c>
      <c r="D407" s="1" t="str">
        <f t="shared" si="198"/>
        <v>公布视为撤回</v>
      </c>
      <c r="E407" s="1" t="str">
        <f>"CN201610788263.2"</f>
        <v>CN201610788263.2</v>
      </c>
      <c r="F407" s="1" t="str">
        <f t="shared" si="199"/>
        <v>2016-08-31</v>
      </c>
      <c r="G407" s="1" t="str">
        <f>"CN107781058A"</f>
        <v>CN107781058A</v>
      </c>
      <c r="H407" s="1" t="str">
        <f t="shared" ref="H407:H410" si="201">"2018-03-09"</f>
        <v>2018-03-09</v>
      </c>
      <c r="I407" s="1" t="str">
        <f t="shared" si="183"/>
        <v>刘德新</v>
      </c>
      <c r="J407" s="1" t="str">
        <f t="shared" si="200"/>
        <v>天津惠德汽车进气系统有限公司</v>
      </c>
    </row>
    <row r="408" spans="1:10">
      <c r="A408" s="1" t="str">
        <f t="shared" si="182"/>
        <v>天津惠德汽车进气系统股份有限公司</v>
      </c>
      <c r="B408" s="1" t="str">
        <f>"一种发动机输气装置"</f>
        <v>一种发动机输气装置</v>
      </c>
      <c r="C408" s="1" t="str">
        <f t="shared" si="196"/>
        <v>发明公布</v>
      </c>
      <c r="D408" s="1" t="str">
        <f t="shared" si="198"/>
        <v>公布视为撤回</v>
      </c>
      <c r="E408" s="1" t="str">
        <f>"CN201610788098.0"</f>
        <v>CN201610788098.0</v>
      </c>
      <c r="F408" s="1" t="str">
        <f t="shared" si="199"/>
        <v>2016-08-31</v>
      </c>
      <c r="G408" s="1" t="str">
        <f>"CN107781072A"</f>
        <v>CN107781072A</v>
      </c>
      <c r="H408" s="1" t="str">
        <f t="shared" si="201"/>
        <v>2018-03-09</v>
      </c>
      <c r="I408" s="1" t="str">
        <f t="shared" si="183"/>
        <v>刘德新</v>
      </c>
      <c r="J408" s="1" t="str">
        <f t="shared" si="200"/>
        <v>天津惠德汽车进气系统有限公司</v>
      </c>
    </row>
    <row r="409" spans="1:10">
      <c r="A409" s="1" t="str">
        <f t="shared" si="182"/>
        <v>天津惠德汽车进气系统股份有限公司</v>
      </c>
      <c r="B409" s="1" t="str">
        <f>"一种模具预埋嵌件与模具镶针配合的特殊结构"</f>
        <v>一种模具预埋嵌件与模具镶针配合的特殊结构</v>
      </c>
      <c r="C409" s="1" t="str">
        <f t="shared" si="196"/>
        <v>发明公布</v>
      </c>
      <c r="D409" s="1" t="str">
        <f t="shared" si="198"/>
        <v>公布视为撤回</v>
      </c>
      <c r="E409" s="1" t="str">
        <f>"CN201610788262.8"</f>
        <v>CN201610788262.8</v>
      </c>
      <c r="F409" s="1" t="str">
        <f t="shared" si="199"/>
        <v>2016-08-31</v>
      </c>
      <c r="G409" s="1" t="str">
        <f>"CN107775889A"</f>
        <v>CN107775889A</v>
      </c>
      <c r="H409" s="1" t="str">
        <f t="shared" si="201"/>
        <v>2018-03-09</v>
      </c>
      <c r="I409" s="1" t="str">
        <f t="shared" si="183"/>
        <v>刘德新</v>
      </c>
      <c r="J409" s="1" t="str">
        <f t="shared" si="200"/>
        <v>天津惠德汽车进气系统有限公司</v>
      </c>
    </row>
    <row r="410" spans="1:10">
      <c r="A410" s="1" t="str">
        <f t="shared" si="182"/>
        <v>天津惠德汽车进气系统股份有限公司</v>
      </c>
      <c r="B410" s="1" t="str">
        <f>"一种进气歧管斜顶顶出结构"</f>
        <v>一种进气歧管斜顶顶出结构</v>
      </c>
      <c r="C410" s="1" t="str">
        <f t="shared" si="196"/>
        <v>发明公布</v>
      </c>
      <c r="D410" s="1" t="str">
        <f t="shared" si="198"/>
        <v>公布视为撤回</v>
      </c>
      <c r="E410" s="1" t="str">
        <f>"CN201610782521.6"</f>
        <v>CN201610782521.6</v>
      </c>
      <c r="F410" s="1" t="str">
        <f t="shared" si="199"/>
        <v>2016-08-31</v>
      </c>
      <c r="G410" s="1" t="str">
        <f>"CN107775901A"</f>
        <v>CN107775901A</v>
      </c>
      <c r="H410" s="1" t="str">
        <f t="shared" si="201"/>
        <v>2018-03-09</v>
      </c>
      <c r="I410" s="1" t="str">
        <f t="shared" si="183"/>
        <v>刘德新</v>
      </c>
      <c r="J410" s="1" t="str">
        <f t="shared" si="200"/>
        <v>天津惠德汽车进气系统有限公司</v>
      </c>
    </row>
    <row r="411" spans="1:10">
      <c r="A411" s="1" t="str">
        <f t="shared" si="182"/>
        <v>天津惠德汽车进气系统股份有限公司</v>
      </c>
      <c r="B411" s="1" t="str">
        <f>"一款汽油发动机装饰罩"</f>
        <v>一款汽油发动机装饰罩</v>
      </c>
      <c r="C411" s="1" t="str">
        <f t="shared" ref="C411:C418" si="202">"实用新型"</f>
        <v>实用新型</v>
      </c>
      <c r="D411" s="1" t="str">
        <f t="shared" ref="D411:D433" si="203">"未缴年费专利权终止"</f>
        <v>未缴年费专利权终止</v>
      </c>
      <c r="E411" s="1" t="str">
        <f>"CN201621019844.1"</f>
        <v>CN201621019844.1</v>
      </c>
      <c r="F411" s="1" t="str">
        <f t="shared" si="199"/>
        <v>2016-08-31</v>
      </c>
      <c r="G411" s="1" t="str">
        <f>"CN206092204U"</f>
        <v>CN206092204U</v>
      </c>
      <c r="H411" s="1" t="str">
        <f>"2017-04-12"</f>
        <v>2017-04-12</v>
      </c>
      <c r="I411" s="1" t="str">
        <f t="shared" si="183"/>
        <v>刘德新</v>
      </c>
      <c r="J411" s="1" t="str">
        <f t="shared" ref="J411:J414" si="204">"天津惠德汽车进气系统股份有限公司"</f>
        <v>天津惠德汽车进气系统股份有限公司</v>
      </c>
    </row>
    <row r="412" spans="1:10">
      <c r="A412" s="1" t="str">
        <f t="shared" si="182"/>
        <v>天津惠德汽车进气系统股份有限公司</v>
      </c>
      <c r="B412" s="1" t="str">
        <f>"一种增压发动机塑料进气歧管"</f>
        <v>一种增压发动机塑料进气歧管</v>
      </c>
      <c r="C412" s="1" t="str">
        <f t="shared" si="202"/>
        <v>实用新型</v>
      </c>
      <c r="D412" s="1" t="str">
        <f t="shared" si="203"/>
        <v>未缴年费专利权终止</v>
      </c>
      <c r="E412" s="1" t="str">
        <f>"CN201621012470.0"</f>
        <v>CN201621012470.0</v>
      </c>
      <c r="F412" s="1" t="str">
        <f t="shared" si="199"/>
        <v>2016-08-31</v>
      </c>
      <c r="G412" s="1" t="str">
        <f>"CN206035685U"</f>
        <v>CN206035685U</v>
      </c>
      <c r="H412" s="1" t="str">
        <f t="shared" ref="H412:H422" si="205">"2017-03-22"</f>
        <v>2017-03-22</v>
      </c>
      <c r="I412" s="1" t="str">
        <f t="shared" si="183"/>
        <v>刘德新</v>
      </c>
      <c r="J412" s="1" t="str">
        <f t="shared" si="204"/>
        <v>天津惠德汽车进气系统股份有限公司</v>
      </c>
    </row>
    <row r="413" spans="1:10">
      <c r="A413" s="1" t="str">
        <f t="shared" si="182"/>
        <v>天津惠德汽车进气系统股份有限公司</v>
      </c>
      <c r="B413" s="1" t="str">
        <f>"罩盖（7）"</f>
        <v>罩盖（7）</v>
      </c>
      <c r="C413" s="1" t="str">
        <f>"外观设计"</f>
        <v>外观设计</v>
      </c>
      <c r="D413" s="1" t="str">
        <f t="shared" si="203"/>
        <v>未缴年费专利权终止</v>
      </c>
      <c r="E413" s="1" t="str">
        <f>"CN201630455339.0"</f>
        <v>CN201630455339.0</v>
      </c>
      <c r="F413" s="1" t="str">
        <f t="shared" si="199"/>
        <v>2016-08-31</v>
      </c>
      <c r="G413" s="1" t="str">
        <f>"CN304081776S"</f>
        <v>CN304081776S</v>
      </c>
      <c r="H413" s="1" t="str">
        <f t="shared" si="205"/>
        <v>2017-03-22</v>
      </c>
      <c r="I413" s="1" t="str">
        <f t="shared" si="183"/>
        <v>刘德新</v>
      </c>
      <c r="J413" s="1" t="str">
        <f t="shared" ref="J413:J416" si="206">"天津惠德汽车进气系统有限公司"</f>
        <v>天津惠德汽车进气系统有限公司</v>
      </c>
    </row>
    <row r="414" spans="1:10">
      <c r="A414" s="1" t="str">
        <f t="shared" si="182"/>
        <v>天津惠德汽车进气系统股份有限公司</v>
      </c>
      <c r="B414" s="1" t="str">
        <f>"一种自动感应塑料进气管砸缸套的装置"</f>
        <v>一种自动感应塑料进气管砸缸套的装置</v>
      </c>
      <c r="C414" s="1" t="str">
        <f t="shared" si="202"/>
        <v>实用新型</v>
      </c>
      <c r="D414" s="1" t="str">
        <f t="shared" si="203"/>
        <v>未缴年费专利权终止</v>
      </c>
      <c r="E414" s="1" t="str">
        <f>"CN201621011190.8"</f>
        <v>CN201621011190.8</v>
      </c>
      <c r="F414" s="1" t="str">
        <f t="shared" si="199"/>
        <v>2016-08-31</v>
      </c>
      <c r="G414" s="1" t="str">
        <f>"CN206029226U"</f>
        <v>CN206029226U</v>
      </c>
      <c r="H414" s="1" t="str">
        <f t="shared" si="205"/>
        <v>2017-03-22</v>
      </c>
      <c r="I414" s="1" t="str">
        <f t="shared" si="183"/>
        <v>刘德新</v>
      </c>
      <c r="J414" s="1" t="str">
        <f t="shared" si="204"/>
        <v>天津惠德汽车进气系统股份有限公司</v>
      </c>
    </row>
    <row r="415" spans="1:10">
      <c r="A415" s="1" t="str">
        <f t="shared" si="182"/>
        <v>天津惠德汽车进气系统股份有限公司</v>
      </c>
      <c r="B415" s="1" t="str">
        <f>"一款防止模具预埋螺母注塑时窜动的结构"</f>
        <v>一款防止模具预埋螺母注塑时窜动的结构</v>
      </c>
      <c r="C415" s="1" t="str">
        <f t="shared" si="202"/>
        <v>实用新型</v>
      </c>
      <c r="D415" s="1" t="str">
        <f t="shared" si="203"/>
        <v>未缴年费专利权终止</v>
      </c>
      <c r="E415" s="1" t="str">
        <f>"CN201621019842.2"</f>
        <v>CN201621019842.2</v>
      </c>
      <c r="F415" s="1" t="str">
        <f t="shared" si="199"/>
        <v>2016-08-31</v>
      </c>
      <c r="G415" s="1" t="str">
        <f>"CN206030421U"</f>
        <v>CN206030421U</v>
      </c>
      <c r="H415" s="1" t="str">
        <f t="shared" si="205"/>
        <v>2017-03-22</v>
      </c>
      <c r="I415" s="1" t="str">
        <f t="shared" si="183"/>
        <v>刘德新</v>
      </c>
      <c r="J415" s="1" t="str">
        <f t="shared" si="206"/>
        <v>天津惠德汽车进气系统有限公司</v>
      </c>
    </row>
    <row r="416" spans="1:10">
      <c r="A416" s="1" t="str">
        <f t="shared" si="182"/>
        <v>天津惠德汽车进气系统股份有限公司</v>
      </c>
      <c r="B416" s="1" t="str">
        <f>"一种塑料进气歧管模具开模扣机结构"</f>
        <v>一种塑料进气歧管模具开模扣机结构</v>
      </c>
      <c r="C416" s="1" t="str">
        <f t="shared" si="202"/>
        <v>实用新型</v>
      </c>
      <c r="D416" s="1" t="str">
        <f t="shared" si="203"/>
        <v>未缴年费专利权终止</v>
      </c>
      <c r="E416" s="1" t="str">
        <f>"CN201621011252.5"</f>
        <v>CN201621011252.5</v>
      </c>
      <c r="F416" s="1" t="str">
        <f t="shared" si="199"/>
        <v>2016-08-31</v>
      </c>
      <c r="G416" s="1" t="str">
        <f>"CN206030419U"</f>
        <v>CN206030419U</v>
      </c>
      <c r="H416" s="1" t="str">
        <f t="shared" si="205"/>
        <v>2017-03-22</v>
      </c>
      <c r="I416" s="1" t="str">
        <f t="shared" si="183"/>
        <v>刘德新</v>
      </c>
      <c r="J416" s="1" t="str">
        <f t="shared" si="206"/>
        <v>天津惠德汽车进气系统有限公司</v>
      </c>
    </row>
    <row r="417" spans="1:10">
      <c r="A417" s="1" t="str">
        <f t="shared" si="182"/>
        <v>天津惠德汽车进气系统股份有限公司</v>
      </c>
      <c r="B417" s="1" t="str">
        <f>"一款油气混合塑料进气歧管"</f>
        <v>一款油气混合塑料进气歧管</v>
      </c>
      <c r="C417" s="1" t="str">
        <f t="shared" si="202"/>
        <v>实用新型</v>
      </c>
      <c r="D417" s="1" t="str">
        <f t="shared" si="203"/>
        <v>未缴年费专利权终止</v>
      </c>
      <c r="E417" s="1" t="str">
        <f>"CN201621014744.X"</f>
        <v>CN201621014744.X</v>
      </c>
      <c r="F417" s="1" t="str">
        <f t="shared" si="199"/>
        <v>2016-08-31</v>
      </c>
      <c r="G417" s="1" t="str">
        <f>"CN206035686U"</f>
        <v>CN206035686U</v>
      </c>
      <c r="H417" s="1" t="str">
        <f t="shared" si="205"/>
        <v>2017-03-22</v>
      </c>
      <c r="I417" s="1" t="str">
        <f t="shared" si="183"/>
        <v>刘德新</v>
      </c>
      <c r="J417" s="1" t="str">
        <f t="shared" ref="J417:J420" si="207">"天津惠德汽车进气系统股份有限公司"</f>
        <v>天津惠德汽车进气系统股份有限公司</v>
      </c>
    </row>
    <row r="418" spans="1:10">
      <c r="A418" s="1" t="str">
        <f t="shared" si="182"/>
        <v>天津惠德汽车进气系统股份有限公司</v>
      </c>
      <c r="B418" s="1" t="str">
        <f>"一种发动机塑料集滤器"</f>
        <v>一种发动机塑料集滤器</v>
      </c>
      <c r="C418" s="1" t="str">
        <f t="shared" si="202"/>
        <v>实用新型</v>
      </c>
      <c r="D418" s="1" t="str">
        <f t="shared" si="203"/>
        <v>未缴年费专利权终止</v>
      </c>
      <c r="E418" s="1" t="str">
        <f>"CN201621019854.5"</f>
        <v>CN201621019854.5</v>
      </c>
      <c r="F418" s="1" t="str">
        <f t="shared" si="199"/>
        <v>2016-08-31</v>
      </c>
      <c r="G418" s="1" t="str">
        <f>"CN206035568U"</f>
        <v>CN206035568U</v>
      </c>
      <c r="H418" s="1" t="str">
        <f t="shared" si="205"/>
        <v>2017-03-22</v>
      </c>
      <c r="I418" s="1" t="str">
        <f t="shared" si="183"/>
        <v>刘德新</v>
      </c>
      <c r="J418" s="1" t="str">
        <f t="shared" si="207"/>
        <v>天津惠德汽车进气系统股份有限公司</v>
      </c>
    </row>
    <row r="419" spans="1:10">
      <c r="A419" s="1" t="str">
        <f t="shared" si="182"/>
        <v>天津惠德汽车进气系统股份有限公司</v>
      </c>
      <c r="B419" s="1" t="str">
        <f>"罩盖（6）"</f>
        <v>罩盖（6）</v>
      </c>
      <c r="C419" s="1" t="str">
        <f>"外观设计"</f>
        <v>外观设计</v>
      </c>
      <c r="D419" s="1" t="str">
        <f t="shared" si="203"/>
        <v>未缴年费专利权终止</v>
      </c>
      <c r="E419" s="1" t="str">
        <f>"CN201630455365.3"</f>
        <v>CN201630455365.3</v>
      </c>
      <c r="F419" s="1" t="str">
        <f t="shared" si="199"/>
        <v>2016-08-31</v>
      </c>
      <c r="G419" s="1" t="str">
        <f>"CN304081777S"</f>
        <v>CN304081777S</v>
      </c>
      <c r="H419" s="1" t="str">
        <f t="shared" si="205"/>
        <v>2017-03-22</v>
      </c>
      <c r="I419" s="1" t="str">
        <f t="shared" si="183"/>
        <v>刘德新</v>
      </c>
      <c r="J419" s="1" t="str">
        <f t="shared" ref="J419:J422" si="208">"天津惠德汽车进气系统有限公司"</f>
        <v>天津惠德汽车进气系统有限公司</v>
      </c>
    </row>
    <row r="420" spans="1:10">
      <c r="A420" s="1" t="str">
        <f t="shared" si="182"/>
        <v>天津惠德汽车进气系统股份有限公司</v>
      </c>
      <c r="B420" s="1" t="str">
        <f>"一款汽油发动机空滤罩"</f>
        <v>一款汽油发动机空滤罩</v>
      </c>
      <c r="C420" s="1" t="str">
        <f t="shared" ref="C420:C424" si="209">"实用新型"</f>
        <v>实用新型</v>
      </c>
      <c r="D420" s="1" t="str">
        <f t="shared" si="203"/>
        <v>未缴年费专利权终止</v>
      </c>
      <c r="E420" s="1" t="str">
        <f>"CN201621014463.4"</f>
        <v>CN201621014463.4</v>
      </c>
      <c r="F420" s="1" t="str">
        <f t="shared" si="199"/>
        <v>2016-08-31</v>
      </c>
      <c r="G420" s="1" t="str">
        <f>"CN206035682U"</f>
        <v>CN206035682U</v>
      </c>
      <c r="H420" s="1" t="str">
        <f t="shared" si="205"/>
        <v>2017-03-22</v>
      </c>
      <c r="I420" s="1" t="str">
        <f t="shared" si="183"/>
        <v>刘德新</v>
      </c>
      <c r="J420" s="1" t="str">
        <f t="shared" si="207"/>
        <v>天津惠德汽车进气系统股份有限公司</v>
      </c>
    </row>
    <row r="421" spans="1:10">
      <c r="A421" s="1" t="str">
        <f t="shared" si="182"/>
        <v>天津惠德汽车进气系统股份有限公司</v>
      </c>
      <c r="B421" s="1" t="str">
        <f>"一种塑料进气管上浮动式滑块模具结构"</f>
        <v>一种塑料进气管上浮动式滑块模具结构</v>
      </c>
      <c r="C421" s="1" t="str">
        <f t="shared" si="209"/>
        <v>实用新型</v>
      </c>
      <c r="D421" s="1" t="str">
        <f t="shared" si="203"/>
        <v>未缴年费专利权终止</v>
      </c>
      <c r="E421" s="1" t="str">
        <f>"CN201621014742.0"</f>
        <v>CN201621014742.0</v>
      </c>
      <c r="F421" s="1" t="str">
        <f t="shared" si="199"/>
        <v>2016-08-31</v>
      </c>
      <c r="G421" s="1" t="str">
        <f>"CN206030453U"</f>
        <v>CN206030453U</v>
      </c>
      <c r="H421" s="1" t="str">
        <f t="shared" si="205"/>
        <v>2017-03-22</v>
      </c>
      <c r="I421" s="1" t="str">
        <f t="shared" si="183"/>
        <v>刘德新</v>
      </c>
      <c r="J421" s="1" t="str">
        <f t="shared" si="208"/>
        <v>天津惠德汽车进气系统有限公司</v>
      </c>
    </row>
    <row r="422" spans="1:10">
      <c r="A422" s="1" t="str">
        <f t="shared" si="182"/>
        <v>天津惠德汽车进气系统股份有限公司</v>
      </c>
      <c r="B422" s="1" t="str">
        <f>"一种塑料进气歧管上电磁阀固定结构"</f>
        <v>一种塑料进气歧管上电磁阀固定结构</v>
      </c>
      <c r="C422" s="1" t="str">
        <f t="shared" si="209"/>
        <v>实用新型</v>
      </c>
      <c r="D422" s="1" t="str">
        <f t="shared" si="203"/>
        <v>未缴年费专利权终止</v>
      </c>
      <c r="E422" s="1" t="str">
        <f>"CN201621014462.X"</f>
        <v>CN201621014462.X</v>
      </c>
      <c r="F422" s="1" t="str">
        <f t="shared" si="199"/>
        <v>2016-08-31</v>
      </c>
      <c r="G422" s="1" t="str">
        <f>"CN206035652U"</f>
        <v>CN206035652U</v>
      </c>
      <c r="H422" s="1" t="str">
        <f t="shared" si="205"/>
        <v>2017-03-22</v>
      </c>
      <c r="I422" s="1" t="str">
        <f t="shared" si="183"/>
        <v>刘德新</v>
      </c>
      <c r="J422" s="1" t="str">
        <f t="shared" si="208"/>
        <v>天津惠德汽车进气系统有限公司</v>
      </c>
    </row>
    <row r="423" spans="1:10">
      <c r="A423" s="1" t="str">
        <f t="shared" si="182"/>
        <v>天津惠德汽车进气系统股份有限公司</v>
      </c>
      <c r="B423" s="1" t="str">
        <f>"一款柴油发动机装饰罩盖"</f>
        <v>一款柴油发动机装饰罩盖</v>
      </c>
      <c r="C423" s="1" t="str">
        <f t="shared" si="209"/>
        <v>实用新型</v>
      </c>
      <c r="D423" s="1" t="str">
        <f t="shared" si="203"/>
        <v>未缴年费专利权终止</v>
      </c>
      <c r="E423" s="1" t="str">
        <f>"CN201621012664.0"</f>
        <v>CN201621012664.0</v>
      </c>
      <c r="F423" s="1" t="str">
        <f t="shared" si="199"/>
        <v>2016-08-31</v>
      </c>
      <c r="G423" s="1" t="str">
        <f>"CN205990973U"</f>
        <v>CN205990973U</v>
      </c>
      <c r="H423" s="1" t="str">
        <f>"2017-03-01"</f>
        <v>2017-03-01</v>
      </c>
      <c r="I423" s="1" t="str">
        <f t="shared" si="183"/>
        <v>刘德新</v>
      </c>
      <c r="J423" s="1" t="str">
        <f>"天津惠德汽车进气系统股份有限公司"</f>
        <v>天津惠德汽车进气系统股份有限公司</v>
      </c>
    </row>
    <row r="424" spans="1:10">
      <c r="A424" s="1" t="str">
        <f t="shared" si="182"/>
        <v>天津惠德汽车进气系统股份有限公司</v>
      </c>
      <c r="B424" s="1" t="str">
        <f>"一种塑料进气歧管上斜顶顶出模具结构"</f>
        <v>一种塑料进气歧管上斜顶顶出模具结构</v>
      </c>
      <c r="C424" s="1" t="str">
        <f t="shared" si="209"/>
        <v>实用新型</v>
      </c>
      <c r="D424" s="1" t="str">
        <f t="shared" si="203"/>
        <v>未缴年费专利权终止</v>
      </c>
      <c r="E424" s="1" t="str">
        <f>"CN201621012661.7"</f>
        <v>CN201621012661.7</v>
      </c>
      <c r="F424" s="1" t="str">
        <f t="shared" si="199"/>
        <v>2016-08-31</v>
      </c>
      <c r="G424" s="1" t="str">
        <f>"CN205969806U"</f>
        <v>CN205969806U</v>
      </c>
      <c r="H424" s="1" t="str">
        <f>"2017-02-22"</f>
        <v>2017-02-22</v>
      </c>
      <c r="I424" s="1" t="str">
        <f t="shared" si="183"/>
        <v>刘德新</v>
      </c>
      <c r="J424" s="1" t="str">
        <f t="shared" ref="J424:J432" si="210">"天津惠德汽车进气系统有限公司"</f>
        <v>天津惠德汽车进气系统有限公司</v>
      </c>
    </row>
    <row r="425" spans="1:10">
      <c r="A425" s="1" t="str">
        <f t="shared" si="182"/>
        <v>天津惠德汽车进气系统股份有限公司</v>
      </c>
      <c r="B425" s="1" t="str">
        <f>"一种发动机塑料件连接用金属嵌件结构"</f>
        <v>一种发动机塑料件连接用金属嵌件结构</v>
      </c>
      <c r="C425" s="1" t="str">
        <f>"发明授权"</f>
        <v>发明授权</v>
      </c>
      <c r="D425" s="1" t="str">
        <f t="shared" si="203"/>
        <v>未缴年费专利权终止</v>
      </c>
      <c r="E425" s="1" t="str">
        <f>"CN201410819543.6"</f>
        <v>CN201410819543.6</v>
      </c>
      <c r="F425" s="1" t="str">
        <f>"2014-12-24"</f>
        <v>2014-12-24</v>
      </c>
      <c r="G425" s="1" t="str">
        <f>"CN104526958B"</f>
        <v>CN104526958B</v>
      </c>
      <c r="H425" s="1" t="str">
        <f>"2017-02-22"</f>
        <v>2017-02-22</v>
      </c>
      <c r="I425" s="1" t="str">
        <f t="shared" si="183"/>
        <v>刘德新</v>
      </c>
      <c r="J425" s="1" t="str">
        <f>"天津惠德汽车进气系统股份有限公司"</f>
        <v>天津惠德汽车进气系统股份有限公司</v>
      </c>
    </row>
    <row r="426" spans="1:10">
      <c r="A426" s="1" t="str">
        <f t="shared" si="182"/>
        <v>天津惠德汽车进气系统股份有限公司</v>
      </c>
      <c r="B426" s="1" t="str">
        <f>"罩盖（8）"</f>
        <v>罩盖（8）</v>
      </c>
      <c r="C426" s="1" t="str">
        <f>"外观设计"</f>
        <v>外观设计</v>
      </c>
      <c r="D426" s="1" t="str">
        <f t="shared" si="203"/>
        <v>未缴年费专利权终止</v>
      </c>
      <c r="E426" s="1" t="str">
        <f>"CN201630455341.8"</f>
        <v>CN201630455341.8</v>
      </c>
      <c r="F426" s="1" t="str">
        <f>"2016-08-31"</f>
        <v>2016-08-31</v>
      </c>
      <c r="G426" s="1" t="str">
        <f>"CN304045342S"</f>
        <v>CN304045342S</v>
      </c>
      <c r="H426" s="1" t="str">
        <f>"2017-02-15"</f>
        <v>2017-02-15</v>
      </c>
      <c r="I426" s="1" t="str">
        <f t="shared" si="183"/>
        <v>刘德新</v>
      </c>
      <c r="J426" s="1" t="str">
        <f t="shared" si="210"/>
        <v>天津惠德汽车进气系统有限公司</v>
      </c>
    </row>
    <row r="427" spans="1:10">
      <c r="A427" s="1" t="str">
        <f t="shared" si="182"/>
        <v>天津惠德汽车进气系统股份有限公司</v>
      </c>
      <c r="B427" s="1" t="str">
        <f>"罩盖（9）"</f>
        <v>罩盖（9）</v>
      </c>
      <c r="C427" s="1" t="str">
        <f>"外观设计"</f>
        <v>外观设计</v>
      </c>
      <c r="D427" s="1" t="str">
        <f t="shared" si="203"/>
        <v>未缴年费专利权终止</v>
      </c>
      <c r="E427" s="1" t="str">
        <f>"CN201630459058.2"</f>
        <v>CN201630459058.2</v>
      </c>
      <c r="F427" s="1" t="str">
        <f>"2016-08-31"</f>
        <v>2016-08-31</v>
      </c>
      <c r="G427" s="1" t="str">
        <f>"CN304030779S"</f>
        <v>CN304030779S</v>
      </c>
      <c r="H427" s="1" t="str">
        <f>"2017-02-08"</f>
        <v>2017-02-08</v>
      </c>
      <c r="I427" s="1" t="str">
        <f t="shared" si="183"/>
        <v>刘德新</v>
      </c>
      <c r="J427" s="1" t="str">
        <f t="shared" si="210"/>
        <v>天津惠德汽车进气系统有限公司</v>
      </c>
    </row>
    <row r="428" spans="1:10">
      <c r="A428" s="1" t="str">
        <f t="shared" si="182"/>
        <v>天津惠德汽车进气系统股份有限公司</v>
      </c>
      <c r="B428" s="1" t="str">
        <f>"一种带有冷却快接结构的注塑模具"</f>
        <v>一种带有冷却快接结构的注塑模具</v>
      </c>
      <c r="C428" s="1" t="str">
        <f t="shared" ref="C428:C433" si="211">"实用新型"</f>
        <v>实用新型</v>
      </c>
      <c r="D428" s="1" t="str">
        <f t="shared" si="203"/>
        <v>未缴年费专利权终止</v>
      </c>
      <c r="E428" s="1" t="str">
        <f>"CN201521143282.7"</f>
        <v>CN201521143282.7</v>
      </c>
      <c r="F428" s="1" t="str">
        <f>"2015-12-31"</f>
        <v>2015-12-31</v>
      </c>
      <c r="G428" s="1" t="str">
        <f>"CN205735794U"</f>
        <v>CN205735794U</v>
      </c>
      <c r="H428" s="1" t="str">
        <f>"2016-11-30"</f>
        <v>2016-11-30</v>
      </c>
      <c r="I428" s="1" t="str">
        <f t="shared" si="183"/>
        <v>刘德新</v>
      </c>
      <c r="J428" s="1" t="str">
        <f t="shared" si="210"/>
        <v>天津惠德汽车进气系统有限公司</v>
      </c>
    </row>
    <row r="429" spans="1:10">
      <c r="A429" s="1" t="str">
        <f t="shared" si="182"/>
        <v>天津惠德汽车进气系统股份有限公司</v>
      </c>
      <c r="B429" s="1" t="str">
        <f>"一种塑料进气歧管中螺纹一体成型的模具结构"</f>
        <v>一种塑料进气歧管中螺纹一体成型的模具结构</v>
      </c>
      <c r="C429" s="1" t="str">
        <f t="shared" si="211"/>
        <v>实用新型</v>
      </c>
      <c r="D429" s="1" t="str">
        <f t="shared" si="203"/>
        <v>未缴年费专利权终止</v>
      </c>
      <c r="E429" s="1" t="str">
        <f>"CN201521127866.5"</f>
        <v>CN201521127866.5</v>
      </c>
      <c r="F429" s="1" t="str">
        <f t="shared" ref="F429:F432" si="212">"2015-12-28"</f>
        <v>2015-12-28</v>
      </c>
      <c r="G429" s="1" t="str">
        <f>"CN205439087U"</f>
        <v>CN205439087U</v>
      </c>
      <c r="H429" s="1" t="str">
        <f t="shared" ref="H429:H432" si="213">"2016-08-10"</f>
        <v>2016-08-10</v>
      </c>
      <c r="I429" s="1" t="str">
        <f t="shared" si="183"/>
        <v>刘德新</v>
      </c>
      <c r="J429" s="1" t="str">
        <f t="shared" si="210"/>
        <v>天津惠德汽车进气系统有限公司</v>
      </c>
    </row>
    <row r="430" spans="1:10">
      <c r="A430" s="1" t="str">
        <f t="shared" si="182"/>
        <v>天津惠德汽车进气系统股份有限公司</v>
      </c>
      <c r="B430" s="1" t="str">
        <f>"一种进气歧管注塑模具上防止预埋嵌件覆盖的装置"</f>
        <v>一种进气歧管注塑模具上防止预埋嵌件覆盖的装置</v>
      </c>
      <c r="C430" s="1" t="str">
        <f t="shared" si="211"/>
        <v>实用新型</v>
      </c>
      <c r="D430" s="1" t="str">
        <f t="shared" si="203"/>
        <v>未缴年费专利权终止</v>
      </c>
      <c r="E430" s="1" t="str">
        <f>"CN201521127810.X"</f>
        <v>CN201521127810.X</v>
      </c>
      <c r="F430" s="1" t="str">
        <f t="shared" si="212"/>
        <v>2015-12-28</v>
      </c>
      <c r="G430" s="1" t="str">
        <f>"CN205439062U"</f>
        <v>CN205439062U</v>
      </c>
      <c r="H430" s="1" t="str">
        <f t="shared" si="213"/>
        <v>2016-08-10</v>
      </c>
      <c r="I430" s="1" t="str">
        <f t="shared" si="183"/>
        <v>刘德新</v>
      </c>
      <c r="J430" s="1" t="str">
        <f t="shared" si="210"/>
        <v>天津惠德汽车进气系统有限公司</v>
      </c>
    </row>
    <row r="431" spans="1:10">
      <c r="A431" s="1" t="str">
        <f t="shared" si="182"/>
        <v>天津惠德汽车进气系统股份有限公司</v>
      </c>
      <c r="B431" s="1" t="str">
        <f>"一种塑料进气歧管的检测装置"</f>
        <v>一种塑料进气歧管的检测装置</v>
      </c>
      <c r="C431" s="1" t="str">
        <f t="shared" si="211"/>
        <v>实用新型</v>
      </c>
      <c r="D431" s="1" t="str">
        <f t="shared" si="203"/>
        <v>未缴年费专利权终止</v>
      </c>
      <c r="E431" s="1" t="str">
        <f>"CN201521129419.3"</f>
        <v>CN201521129419.3</v>
      </c>
      <c r="F431" s="1" t="str">
        <f t="shared" si="212"/>
        <v>2015-12-28</v>
      </c>
      <c r="G431" s="1" t="str">
        <f>"CN205449465U"</f>
        <v>CN205449465U</v>
      </c>
      <c r="H431" s="1" t="str">
        <f t="shared" si="213"/>
        <v>2016-08-10</v>
      </c>
      <c r="I431" s="1" t="str">
        <f t="shared" si="183"/>
        <v>刘德新</v>
      </c>
      <c r="J431" s="1" t="str">
        <f t="shared" si="210"/>
        <v>天津惠德汽车进气系统有限公司</v>
      </c>
    </row>
    <row r="432" spans="1:10">
      <c r="A432" s="1" t="str">
        <f t="shared" si="182"/>
        <v>天津惠德汽车进气系统股份有限公司</v>
      </c>
      <c r="B432" s="1" t="str">
        <f>"一种用于清理塑料进气歧管上溢料的工装"</f>
        <v>一种用于清理塑料进气歧管上溢料的工装</v>
      </c>
      <c r="C432" s="1" t="str">
        <f t="shared" si="211"/>
        <v>实用新型</v>
      </c>
      <c r="D432" s="1" t="str">
        <f t="shared" si="203"/>
        <v>未缴年费专利权终止</v>
      </c>
      <c r="E432" s="1" t="str">
        <f>"CN201521127545.5"</f>
        <v>CN201521127545.5</v>
      </c>
      <c r="F432" s="1" t="str">
        <f t="shared" si="212"/>
        <v>2015-12-28</v>
      </c>
      <c r="G432" s="1" t="str">
        <f>"CN205439014U"</f>
        <v>CN205439014U</v>
      </c>
      <c r="H432" s="1" t="str">
        <f t="shared" si="213"/>
        <v>2016-08-10</v>
      </c>
      <c r="I432" s="1" t="str">
        <f t="shared" si="183"/>
        <v>刘德新</v>
      </c>
      <c r="J432" s="1" t="str">
        <f t="shared" si="210"/>
        <v>天津惠德汽车进气系统有限公司</v>
      </c>
    </row>
    <row r="433" spans="1:10">
      <c r="A433" s="1" t="str">
        <f t="shared" si="182"/>
        <v>天津惠德汽车进气系统股份有限公司</v>
      </c>
      <c r="B433" s="1" t="str">
        <f>"一种柴油发动机隔音罩"</f>
        <v>一种柴油发动机隔音罩</v>
      </c>
      <c r="C433" s="1" t="str">
        <f t="shared" si="211"/>
        <v>实用新型</v>
      </c>
      <c r="D433" s="1" t="str">
        <f t="shared" si="203"/>
        <v>未缴年费专利权终止</v>
      </c>
      <c r="E433" s="1" t="str">
        <f>"CN201521143279.5"</f>
        <v>CN201521143279.5</v>
      </c>
      <c r="F433" s="1" t="str">
        <f>"2015-12-31"</f>
        <v>2015-12-31</v>
      </c>
      <c r="G433" s="1" t="str">
        <f>"CN205422937U"</f>
        <v>CN205422937U</v>
      </c>
      <c r="H433" s="1" t="str">
        <f>"2016-08-03"</f>
        <v>2016-08-03</v>
      </c>
      <c r="I433" s="1" t="str">
        <f t="shared" si="183"/>
        <v>刘德新</v>
      </c>
      <c r="J433" s="1" t="str">
        <f>"天津惠德汽车进气系统股份有限公司"</f>
        <v>天津惠德汽车进气系统股份有限公司</v>
      </c>
    </row>
    <row r="434" spans="1:10">
      <c r="A434" s="1" t="str">
        <f t="shared" si="182"/>
        <v>天津惠德汽车进气系统股份有限公司</v>
      </c>
      <c r="B434" s="1" t="str">
        <f>"一种进气歧管注塑模具"</f>
        <v>一种进气歧管注塑模具</v>
      </c>
      <c r="C434" s="1" t="str">
        <f t="shared" ref="C434:C438" si="214">"发明公布"</f>
        <v>发明公布</v>
      </c>
      <c r="D434" s="1" t="str">
        <f t="shared" ref="D434:D438" si="215">"公布视为撤回"</f>
        <v>公布视为撤回</v>
      </c>
      <c r="E434" s="1" t="str">
        <f>"CN201410851907.9"</f>
        <v>CN201410851907.9</v>
      </c>
      <c r="F434" s="1" t="str">
        <f>"2014-12-31"</f>
        <v>2014-12-31</v>
      </c>
      <c r="G434" s="1" t="str">
        <f>"CN105799119A"</f>
        <v>CN105799119A</v>
      </c>
      <c r="H434" s="1" t="str">
        <f>"2016-07-27"</f>
        <v>2016-07-27</v>
      </c>
      <c r="I434" s="1" t="str">
        <f t="shared" si="183"/>
        <v>刘德新</v>
      </c>
      <c r="J434" s="1" t="str">
        <f t="shared" ref="J434:J450" si="216">"天津惠德汽车进气系统有限公司"</f>
        <v>天津惠德汽车进气系统有限公司</v>
      </c>
    </row>
    <row r="435" spans="1:10">
      <c r="A435" s="1" t="str">
        <f t="shared" si="182"/>
        <v>天津惠德汽车进气系统股份有限公司</v>
      </c>
      <c r="B435" s="1" t="str">
        <f>"一种发动机进气流量的智能测试装置"</f>
        <v>一种发动机进气流量的智能测试装置</v>
      </c>
      <c r="C435" s="1" t="str">
        <f t="shared" si="214"/>
        <v>发明公布</v>
      </c>
      <c r="D435" s="1" t="str">
        <f t="shared" si="215"/>
        <v>公布视为撤回</v>
      </c>
      <c r="E435" s="1" t="str">
        <f>"CN201410816753.X"</f>
        <v>CN201410816753.X</v>
      </c>
      <c r="F435" s="1" t="str">
        <f>"2014-12-23"</f>
        <v>2014-12-23</v>
      </c>
      <c r="G435" s="1" t="str">
        <f>"CN105784373A"</f>
        <v>CN105784373A</v>
      </c>
      <c r="H435" s="1" t="str">
        <f t="shared" ref="H435:H438" si="217">"2016-07-20"</f>
        <v>2016-07-20</v>
      </c>
      <c r="I435" s="1" t="str">
        <f t="shared" si="183"/>
        <v>刘德新</v>
      </c>
      <c r="J435" s="1" t="str">
        <f t="shared" si="216"/>
        <v>天津惠德汽车进气系统有限公司</v>
      </c>
    </row>
    <row r="436" spans="1:10">
      <c r="A436" s="1" t="str">
        <f t="shared" ref="A436:A471" si="218">"天津惠德汽车进气系统股份有限公司"</f>
        <v>天津惠德汽车进气系统股份有限公司</v>
      </c>
      <c r="B436" s="1" t="str">
        <f>"一种带预热装置的搅拌摩擦焊接机构"</f>
        <v>一种带预热装置的搅拌摩擦焊接机构</v>
      </c>
      <c r="C436" s="1" t="str">
        <f t="shared" si="214"/>
        <v>发明公布</v>
      </c>
      <c r="D436" s="1" t="str">
        <f t="shared" si="215"/>
        <v>公布视为撤回</v>
      </c>
      <c r="E436" s="1" t="str">
        <f>"CN201410821485.0"</f>
        <v>CN201410821485.0</v>
      </c>
      <c r="F436" s="1" t="str">
        <f>"2014-12-25"</f>
        <v>2014-12-25</v>
      </c>
      <c r="G436" s="1" t="str">
        <f>"CN105772931A"</f>
        <v>CN105772931A</v>
      </c>
      <c r="H436" s="1" t="str">
        <f t="shared" si="217"/>
        <v>2016-07-20</v>
      </c>
      <c r="I436" s="1" t="str">
        <f t="shared" ref="I436:I471" si="219">"刘德新"</f>
        <v>刘德新</v>
      </c>
      <c r="J436" s="1" t="str">
        <f t="shared" si="216"/>
        <v>天津惠德汽车进气系统有限公司</v>
      </c>
    </row>
    <row r="437" spans="1:10">
      <c r="A437" s="1" t="str">
        <f t="shared" si="218"/>
        <v>天津惠德汽车进气系统股份有限公司</v>
      </c>
      <c r="B437" s="1" t="str">
        <f>"一种带有防脱金属嵌件的模具"</f>
        <v>一种带有防脱金属嵌件的模具</v>
      </c>
      <c r="C437" s="1" t="str">
        <f t="shared" si="214"/>
        <v>发明公布</v>
      </c>
      <c r="D437" s="1" t="str">
        <f t="shared" si="215"/>
        <v>公布视为撤回</v>
      </c>
      <c r="E437" s="1" t="str">
        <f>"CN201410826366.4"</f>
        <v>CN201410826366.4</v>
      </c>
      <c r="F437" s="1" t="str">
        <f>"2014-12-25"</f>
        <v>2014-12-25</v>
      </c>
      <c r="G437" s="1" t="str">
        <f>"CN105773926A"</f>
        <v>CN105773926A</v>
      </c>
      <c r="H437" s="1" t="str">
        <f t="shared" si="217"/>
        <v>2016-07-20</v>
      </c>
      <c r="I437" s="1" t="str">
        <f t="shared" si="219"/>
        <v>刘德新</v>
      </c>
      <c r="J437" s="1" t="str">
        <f t="shared" si="216"/>
        <v>天津惠德汽车进气系统有限公司</v>
      </c>
    </row>
    <row r="438" spans="1:10">
      <c r="A438" s="1" t="str">
        <f t="shared" si="218"/>
        <v>天津惠德汽车进气系统股份有限公司</v>
      </c>
      <c r="B438" s="1" t="str">
        <f>"一种消除圆孔周边应力集中的塑化件"</f>
        <v>一种消除圆孔周边应力集中的塑化件</v>
      </c>
      <c r="C438" s="1" t="str">
        <f t="shared" si="214"/>
        <v>发明公布</v>
      </c>
      <c r="D438" s="1" t="str">
        <f t="shared" si="215"/>
        <v>公布视为撤回</v>
      </c>
      <c r="E438" s="1" t="str">
        <f>"CN201410819785.5"</f>
        <v>CN201410819785.5</v>
      </c>
      <c r="F438" s="1" t="str">
        <f>"2014-12-24"</f>
        <v>2014-12-24</v>
      </c>
      <c r="G438" s="1" t="str">
        <f>"CN105781665A"</f>
        <v>CN105781665A</v>
      </c>
      <c r="H438" s="1" t="str">
        <f t="shared" si="217"/>
        <v>2016-07-20</v>
      </c>
      <c r="I438" s="1" t="str">
        <f t="shared" si="219"/>
        <v>刘德新</v>
      </c>
      <c r="J438" s="1" t="str">
        <f t="shared" si="216"/>
        <v>天津惠德汽车进气系统有限公司</v>
      </c>
    </row>
    <row r="439" spans="1:10">
      <c r="A439" s="1" t="str">
        <f t="shared" si="218"/>
        <v>天津惠德汽车进气系统股份有限公司</v>
      </c>
      <c r="B439" s="1" t="str">
        <f>"一种进气歧管的前模弹块机构"</f>
        <v>一种进气歧管的前模弹块机构</v>
      </c>
      <c r="C439" s="1" t="str">
        <f t="shared" ref="C439:C443" si="220">"实用新型"</f>
        <v>实用新型</v>
      </c>
      <c r="D439" s="1" t="str">
        <f t="shared" ref="D439:D443" si="221">"未缴年费专利权终止"</f>
        <v>未缴年费专利权终止</v>
      </c>
      <c r="E439" s="1" t="str">
        <f>"CN201521123534.X"</f>
        <v>CN201521123534.X</v>
      </c>
      <c r="F439" s="1" t="str">
        <f t="shared" ref="F439:F442" si="222">"2015-12-28"</f>
        <v>2015-12-28</v>
      </c>
      <c r="G439" s="1" t="str">
        <f>"CN205364410U"</f>
        <v>CN205364410U</v>
      </c>
      <c r="H439" s="1" t="str">
        <f t="shared" ref="H439:H442" si="223">"2016-07-06"</f>
        <v>2016-07-06</v>
      </c>
      <c r="I439" s="1" t="str">
        <f t="shared" si="219"/>
        <v>刘德新</v>
      </c>
      <c r="J439" s="1" t="str">
        <f t="shared" si="216"/>
        <v>天津惠德汽车进气系统有限公司</v>
      </c>
    </row>
    <row r="440" spans="1:10">
      <c r="A440" s="1" t="str">
        <f t="shared" si="218"/>
        <v>天津惠德汽车进气系统股份有限公司</v>
      </c>
      <c r="B440" s="1" t="str">
        <f>"一种检查塑料进气歧管缸套通透性的装置"</f>
        <v>一种检查塑料进气歧管缸套通透性的装置</v>
      </c>
      <c r="C440" s="1" t="str">
        <f t="shared" si="220"/>
        <v>实用新型</v>
      </c>
      <c r="D440" s="1" t="str">
        <f t="shared" si="221"/>
        <v>未缴年费专利权终止</v>
      </c>
      <c r="E440" s="1" t="str">
        <f>"CN201521127543.6"</f>
        <v>CN201521127543.6</v>
      </c>
      <c r="F440" s="1" t="str">
        <f t="shared" si="222"/>
        <v>2015-12-28</v>
      </c>
      <c r="G440" s="1" t="str">
        <f>"CN205373745U"</f>
        <v>CN205373745U</v>
      </c>
      <c r="H440" s="1" t="str">
        <f t="shared" si="223"/>
        <v>2016-07-06</v>
      </c>
      <c r="I440" s="1" t="str">
        <f t="shared" si="219"/>
        <v>刘德新</v>
      </c>
      <c r="J440" s="1" t="str">
        <f t="shared" si="216"/>
        <v>天津惠德汽车进气系统有限公司</v>
      </c>
    </row>
    <row r="441" spans="1:10">
      <c r="A441" s="1" t="str">
        <f t="shared" si="218"/>
        <v>天津惠德汽车进气系统股份有限公司</v>
      </c>
      <c r="B441" s="1" t="str">
        <f>"一种汽车塑料进气歧管自动安装缸套的工装结构"</f>
        <v>一种汽车塑料进气歧管自动安装缸套的工装结构</v>
      </c>
      <c r="C441" s="1" t="str">
        <f t="shared" si="220"/>
        <v>实用新型</v>
      </c>
      <c r="D441" s="1" t="str">
        <f t="shared" si="221"/>
        <v>未缴年费专利权终止</v>
      </c>
      <c r="E441" s="1" t="str">
        <f>"CN201521123533.5"</f>
        <v>CN201521123533.5</v>
      </c>
      <c r="F441" s="1" t="str">
        <f t="shared" si="222"/>
        <v>2015-12-28</v>
      </c>
      <c r="G441" s="1" t="str">
        <f>"CN205363194U"</f>
        <v>CN205363194U</v>
      </c>
      <c r="H441" s="1" t="str">
        <f t="shared" si="223"/>
        <v>2016-07-06</v>
      </c>
      <c r="I441" s="1" t="str">
        <f t="shared" si="219"/>
        <v>刘德新</v>
      </c>
      <c r="J441" s="1" t="str">
        <f t="shared" si="216"/>
        <v>天津惠德汽车进气系统有限公司</v>
      </c>
    </row>
    <row r="442" spans="1:10">
      <c r="A442" s="1" t="str">
        <f t="shared" si="218"/>
        <v>天津惠德汽车进气系统股份有限公司</v>
      </c>
      <c r="B442" s="1" t="str">
        <f>"一种用于监测塑料进气歧管加工的感应装置"</f>
        <v>一种用于监测塑料进气歧管加工的感应装置</v>
      </c>
      <c r="C442" s="1" t="str">
        <f t="shared" si="220"/>
        <v>实用新型</v>
      </c>
      <c r="D442" s="1" t="str">
        <f t="shared" si="221"/>
        <v>未缴年费专利权终止</v>
      </c>
      <c r="E442" s="1" t="str">
        <f>"CN201521127542.1"</f>
        <v>CN201521127542.1</v>
      </c>
      <c r="F442" s="1" t="str">
        <f t="shared" si="222"/>
        <v>2015-12-28</v>
      </c>
      <c r="G442" s="1" t="str">
        <f>"CN205364523U"</f>
        <v>CN205364523U</v>
      </c>
      <c r="H442" s="1" t="str">
        <f t="shared" si="223"/>
        <v>2016-07-06</v>
      </c>
      <c r="I442" s="1" t="str">
        <f t="shared" si="219"/>
        <v>刘德新</v>
      </c>
      <c r="J442" s="1" t="str">
        <f t="shared" si="216"/>
        <v>天津惠德汽车进气系统有限公司</v>
      </c>
    </row>
    <row r="443" spans="1:10">
      <c r="A443" s="1" t="str">
        <f t="shared" si="218"/>
        <v>天津惠德汽车进气系统股份有限公司</v>
      </c>
      <c r="B443" s="1" t="str">
        <f>"一种用于旋转焊接的工件焊接机构"</f>
        <v>一种用于旋转焊接的工件焊接机构</v>
      </c>
      <c r="C443" s="1" t="str">
        <f t="shared" si="220"/>
        <v>实用新型</v>
      </c>
      <c r="D443" s="1" t="str">
        <f t="shared" si="221"/>
        <v>未缴年费专利权终止</v>
      </c>
      <c r="E443" s="1" t="str">
        <f>"CN201521143368.X"</f>
        <v>CN201521143368.X</v>
      </c>
      <c r="F443" s="1" t="str">
        <f>"2015-12-31"</f>
        <v>2015-12-31</v>
      </c>
      <c r="G443" s="1" t="str">
        <f>"CN205325000U"</f>
        <v>CN205325000U</v>
      </c>
      <c r="H443" s="1" t="str">
        <f>"2016-06-22"</f>
        <v>2016-06-22</v>
      </c>
      <c r="I443" s="1" t="str">
        <f t="shared" si="219"/>
        <v>刘德新</v>
      </c>
      <c r="J443" s="1" t="str">
        <f t="shared" si="216"/>
        <v>天津惠德汽车进气系统有限公司</v>
      </c>
    </row>
    <row r="444" spans="1:10">
      <c r="A444" s="1" t="str">
        <f t="shared" si="218"/>
        <v>天津惠德汽车进气系统股份有限公司</v>
      </c>
      <c r="B444" s="1" t="str">
        <f>"一种进气歧管注塑模具上防止预埋嵌件覆盖的装置"</f>
        <v>一种进气歧管注塑模具上防止预埋嵌件覆盖的装置</v>
      </c>
      <c r="C444" s="1" t="str">
        <f t="shared" ref="C444:C448" si="224">"发明公布"</f>
        <v>发明公布</v>
      </c>
      <c r="D444" s="1" t="str">
        <f t="shared" ref="D444:D448" si="225">"公布视为撤回"</f>
        <v>公布视为撤回</v>
      </c>
      <c r="E444" s="1" t="str">
        <f>"CN201511014373.5"</f>
        <v>CN201511014373.5</v>
      </c>
      <c r="F444" s="1" t="str">
        <f t="shared" ref="F444:F448" si="226">"2015-12-28"</f>
        <v>2015-12-28</v>
      </c>
      <c r="G444" s="1" t="str">
        <f>"CN105500603A"</f>
        <v>CN105500603A</v>
      </c>
      <c r="H444" s="1" t="str">
        <f>"2016-04-20"</f>
        <v>2016-04-20</v>
      </c>
      <c r="I444" s="1" t="str">
        <f t="shared" si="219"/>
        <v>刘德新</v>
      </c>
      <c r="J444" s="1" t="str">
        <f t="shared" si="216"/>
        <v>天津惠德汽车进气系统有限公司</v>
      </c>
    </row>
    <row r="445" spans="1:10">
      <c r="A445" s="1" t="str">
        <f t="shared" si="218"/>
        <v>天津惠德汽车进气系统股份有限公司</v>
      </c>
      <c r="B445" s="1" t="str">
        <f>"一种检查塑料进气歧管缸套通透性的装置"</f>
        <v>一种检查塑料进气歧管缸套通透性的装置</v>
      </c>
      <c r="C445" s="1" t="str">
        <f t="shared" si="224"/>
        <v>发明公布</v>
      </c>
      <c r="D445" s="1" t="str">
        <f t="shared" si="225"/>
        <v>公布视为撤回</v>
      </c>
      <c r="E445" s="1" t="str">
        <f>"CN201511014374.X"</f>
        <v>CN201511014374.X</v>
      </c>
      <c r="F445" s="1" t="str">
        <f t="shared" si="226"/>
        <v>2015-12-28</v>
      </c>
      <c r="G445" s="1" t="str">
        <f>"CN105509789A"</f>
        <v>CN105509789A</v>
      </c>
      <c r="H445" s="1" t="str">
        <f>"2016-04-20"</f>
        <v>2016-04-20</v>
      </c>
      <c r="I445" s="1" t="str">
        <f t="shared" si="219"/>
        <v>刘德新</v>
      </c>
      <c r="J445" s="1" t="str">
        <f t="shared" si="216"/>
        <v>天津惠德汽车进气系统有限公司</v>
      </c>
    </row>
    <row r="446" spans="1:10">
      <c r="A446" s="1" t="str">
        <f t="shared" si="218"/>
        <v>天津惠德汽车进气系统股份有限公司</v>
      </c>
      <c r="B446" s="1" t="str">
        <f>"一种用于监测塑料进气歧管加工的感应装置"</f>
        <v>一种用于监测塑料进气歧管加工的感应装置</v>
      </c>
      <c r="C446" s="1" t="str">
        <f t="shared" si="224"/>
        <v>发明公布</v>
      </c>
      <c r="D446" s="1" t="str">
        <f t="shared" si="225"/>
        <v>公布视为撤回</v>
      </c>
      <c r="E446" s="1" t="str">
        <f>"CN201511014381.X"</f>
        <v>CN201511014381.X</v>
      </c>
      <c r="F446" s="1" t="str">
        <f t="shared" si="226"/>
        <v>2015-12-28</v>
      </c>
      <c r="G446" s="1" t="str">
        <f>"CN105437533A"</f>
        <v>CN105437533A</v>
      </c>
      <c r="H446" s="1" t="str">
        <f>"2016-03-30"</f>
        <v>2016-03-30</v>
      </c>
      <c r="I446" s="1" t="str">
        <f t="shared" si="219"/>
        <v>刘德新</v>
      </c>
      <c r="J446" s="1" t="str">
        <f t="shared" si="216"/>
        <v>天津惠德汽车进气系统有限公司</v>
      </c>
    </row>
    <row r="447" spans="1:10">
      <c r="A447" s="1" t="str">
        <f t="shared" si="218"/>
        <v>天津惠德汽车进气系统股份有限公司</v>
      </c>
      <c r="B447" s="1" t="str">
        <f>"一种进气歧管的前模弹块机构"</f>
        <v>一种进气歧管的前模弹块机构</v>
      </c>
      <c r="C447" s="1" t="str">
        <f t="shared" si="224"/>
        <v>发明公布</v>
      </c>
      <c r="D447" s="1" t="str">
        <f t="shared" si="225"/>
        <v>公布视为撤回</v>
      </c>
      <c r="E447" s="1" t="str">
        <f>"CN201511014375.4"</f>
        <v>CN201511014375.4</v>
      </c>
      <c r="F447" s="1" t="str">
        <f t="shared" si="226"/>
        <v>2015-12-28</v>
      </c>
      <c r="G447" s="1" t="str">
        <f>"CN105415602A"</f>
        <v>CN105415602A</v>
      </c>
      <c r="H447" s="1" t="str">
        <f>"2016-03-23"</f>
        <v>2016-03-23</v>
      </c>
      <c r="I447" s="1" t="str">
        <f t="shared" si="219"/>
        <v>刘德新</v>
      </c>
      <c r="J447" s="1" t="str">
        <f t="shared" si="216"/>
        <v>天津惠德汽车进气系统有限公司</v>
      </c>
    </row>
    <row r="448" spans="1:10">
      <c r="A448" s="1" t="str">
        <f t="shared" si="218"/>
        <v>天津惠德汽车进气系统股份有限公司</v>
      </c>
      <c r="B448" s="1" t="str">
        <f>"一种汽车塑料进气歧管自动安装缸套的工装结构"</f>
        <v>一种汽车塑料进气歧管自动安装缸套的工装结构</v>
      </c>
      <c r="C448" s="1" t="str">
        <f t="shared" si="224"/>
        <v>发明公布</v>
      </c>
      <c r="D448" s="1" t="str">
        <f t="shared" si="225"/>
        <v>公布视为撤回</v>
      </c>
      <c r="E448" s="1" t="str">
        <f>"CN201511018142.1"</f>
        <v>CN201511018142.1</v>
      </c>
      <c r="F448" s="1" t="str">
        <f t="shared" si="226"/>
        <v>2015-12-28</v>
      </c>
      <c r="G448" s="1" t="str">
        <f>"CN105414937A"</f>
        <v>CN105414937A</v>
      </c>
      <c r="H448" s="1" t="str">
        <f>"2016-03-23"</f>
        <v>2016-03-23</v>
      </c>
      <c r="I448" s="1" t="str">
        <f t="shared" si="219"/>
        <v>刘德新</v>
      </c>
      <c r="J448" s="1" t="str">
        <f t="shared" si="216"/>
        <v>天津惠德汽车进气系统有限公司</v>
      </c>
    </row>
    <row r="449" spans="1:10">
      <c r="A449" s="1" t="str">
        <f t="shared" si="218"/>
        <v>天津惠德汽车进气系统股份有限公司</v>
      </c>
      <c r="B449" s="1" t="str">
        <f>"可变长度塑料歧管"</f>
        <v>可变长度塑料歧管</v>
      </c>
      <c r="C449" s="1" t="str">
        <f t="shared" ref="C449:C453" si="227">"外观设计"</f>
        <v>外观设计</v>
      </c>
      <c r="D449" s="1" t="str">
        <f t="shared" ref="D449:D453" si="228">"未缴年费专利权终止"</f>
        <v>未缴年费专利权终止</v>
      </c>
      <c r="E449" s="1" t="str">
        <f>"CN201430547605.3"</f>
        <v>CN201430547605.3</v>
      </c>
      <c r="F449" s="1" t="str">
        <f t="shared" ref="F449:F453" si="229">"2014-12-23"</f>
        <v>2014-12-23</v>
      </c>
      <c r="G449" s="1" t="str">
        <f>"CN303339130S"</f>
        <v>CN303339130S</v>
      </c>
      <c r="H449" s="1" t="str">
        <f>"2015-08-19"</f>
        <v>2015-08-19</v>
      </c>
      <c r="I449" s="1" t="str">
        <f t="shared" si="219"/>
        <v>刘德新</v>
      </c>
      <c r="J449" s="1" t="str">
        <f t="shared" si="216"/>
        <v>天津惠德汽车进气系统有限公司</v>
      </c>
    </row>
    <row r="450" spans="1:10">
      <c r="A450" s="1" t="str">
        <f t="shared" si="218"/>
        <v>天津惠德汽车进气系统股份有限公司</v>
      </c>
      <c r="B450" s="1" t="str">
        <f>"三缸增压进气歧管"</f>
        <v>三缸增压进气歧管</v>
      </c>
      <c r="C450" s="1" t="str">
        <f t="shared" si="227"/>
        <v>外观设计</v>
      </c>
      <c r="D450" s="1" t="str">
        <f t="shared" si="228"/>
        <v>未缴年费专利权终止</v>
      </c>
      <c r="E450" s="1" t="str">
        <f>"CN201430547633.5"</f>
        <v>CN201430547633.5</v>
      </c>
      <c r="F450" s="1" t="str">
        <f t="shared" si="229"/>
        <v>2014-12-23</v>
      </c>
      <c r="G450" s="1" t="str">
        <f>"CN303239715S"</f>
        <v>CN303239715S</v>
      </c>
      <c r="H450" s="1" t="str">
        <f t="shared" ref="H450:H454" si="230">"2015-06-10"</f>
        <v>2015-06-10</v>
      </c>
      <c r="I450" s="1" t="str">
        <f t="shared" si="219"/>
        <v>刘德新</v>
      </c>
      <c r="J450" s="1" t="str">
        <f t="shared" si="216"/>
        <v>天津惠德汽车进气系统有限公司</v>
      </c>
    </row>
    <row r="451" spans="1:10">
      <c r="A451" s="1" t="str">
        <f t="shared" si="218"/>
        <v>天津惠德汽车进气系统股份有限公司</v>
      </c>
      <c r="B451" s="1" t="str">
        <f>"一种进气歧管注塑模具"</f>
        <v>一种进气歧管注塑模具</v>
      </c>
      <c r="C451" s="1" t="str">
        <f t="shared" ref="C451:C458" si="231">"实用新型"</f>
        <v>实用新型</v>
      </c>
      <c r="D451" s="1" t="str">
        <f t="shared" si="228"/>
        <v>未缴年费专利权终止</v>
      </c>
      <c r="E451" s="1" t="str">
        <f>"CN201420864799.4"</f>
        <v>CN201420864799.4</v>
      </c>
      <c r="F451" s="1" t="str">
        <f>"2014-12-31"</f>
        <v>2014-12-31</v>
      </c>
      <c r="G451" s="1" t="str">
        <f>"CN204382590U"</f>
        <v>CN204382590U</v>
      </c>
      <c r="H451" s="1" t="str">
        <f t="shared" si="230"/>
        <v>2015-06-10</v>
      </c>
      <c r="I451" s="1" t="str">
        <f t="shared" si="219"/>
        <v>刘德新</v>
      </c>
      <c r="J451" s="1" t="str">
        <f t="shared" ref="J451:J457" si="232">"天津惠德汽车进气系统股份有限公司"</f>
        <v>天津惠德汽车进气系统股份有限公司</v>
      </c>
    </row>
    <row r="452" spans="1:10">
      <c r="A452" s="1" t="str">
        <f t="shared" si="218"/>
        <v>天津惠德汽车进气系统股份有限公司</v>
      </c>
      <c r="B452" s="1" t="str">
        <f>"四缸增压进气歧管"</f>
        <v>四缸增压进气歧管</v>
      </c>
      <c r="C452" s="1" t="str">
        <f t="shared" si="227"/>
        <v>外观设计</v>
      </c>
      <c r="D452" s="1" t="str">
        <f t="shared" si="228"/>
        <v>未缴年费专利权终止</v>
      </c>
      <c r="E452" s="1" t="str">
        <f>"CN201430547626.5"</f>
        <v>CN201430547626.5</v>
      </c>
      <c r="F452" s="1" t="str">
        <f t="shared" si="229"/>
        <v>2014-12-23</v>
      </c>
      <c r="G452" s="1" t="str">
        <f>"CN303239714S"</f>
        <v>CN303239714S</v>
      </c>
      <c r="H452" s="1" t="str">
        <f t="shared" si="230"/>
        <v>2015-06-10</v>
      </c>
      <c r="I452" s="1" t="str">
        <f t="shared" si="219"/>
        <v>刘德新</v>
      </c>
      <c r="J452" s="1" t="str">
        <f t="shared" si="232"/>
        <v>天津惠德汽车进气系统股份有限公司</v>
      </c>
    </row>
    <row r="453" spans="1:10">
      <c r="A453" s="1" t="str">
        <f t="shared" si="218"/>
        <v>天津惠德汽车进气系统股份有限公司</v>
      </c>
      <c r="B453" s="1" t="str">
        <f>"双燃料塑料进气歧管"</f>
        <v>双燃料塑料进气歧管</v>
      </c>
      <c r="C453" s="1" t="str">
        <f t="shared" si="227"/>
        <v>外观设计</v>
      </c>
      <c r="D453" s="1" t="str">
        <f t="shared" si="228"/>
        <v>未缴年费专利权终止</v>
      </c>
      <c r="E453" s="1" t="str">
        <f>"CN201430547606.8"</f>
        <v>CN201430547606.8</v>
      </c>
      <c r="F453" s="1" t="str">
        <f t="shared" si="229"/>
        <v>2014-12-23</v>
      </c>
      <c r="G453" s="1" t="str">
        <f>"CN303239713S"</f>
        <v>CN303239713S</v>
      </c>
      <c r="H453" s="1" t="str">
        <f t="shared" si="230"/>
        <v>2015-06-10</v>
      </c>
      <c r="I453" s="1" t="str">
        <f t="shared" si="219"/>
        <v>刘德新</v>
      </c>
      <c r="J453" s="1" t="str">
        <f t="shared" ref="J453:J462" si="233">"天津惠德汽车进气系统有限公司"</f>
        <v>天津惠德汽车进气系统有限公司</v>
      </c>
    </row>
    <row r="454" spans="1:10">
      <c r="A454" s="1" t="str">
        <f t="shared" si="218"/>
        <v>天津惠德汽车进气系统股份有限公司</v>
      </c>
      <c r="B454" s="1" t="str">
        <f>"一种发动机塑料件连接用金属嵌件结构"</f>
        <v>一种发动机塑料件连接用金属嵌件结构</v>
      </c>
      <c r="C454" s="1" t="str">
        <f t="shared" si="231"/>
        <v>实用新型</v>
      </c>
      <c r="D454" s="1" t="str">
        <f>"授权"</f>
        <v>授权</v>
      </c>
      <c r="E454" s="1" t="str">
        <f>"CN201420835805.3"</f>
        <v>CN201420835805.3</v>
      </c>
      <c r="F454" s="1" t="str">
        <f>"2014-12-24"</f>
        <v>2014-12-24</v>
      </c>
      <c r="G454" s="1" t="str">
        <f>"CN204382578U"</f>
        <v>CN204382578U</v>
      </c>
      <c r="H454" s="1" t="str">
        <f t="shared" si="230"/>
        <v>2015-06-10</v>
      </c>
      <c r="I454" s="1" t="str">
        <f t="shared" si="219"/>
        <v>刘德新</v>
      </c>
      <c r="J454" s="1" t="str">
        <f t="shared" si="233"/>
        <v>天津惠德汽车进气系统有限公司</v>
      </c>
    </row>
    <row r="455" spans="1:10">
      <c r="A455" s="1" t="str">
        <f t="shared" si="218"/>
        <v>天津惠德汽车进气系统股份有限公司</v>
      </c>
      <c r="B455" s="1" t="str">
        <f>"一种消除圆孔周边应力集中的塑化件"</f>
        <v>一种消除圆孔周边应力集中的塑化件</v>
      </c>
      <c r="C455" s="1" t="str">
        <f t="shared" si="231"/>
        <v>实用新型</v>
      </c>
      <c r="D455" s="1" t="str">
        <f t="shared" ref="D455:D468" si="234">"未缴年费专利权终止"</f>
        <v>未缴年费专利权终止</v>
      </c>
      <c r="E455" s="1" t="str">
        <f>"CN201420835604.3"</f>
        <v>CN201420835604.3</v>
      </c>
      <c r="F455" s="1" t="str">
        <f>"2014-12-24"</f>
        <v>2014-12-24</v>
      </c>
      <c r="G455" s="1" t="str">
        <f>"CN204357523U"</f>
        <v>CN204357523U</v>
      </c>
      <c r="H455" s="1" t="str">
        <f t="shared" ref="H455:H457" si="235">"2015-05-27"</f>
        <v>2015-05-27</v>
      </c>
      <c r="I455" s="1" t="str">
        <f t="shared" si="219"/>
        <v>刘德新</v>
      </c>
      <c r="J455" s="1" t="str">
        <f t="shared" si="232"/>
        <v>天津惠德汽车进气系统股份有限公司</v>
      </c>
    </row>
    <row r="456" spans="1:10">
      <c r="A456" s="1" t="str">
        <f t="shared" si="218"/>
        <v>天津惠德汽车进气系统股份有限公司</v>
      </c>
      <c r="B456" s="1" t="str">
        <f>"一种带有防脱金属嵌件的模具"</f>
        <v>一种带有防脱金属嵌件的模具</v>
      </c>
      <c r="C456" s="1" t="str">
        <f t="shared" si="231"/>
        <v>实用新型</v>
      </c>
      <c r="D456" s="1" t="str">
        <f t="shared" si="234"/>
        <v>未缴年费专利权终止</v>
      </c>
      <c r="E456" s="1" t="str">
        <f>"CN201420837134.4"</f>
        <v>CN201420837134.4</v>
      </c>
      <c r="F456" s="1" t="str">
        <f>"2014-12-25"</f>
        <v>2014-12-25</v>
      </c>
      <c r="G456" s="1" t="str">
        <f>"CN204354424U"</f>
        <v>CN204354424U</v>
      </c>
      <c r="H456" s="1" t="str">
        <f t="shared" si="235"/>
        <v>2015-05-27</v>
      </c>
      <c r="I456" s="1" t="str">
        <f t="shared" si="219"/>
        <v>刘德新</v>
      </c>
      <c r="J456" s="1" t="str">
        <f t="shared" si="232"/>
        <v>天津惠德汽车进气系统股份有限公司</v>
      </c>
    </row>
    <row r="457" spans="1:10">
      <c r="A457" s="1" t="str">
        <f t="shared" si="218"/>
        <v>天津惠德汽车进气系统股份有限公司</v>
      </c>
      <c r="B457" s="1" t="str">
        <f>"一种带预热装置的搅拌摩擦焊接机构"</f>
        <v>一种带预热装置的搅拌摩擦焊接机构</v>
      </c>
      <c r="C457" s="1" t="str">
        <f t="shared" si="231"/>
        <v>实用新型</v>
      </c>
      <c r="D457" s="1" t="str">
        <f t="shared" si="234"/>
        <v>未缴年费专利权终止</v>
      </c>
      <c r="E457" s="1" t="str">
        <f>"CN201420837781.5"</f>
        <v>CN201420837781.5</v>
      </c>
      <c r="F457" s="1" t="str">
        <f>"2014-12-25"</f>
        <v>2014-12-25</v>
      </c>
      <c r="G457" s="1" t="str">
        <f>"CN204353648U"</f>
        <v>CN204353648U</v>
      </c>
      <c r="H457" s="1" t="str">
        <f t="shared" si="235"/>
        <v>2015-05-27</v>
      </c>
      <c r="I457" s="1" t="str">
        <f t="shared" si="219"/>
        <v>刘德新</v>
      </c>
      <c r="J457" s="1" t="str">
        <f t="shared" si="232"/>
        <v>天津惠德汽车进气系统股份有限公司</v>
      </c>
    </row>
    <row r="458" spans="1:10">
      <c r="A458" s="1" t="str">
        <f t="shared" si="218"/>
        <v>天津惠德汽车进气系统股份有限公司</v>
      </c>
      <c r="B458" s="1" t="str">
        <f>"一种发动机进气流量测试试验装置"</f>
        <v>一种发动机进气流量测试试验装置</v>
      </c>
      <c r="C458" s="1" t="str">
        <f t="shared" si="231"/>
        <v>实用新型</v>
      </c>
      <c r="D458" s="1" t="str">
        <f t="shared" si="234"/>
        <v>未缴年费专利权终止</v>
      </c>
      <c r="E458" s="1" t="str">
        <f>"CN201420832331.7"</f>
        <v>CN201420832331.7</v>
      </c>
      <c r="F458" s="1" t="str">
        <f>"2014-12-23"</f>
        <v>2014-12-23</v>
      </c>
      <c r="G458" s="1" t="str">
        <f>"CN204269381U"</f>
        <v>CN204269381U</v>
      </c>
      <c r="H458" s="1" t="str">
        <f>"2015-04-15"</f>
        <v>2015-04-15</v>
      </c>
      <c r="I458" s="1" t="str">
        <f t="shared" si="219"/>
        <v>刘德新</v>
      </c>
      <c r="J458" s="1" t="str">
        <f t="shared" si="233"/>
        <v>天津惠德汽车进气系统有限公司</v>
      </c>
    </row>
    <row r="459" spans="1:10">
      <c r="A459" s="1" t="str">
        <f t="shared" si="218"/>
        <v>天津惠德汽车进气系统股份有限公司</v>
      </c>
      <c r="B459" s="1" t="str">
        <f>"发动机隔热罩"</f>
        <v>发动机隔热罩</v>
      </c>
      <c r="C459" s="1" t="str">
        <f>"外观设计"</f>
        <v>外观设计</v>
      </c>
      <c r="D459" s="1" t="str">
        <f t="shared" si="234"/>
        <v>未缴年费专利权终止</v>
      </c>
      <c r="E459" s="1" t="str">
        <f>"CN201330512792.7"</f>
        <v>CN201330512792.7</v>
      </c>
      <c r="F459" s="1" t="str">
        <f t="shared" ref="F459:F462" si="236">"2013-10-29"</f>
        <v>2013-10-29</v>
      </c>
      <c r="G459" s="1" t="str">
        <f>"CN302949372S"</f>
        <v>CN302949372S</v>
      </c>
      <c r="H459" s="1" t="str">
        <f>"2014-09-24"</f>
        <v>2014-09-24</v>
      </c>
      <c r="I459" s="1" t="str">
        <f t="shared" si="219"/>
        <v>刘德新</v>
      </c>
      <c r="J459" s="1" t="str">
        <f t="shared" si="233"/>
        <v>天津惠德汽车进气系统有限公司</v>
      </c>
    </row>
    <row r="460" spans="1:10">
      <c r="A460" s="1" t="str">
        <f t="shared" si="218"/>
        <v>天津惠德汽车进气系统股份有限公司</v>
      </c>
      <c r="B460" s="1" t="str">
        <f>"塑料进气歧管预埋嵌件模具"</f>
        <v>塑料进气歧管预埋嵌件模具</v>
      </c>
      <c r="C460" s="1" t="str">
        <f t="shared" ref="C460:C468" si="237">"实用新型"</f>
        <v>实用新型</v>
      </c>
      <c r="D460" s="1" t="str">
        <f t="shared" si="234"/>
        <v>未缴年费专利权终止</v>
      </c>
      <c r="E460" s="1" t="str">
        <f>"CN201320687797.8"</f>
        <v>CN201320687797.8</v>
      </c>
      <c r="F460" s="1" t="str">
        <f>"2013-10-31"</f>
        <v>2013-10-31</v>
      </c>
      <c r="G460" s="1" t="str">
        <f>"CN203779782U"</f>
        <v>CN203779782U</v>
      </c>
      <c r="H460" s="1" t="str">
        <f>"2014-08-20"</f>
        <v>2014-08-20</v>
      </c>
      <c r="I460" s="1" t="str">
        <f t="shared" si="219"/>
        <v>刘德新</v>
      </c>
      <c r="J460" s="1" t="str">
        <f t="shared" si="233"/>
        <v>天津惠德汽车进气系统有限公司</v>
      </c>
    </row>
    <row r="461" spans="1:10">
      <c r="A461" s="1" t="str">
        <f t="shared" si="218"/>
        <v>天津惠德汽车进气系统股份有限公司</v>
      </c>
      <c r="B461" s="1" t="str">
        <f>"发动机隔音罩"</f>
        <v>发动机隔音罩</v>
      </c>
      <c r="C461" s="1" t="str">
        <f>"外观设计"</f>
        <v>外观设计</v>
      </c>
      <c r="D461" s="1" t="str">
        <f t="shared" si="234"/>
        <v>未缴年费专利权终止</v>
      </c>
      <c r="E461" s="1" t="str">
        <f>"CN201330512791.2"</f>
        <v>CN201330512791.2</v>
      </c>
      <c r="F461" s="1" t="str">
        <f t="shared" si="236"/>
        <v>2013-10-29</v>
      </c>
      <c r="G461" s="1" t="str">
        <f>"CN302909851S"</f>
        <v>CN302909851S</v>
      </c>
      <c r="H461" s="1" t="str">
        <f>"2014-08-13"</f>
        <v>2014-08-13</v>
      </c>
      <c r="I461" s="1" t="str">
        <f t="shared" si="219"/>
        <v>刘德新</v>
      </c>
      <c r="J461" s="1" t="str">
        <f t="shared" si="233"/>
        <v>天津惠德汽车进气系统有限公司</v>
      </c>
    </row>
    <row r="462" spans="1:10">
      <c r="A462" s="1" t="str">
        <f t="shared" si="218"/>
        <v>天津惠德汽车进气系统股份有限公司</v>
      </c>
      <c r="B462" s="1" t="str">
        <f>"一种发动机冷却水管"</f>
        <v>一种发动机冷却水管</v>
      </c>
      <c r="C462" s="1" t="str">
        <f t="shared" si="237"/>
        <v>实用新型</v>
      </c>
      <c r="D462" s="1" t="str">
        <f t="shared" si="234"/>
        <v>未缴年费专利权终止</v>
      </c>
      <c r="E462" s="1" t="str">
        <f>"CN201320675071.2"</f>
        <v>CN201320675071.2</v>
      </c>
      <c r="F462" s="1" t="str">
        <f t="shared" si="236"/>
        <v>2013-10-29</v>
      </c>
      <c r="G462" s="1" t="str">
        <f>"CN203594501U"</f>
        <v>CN203594501U</v>
      </c>
      <c r="H462" s="1" t="str">
        <f t="shared" ref="H462:H468" si="238">"2014-05-14"</f>
        <v>2014-05-14</v>
      </c>
      <c r="I462" s="1" t="str">
        <f t="shared" si="219"/>
        <v>刘德新</v>
      </c>
      <c r="J462" s="1" t="str">
        <f t="shared" si="233"/>
        <v>天津惠德汽车进气系统有限公司</v>
      </c>
    </row>
    <row r="463" spans="1:10">
      <c r="A463" s="1" t="str">
        <f t="shared" si="218"/>
        <v>天津惠德汽车进气系统股份有限公司</v>
      </c>
      <c r="B463" s="1" t="str">
        <f>"一种具有预热装置的柴油机塑料进气管"</f>
        <v>一种具有预热装置的柴油机塑料进气管</v>
      </c>
      <c r="C463" s="1" t="str">
        <f t="shared" si="237"/>
        <v>实用新型</v>
      </c>
      <c r="D463" s="1" t="str">
        <f t="shared" si="234"/>
        <v>未缴年费专利权终止</v>
      </c>
      <c r="E463" s="1" t="str">
        <f>"CN201320688892.X"</f>
        <v>CN201320688892.X</v>
      </c>
      <c r="F463" s="1" t="str">
        <f>"2013-10-31"</f>
        <v>2013-10-31</v>
      </c>
      <c r="G463" s="1" t="str">
        <f>"CN203594535U"</f>
        <v>CN203594535U</v>
      </c>
      <c r="H463" s="1" t="str">
        <f t="shared" si="238"/>
        <v>2014-05-14</v>
      </c>
      <c r="I463" s="1" t="str">
        <f t="shared" si="219"/>
        <v>刘德新</v>
      </c>
      <c r="J463" s="1" t="str">
        <f t="shared" ref="J463:J468" si="239">"天津惠德汽车进气系统股份有限公司"</f>
        <v>天津惠德汽车进气系统股份有限公司</v>
      </c>
    </row>
    <row r="464" spans="1:10">
      <c r="A464" s="1" t="str">
        <f t="shared" si="218"/>
        <v>天津惠德汽车进气系统股份有限公司</v>
      </c>
      <c r="B464" s="1" t="str">
        <f>"一种发动机用隔音装置"</f>
        <v>一种发动机用隔音装置</v>
      </c>
      <c r="C464" s="1" t="str">
        <f t="shared" si="237"/>
        <v>实用新型</v>
      </c>
      <c r="D464" s="1" t="str">
        <f t="shared" si="234"/>
        <v>未缴年费专利权终止</v>
      </c>
      <c r="E464" s="1" t="str">
        <f>"CN201320674614.9"</f>
        <v>CN201320674614.9</v>
      </c>
      <c r="F464" s="1" t="str">
        <f t="shared" ref="F464:F467" si="240">"2013-10-29"</f>
        <v>2013-10-29</v>
      </c>
      <c r="G464" s="1" t="str">
        <f>"CN203594513U"</f>
        <v>CN203594513U</v>
      </c>
      <c r="H464" s="1" t="str">
        <f t="shared" si="238"/>
        <v>2014-05-14</v>
      </c>
      <c r="I464" s="1" t="str">
        <f t="shared" si="219"/>
        <v>刘德新</v>
      </c>
      <c r="J464" s="1" t="str">
        <f t="shared" si="239"/>
        <v>天津惠德汽车进气系统股份有限公司</v>
      </c>
    </row>
    <row r="465" spans="1:10">
      <c r="A465" s="1" t="str">
        <f t="shared" si="218"/>
        <v>天津惠德汽车进气系统股份有限公司</v>
      </c>
      <c r="B465" s="1" t="str">
        <f>"一种新型发动机塑料罩盖"</f>
        <v>一种新型发动机塑料罩盖</v>
      </c>
      <c r="C465" s="1" t="str">
        <f t="shared" si="237"/>
        <v>实用新型</v>
      </c>
      <c r="D465" s="1" t="str">
        <f t="shared" si="234"/>
        <v>未缴年费专利权终止</v>
      </c>
      <c r="E465" s="1" t="str">
        <f>"CN201320674930.6"</f>
        <v>CN201320674930.6</v>
      </c>
      <c r="F465" s="1" t="str">
        <f t="shared" si="240"/>
        <v>2013-10-29</v>
      </c>
      <c r="G465" s="1" t="str">
        <f>"CN203594525U"</f>
        <v>CN203594525U</v>
      </c>
      <c r="H465" s="1" t="str">
        <f t="shared" si="238"/>
        <v>2014-05-14</v>
      </c>
      <c r="I465" s="1" t="str">
        <f t="shared" si="219"/>
        <v>刘德新</v>
      </c>
      <c r="J465" s="1" t="str">
        <f t="shared" si="239"/>
        <v>天津惠德汽车进气系统股份有限公司</v>
      </c>
    </row>
    <row r="466" spans="1:10">
      <c r="A466" s="1" t="str">
        <f t="shared" si="218"/>
        <v>天津惠德汽车进气系统股份有限公司</v>
      </c>
      <c r="B466" s="1" t="str">
        <f>"一种环保型发动机隔热罩"</f>
        <v>一种环保型发动机隔热罩</v>
      </c>
      <c r="C466" s="1" t="str">
        <f t="shared" si="237"/>
        <v>实用新型</v>
      </c>
      <c r="D466" s="1" t="str">
        <f t="shared" si="234"/>
        <v>未缴年费专利权终止</v>
      </c>
      <c r="E466" s="1" t="str">
        <f>"CN201320674929.3"</f>
        <v>CN201320674929.3</v>
      </c>
      <c r="F466" s="1" t="str">
        <f t="shared" si="240"/>
        <v>2013-10-29</v>
      </c>
      <c r="G466" s="1" t="str">
        <f>"CN203594511U"</f>
        <v>CN203594511U</v>
      </c>
      <c r="H466" s="1" t="str">
        <f t="shared" si="238"/>
        <v>2014-05-14</v>
      </c>
      <c r="I466" s="1" t="str">
        <f t="shared" si="219"/>
        <v>刘德新</v>
      </c>
      <c r="J466" s="1" t="str">
        <f t="shared" si="239"/>
        <v>天津惠德汽车进气系统股份有限公司</v>
      </c>
    </row>
    <row r="467" spans="1:10">
      <c r="A467" s="1" t="str">
        <f t="shared" si="218"/>
        <v>天津惠德汽车进气系统股份有限公司</v>
      </c>
      <c r="B467" s="1" t="str">
        <f>"一种发动机塑料冷却器罩盖装置"</f>
        <v>一种发动机塑料冷却器罩盖装置</v>
      </c>
      <c r="C467" s="1" t="str">
        <f t="shared" si="237"/>
        <v>实用新型</v>
      </c>
      <c r="D467" s="1" t="str">
        <f t="shared" si="234"/>
        <v>未缴年费专利权终止</v>
      </c>
      <c r="E467" s="1" t="str">
        <f>"CN201320674615.3"</f>
        <v>CN201320674615.3</v>
      </c>
      <c r="F467" s="1" t="str">
        <f t="shared" si="240"/>
        <v>2013-10-29</v>
      </c>
      <c r="G467" s="1" t="str">
        <f>"CN203594495U"</f>
        <v>CN203594495U</v>
      </c>
      <c r="H467" s="1" t="str">
        <f t="shared" si="238"/>
        <v>2014-05-14</v>
      </c>
      <c r="I467" s="1" t="str">
        <f t="shared" si="219"/>
        <v>刘德新</v>
      </c>
      <c r="J467" s="1" t="str">
        <f t="shared" si="239"/>
        <v>天津惠德汽车进气系统股份有限公司</v>
      </c>
    </row>
    <row r="468" spans="1:10">
      <c r="A468" s="1" t="str">
        <f t="shared" si="218"/>
        <v>天津惠德汽车进气系统股份有限公司</v>
      </c>
      <c r="B468" s="1" t="str">
        <f>"一种增压发动机用塑料进气歧管"</f>
        <v>一种增压发动机用塑料进气歧管</v>
      </c>
      <c r="C468" s="1" t="str">
        <f t="shared" si="237"/>
        <v>实用新型</v>
      </c>
      <c r="D468" s="1" t="str">
        <f t="shared" si="234"/>
        <v>未缴年费专利权终止</v>
      </c>
      <c r="E468" s="1" t="str">
        <f>"CN201320868769.6"</f>
        <v>CN201320868769.6</v>
      </c>
      <c r="F468" s="1" t="str">
        <f>"2013-12-18"</f>
        <v>2013-12-18</v>
      </c>
      <c r="G468" s="1" t="str">
        <f>"CN203594534U"</f>
        <v>CN203594534U</v>
      </c>
      <c r="H468" s="1" t="str">
        <f t="shared" si="238"/>
        <v>2014-05-14</v>
      </c>
      <c r="I468" s="1" t="str">
        <f t="shared" si="219"/>
        <v>刘德新</v>
      </c>
      <c r="J468" s="1" t="str">
        <f t="shared" si="239"/>
        <v>天津惠德汽车进气系统股份有限公司</v>
      </c>
    </row>
    <row r="469" spans="1:10">
      <c r="A469" s="1" t="str">
        <f t="shared" si="218"/>
        <v>天津惠德汽车进气系统股份有限公司</v>
      </c>
      <c r="B469" s="1" t="str">
        <f>"一种具有预热装置的柴油机塑料进气管"</f>
        <v>一种具有预热装置的柴油机塑料进气管</v>
      </c>
      <c r="C469" s="1" t="str">
        <f>"发明公布"</f>
        <v>发明公布</v>
      </c>
      <c r="D469" s="1" t="str">
        <f>"公布驳回"</f>
        <v>公布驳回</v>
      </c>
      <c r="E469" s="1" t="str">
        <f>"CN201310535617.9"</f>
        <v>CN201310535617.9</v>
      </c>
      <c r="F469" s="1" t="str">
        <f>"2013-10-31"</f>
        <v>2013-10-31</v>
      </c>
      <c r="G469" s="1" t="str">
        <f>"CN103527360A"</f>
        <v>CN103527360A</v>
      </c>
      <c r="H469" s="1" t="str">
        <f>"2014-01-22"</f>
        <v>2014-01-22</v>
      </c>
      <c r="I469" s="1" t="str">
        <f t="shared" si="219"/>
        <v>刘德新</v>
      </c>
      <c r="J469" s="1" t="str">
        <f t="shared" ref="J469:J471" si="241">"天津惠德汽车进气系统有限公司"</f>
        <v>天津惠德汽车进气系统有限公司</v>
      </c>
    </row>
    <row r="470" spans="1:10">
      <c r="A470" s="1" t="str">
        <f t="shared" si="218"/>
        <v>天津惠德汽车进气系统股份有限公司</v>
      </c>
      <c r="B470" s="1" t="str">
        <f>"一种塑料进气歧管的水道密封结构"</f>
        <v>一种塑料进气歧管的水道密封结构</v>
      </c>
      <c r="C470" s="1" t="str">
        <f t="shared" ref="C470:C475" si="242">"实用新型"</f>
        <v>实用新型</v>
      </c>
      <c r="D470" s="1" t="str">
        <f>"未缴年费专利权终止"</f>
        <v>未缴年费专利权终止</v>
      </c>
      <c r="E470" s="1" t="str">
        <f>"CN201320337991.3"</f>
        <v>CN201320337991.3</v>
      </c>
      <c r="F470" s="1" t="str">
        <f>"2013-06-09"</f>
        <v>2013-06-09</v>
      </c>
      <c r="G470" s="1" t="str">
        <f>"CN203296976U"</f>
        <v>CN203296976U</v>
      </c>
      <c r="H470" s="1" t="str">
        <f>"2013-11-20"</f>
        <v>2013-11-20</v>
      </c>
      <c r="I470" s="1" t="str">
        <f t="shared" si="219"/>
        <v>刘德新</v>
      </c>
      <c r="J470" s="1" t="str">
        <f t="shared" si="241"/>
        <v>天津惠德汽车进气系统有限公司</v>
      </c>
    </row>
    <row r="471" spans="1:10">
      <c r="A471" s="1" t="str">
        <f t="shared" si="218"/>
        <v>天津惠德汽车进气系统股份有限公司</v>
      </c>
      <c r="B471" s="1" t="str">
        <f>"一种带水道的汽油机塑料进气歧管"</f>
        <v>一种带水道的汽油机塑料进气歧管</v>
      </c>
      <c r="C471" s="1" t="str">
        <f t="shared" si="242"/>
        <v>实用新型</v>
      </c>
      <c r="D471" s="1" t="str">
        <f>"未缴年费专利权终止"</f>
        <v>未缴年费专利权终止</v>
      </c>
      <c r="E471" s="1" t="str">
        <f>"CN201320293874.1"</f>
        <v>CN201320293874.1</v>
      </c>
      <c r="F471" s="1" t="str">
        <f>"2013-05-27"</f>
        <v>2013-05-27</v>
      </c>
      <c r="G471" s="1" t="str">
        <f>"CN203271968U"</f>
        <v>CN203271968U</v>
      </c>
      <c r="H471" s="1" t="str">
        <f>"2013-11-06"</f>
        <v>2013-11-06</v>
      </c>
      <c r="I471" s="1" t="str">
        <f t="shared" si="219"/>
        <v>刘德新</v>
      </c>
      <c r="J471" s="1" t="str">
        <f t="shared" si="241"/>
        <v>天津惠德汽车进气系统有限公司</v>
      </c>
    </row>
    <row r="472" spans="1:10">
      <c r="A472" s="1" t="str">
        <f t="shared" ref="A472:A489" si="243">"富维本特勒汽车零部件（天津）有限公司"</f>
        <v>富维本特勒汽车零部件（天津）有限公司</v>
      </c>
      <c r="B472" s="1" t="str">
        <f>"一种带螺母工件的检测车"</f>
        <v>一种带螺母工件的检测车</v>
      </c>
      <c r="C472" s="1" t="str">
        <f t="shared" si="242"/>
        <v>实用新型</v>
      </c>
      <c r="D472" s="1" t="str">
        <f t="shared" ref="D472:D476" si="244">"授权"</f>
        <v>授权</v>
      </c>
      <c r="E472" s="1" t="str">
        <f>"CN202323558689.3"</f>
        <v>CN202323558689.3</v>
      </c>
      <c r="F472" s="1" t="str">
        <f>"2023-12-26"</f>
        <v>2023-12-26</v>
      </c>
      <c r="G472" s="1" t="str">
        <f>"CN222165994U"</f>
        <v>CN222165994U</v>
      </c>
      <c r="H472" s="1" t="str">
        <f>"2024-12-13"</f>
        <v>2024-12-13</v>
      </c>
      <c r="I472" s="1" t="str">
        <f>"李强"</f>
        <v>李强</v>
      </c>
      <c r="J472" s="1" t="str">
        <f t="shared" ref="J472:J489" si="245">"富维本特勒汽车零部件(天津)有限公司"</f>
        <v>富维本特勒汽车零部件(天津)有限公司</v>
      </c>
    </row>
    <row r="473" spans="1:10">
      <c r="A473" s="1" t="str">
        <f t="shared" si="243"/>
        <v>富维本特勒汽车零部件（天津）有限公司</v>
      </c>
      <c r="B473" s="1" t="str">
        <f>"一种带螺母工件的滑道式检测车"</f>
        <v>一种带螺母工件的滑道式检测车</v>
      </c>
      <c r="C473" s="1" t="str">
        <f t="shared" si="242"/>
        <v>实用新型</v>
      </c>
      <c r="D473" s="1" t="str">
        <f t="shared" si="244"/>
        <v>授权</v>
      </c>
      <c r="E473" s="1" t="str">
        <f>"CN202323540463.0"</f>
        <v>CN202323540463.0</v>
      </c>
      <c r="F473" s="1" t="str">
        <f>"2023-12-25"</f>
        <v>2023-12-25</v>
      </c>
      <c r="G473" s="1" t="str">
        <f>"CN222077298U"</f>
        <v>CN222077298U</v>
      </c>
      <c r="H473" s="1" t="str">
        <f>"2024-11-29"</f>
        <v>2024-11-29</v>
      </c>
      <c r="I473" s="1" t="str">
        <f>"李强"</f>
        <v>李强</v>
      </c>
      <c r="J473" s="1" t="str">
        <f t="shared" si="245"/>
        <v>富维本特勒汽车零部件(天津)有限公司</v>
      </c>
    </row>
    <row r="474" spans="1:10">
      <c r="A474" s="1" t="str">
        <f t="shared" si="243"/>
        <v>富维本特勒汽车零部件（天津）有限公司</v>
      </c>
      <c r="B474" s="1" t="str">
        <f>"一种冲压机出口工件分离器"</f>
        <v>一种冲压机出口工件分离器</v>
      </c>
      <c r="C474" s="1" t="str">
        <f t="shared" si="242"/>
        <v>实用新型</v>
      </c>
      <c r="D474" s="1" t="str">
        <f t="shared" si="244"/>
        <v>授权</v>
      </c>
      <c r="E474" s="1" t="str">
        <f>"CN202323640096.1"</f>
        <v>CN202323640096.1</v>
      </c>
      <c r="F474" s="1" t="str">
        <f>"2023-12-29"</f>
        <v>2023-12-29</v>
      </c>
      <c r="G474" s="1" t="str">
        <f>"CN222077689U"</f>
        <v>CN222077689U</v>
      </c>
      <c r="H474" s="1" t="str">
        <f>"2024-11-29"</f>
        <v>2024-11-29</v>
      </c>
      <c r="I474" s="1" t="str">
        <f>"何大鹏"</f>
        <v>何大鹏</v>
      </c>
      <c r="J474" s="1" t="str">
        <f t="shared" si="245"/>
        <v>富维本特勒汽车零部件(天津)有限公司</v>
      </c>
    </row>
    <row r="475" spans="1:10">
      <c r="A475" s="1" t="str">
        <f t="shared" si="243"/>
        <v>富维本特勒汽车零部件（天津）有限公司</v>
      </c>
      <c r="B475" s="1" t="str">
        <f>"一种焊接用移动屏风"</f>
        <v>一种焊接用移动屏风</v>
      </c>
      <c r="C475" s="1" t="str">
        <f t="shared" si="242"/>
        <v>实用新型</v>
      </c>
      <c r="D475" s="1" t="str">
        <f t="shared" si="244"/>
        <v>授权</v>
      </c>
      <c r="E475" s="1" t="str">
        <f>"CN202323595075.2"</f>
        <v>CN202323595075.2</v>
      </c>
      <c r="F475" s="1" t="str">
        <f>"2023-12-28"</f>
        <v>2023-12-28</v>
      </c>
      <c r="G475" s="1" t="str">
        <f>"CN221870760U"</f>
        <v>CN221870760U</v>
      </c>
      <c r="H475" s="1" t="str">
        <f>"2024-10-22"</f>
        <v>2024-10-22</v>
      </c>
      <c r="I475" s="1" t="str">
        <f>"裴元辰"</f>
        <v>裴元辰</v>
      </c>
      <c r="J475" s="1" t="str">
        <f t="shared" si="245"/>
        <v>富维本特勒汽车零部件(天津)有限公司</v>
      </c>
    </row>
    <row r="476" spans="1:10">
      <c r="A476" s="1" t="str">
        <f t="shared" si="243"/>
        <v>富维本特勒汽车零部件（天津）有限公司</v>
      </c>
      <c r="B476" s="1" t="str">
        <f>"基于密码散列函数的生产信号加密传输方法、系统及介质"</f>
        <v>基于密码散列函数的生产信号加密传输方法、系统及介质</v>
      </c>
      <c r="C476" s="1" t="str">
        <f>"发明授权"</f>
        <v>发明授权</v>
      </c>
      <c r="D476" s="1" t="str">
        <f t="shared" si="244"/>
        <v>授权</v>
      </c>
      <c r="E476" s="1" t="str">
        <f>"CN202410912119.X"</f>
        <v>CN202410912119.X</v>
      </c>
      <c r="F476" s="1" t="str">
        <f>"2024-07-09"</f>
        <v>2024-07-09</v>
      </c>
      <c r="G476" s="1" t="str">
        <f>"CN118487865B"</f>
        <v>CN118487865B</v>
      </c>
      <c r="H476" s="1" t="str">
        <f>"2024-09-20"</f>
        <v>2024-09-20</v>
      </c>
      <c r="I476" s="1" t="str">
        <f>"张旭"</f>
        <v>张旭</v>
      </c>
      <c r="J476" s="1" t="str">
        <f t="shared" si="245"/>
        <v>富维本特勒汽车零部件(天津)有限公司</v>
      </c>
    </row>
    <row r="477" spans="1:10">
      <c r="A477" s="1" t="str">
        <f t="shared" si="243"/>
        <v>富维本特勒汽车零部件（天津）有限公司</v>
      </c>
      <c r="B477" s="1" t="str">
        <f>"一种冲压机工件自动码垛设备及自动码垛方法"</f>
        <v>一种冲压机工件自动码垛设备及自动码垛方法</v>
      </c>
      <c r="C477" s="1" t="str">
        <f>"发明公布"</f>
        <v>发明公布</v>
      </c>
      <c r="D477" s="1" t="str">
        <f>"实质审查"</f>
        <v>实质审查</v>
      </c>
      <c r="E477" s="1" t="str">
        <f>"CN202311852561.X"</f>
        <v>CN202311852561.X</v>
      </c>
      <c r="F477" s="1" t="str">
        <f>"2023-12-29"</f>
        <v>2023-12-29</v>
      </c>
      <c r="G477" s="1" t="str">
        <f>"CN117920886A"</f>
        <v>CN117920886A</v>
      </c>
      <c r="H477" s="1" t="str">
        <f>"2024-04-26"</f>
        <v>2024-04-26</v>
      </c>
      <c r="I477" s="1" t="s">
        <v>4873</v>
      </c>
      <c r="J477" s="1" t="str">
        <f t="shared" si="245"/>
        <v>富维本特勒汽车零部件(天津)有限公司</v>
      </c>
    </row>
    <row r="478" spans="1:10">
      <c r="A478" s="1" t="str">
        <f t="shared" si="243"/>
        <v>富维本特勒汽车零部件（天津）有限公司</v>
      </c>
      <c r="B478" s="1" t="str">
        <f>"一种带有数据采集功能的新型电阻焊机"</f>
        <v>一种带有数据采集功能的新型电阻焊机</v>
      </c>
      <c r="C478" s="1" t="str">
        <f t="shared" ref="C478:C487" si="246">"实用新型"</f>
        <v>实用新型</v>
      </c>
      <c r="D478" s="1" t="str">
        <f t="shared" ref="D478:D487" si="247">"授权"</f>
        <v>授权</v>
      </c>
      <c r="E478" s="1" t="str">
        <f>"CN202322234460.8"</f>
        <v>CN202322234460.8</v>
      </c>
      <c r="F478" s="1" t="str">
        <f>"2023-08-20"</f>
        <v>2023-08-20</v>
      </c>
      <c r="G478" s="1" t="str">
        <f>"CN220805832U"</f>
        <v>CN220805832U</v>
      </c>
      <c r="H478" s="1" t="str">
        <f t="shared" ref="H478:H482" si="248">"2024-04-19"</f>
        <v>2024-04-19</v>
      </c>
      <c r="I478" s="1" t="s">
        <v>4874</v>
      </c>
      <c r="J478" s="1" t="str">
        <f t="shared" si="245"/>
        <v>富维本特勒汽车零部件(天津)有限公司</v>
      </c>
    </row>
    <row r="479" spans="1:10">
      <c r="A479" s="1" t="str">
        <f t="shared" si="243"/>
        <v>富维本特勒汽车零部件（天津）有限公司</v>
      </c>
      <c r="B479" s="1" t="str">
        <f>"一种液压机用可折叠式工件输送设备"</f>
        <v>一种液压机用可折叠式工件输送设备</v>
      </c>
      <c r="C479" s="1" t="str">
        <f t="shared" si="246"/>
        <v>实用新型</v>
      </c>
      <c r="D479" s="1" t="str">
        <f t="shared" si="247"/>
        <v>授权</v>
      </c>
      <c r="E479" s="1" t="str">
        <f>"CN202322342851.1"</f>
        <v>CN202322342851.1</v>
      </c>
      <c r="F479" s="1" t="str">
        <f>"2023-08-30"</f>
        <v>2023-08-30</v>
      </c>
      <c r="G479" s="1" t="str">
        <f>"CN220810702U"</f>
        <v>CN220810702U</v>
      </c>
      <c r="H479" s="1" t="str">
        <f t="shared" si="248"/>
        <v>2024-04-19</v>
      </c>
      <c r="I479" s="1" t="str">
        <f>"裴元辰"</f>
        <v>裴元辰</v>
      </c>
      <c r="J479" s="1" t="str">
        <f t="shared" si="245"/>
        <v>富维本特勒汽车零部件(天津)有限公司</v>
      </c>
    </row>
    <row r="480" spans="1:10">
      <c r="A480" s="1" t="str">
        <f t="shared" si="243"/>
        <v>富维本特勒汽车零部件（天津）有限公司</v>
      </c>
      <c r="B480" s="1" t="str">
        <f>"一种热成型生产线上板料的导向定位器"</f>
        <v>一种热成型生产线上板料的导向定位器</v>
      </c>
      <c r="C480" s="1" t="str">
        <f t="shared" si="246"/>
        <v>实用新型</v>
      </c>
      <c r="D480" s="1" t="str">
        <f t="shared" si="247"/>
        <v>授权</v>
      </c>
      <c r="E480" s="1" t="str">
        <f>"CN202322601515.4"</f>
        <v>CN202322601515.4</v>
      </c>
      <c r="F480" s="1" t="str">
        <f>"2023-09-25"</f>
        <v>2023-09-25</v>
      </c>
      <c r="G480" s="1" t="str">
        <f>"CN220808231U"</f>
        <v>CN220808231U</v>
      </c>
      <c r="H480" s="1" t="str">
        <f t="shared" si="248"/>
        <v>2024-04-19</v>
      </c>
      <c r="I480" s="1" t="str">
        <f>"夏苏鑫"</f>
        <v>夏苏鑫</v>
      </c>
      <c r="J480" s="1" t="str">
        <f t="shared" si="245"/>
        <v>富维本特勒汽车零部件(天津)有限公司</v>
      </c>
    </row>
    <row r="481" spans="1:10">
      <c r="A481" s="1" t="str">
        <f t="shared" si="243"/>
        <v>富维本特勒汽车零部件（天津）有限公司</v>
      </c>
      <c r="B481" s="1" t="str">
        <f>"一种适用于液压机的高度可调的伸缩输送带"</f>
        <v>一种适用于液压机的高度可调的伸缩输送带</v>
      </c>
      <c r="C481" s="1" t="str">
        <f t="shared" si="246"/>
        <v>实用新型</v>
      </c>
      <c r="D481" s="1" t="str">
        <f t="shared" si="247"/>
        <v>授权</v>
      </c>
      <c r="E481" s="1" t="str">
        <f>"CN202322342424.3"</f>
        <v>CN202322342424.3</v>
      </c>
      <c r="F481" s="1" t="str">
        <f>"2023-08-30"</f>
        <v>2023-08-30</v>
      </c>
      <c r="G481" s="1" t="str">
        <f>"CN220810775U"</f>
        <v>CN220810775U</v>
      </c>
      <c r="H481" s="1" t="str">
        <f t="shared" si="248"/>
        <v>2024-04-19</v>
      </c>
      <c r="I481" s="1" t="str">
        <f>"何大鹏"</f>
        <v>何大鹏</v>
      </c>
      <c r="J481" s="1" t="str">
        <f t="shared" si="245"/>
        <v>富维本特勒汽车零部件(天津)有限公司</v>
      </c>
    </row>
    <row r="482" spans="1:10">
      <c r="A482" s="1" t="str">
        <f t="shared" si="243"/>
        <v>富维本特勒汽车零部件（天津）有限公司</v>
      </c>
      <c r="B482" s="1" t="str">
        <f>"一种冷冲压模的自动旋转工件臂及一种冷冲压机"</f>
        <v>一种冷冲压模的自动旋转工件臂及一种冷冲压机</v>
      </c>
      <c r="C482" s="1" t="str">
        <f t="shared" si="246"/>
        <v>实用新型</v>
      </c>
      <c r="D482" s="1" t="str">
        <f t="shared" si="247"/>
        <v>授权</v>
      </c>
      <c r="E482" s="1" t="str">
        <f>"CN202322588905.2"</f>
        <v>CN202322588905.2</v>
      </c>
      <c r="F482" s="1" t="str">
        <f>"2023-09-23"</f>
        <v>2023-09-23</v>
      </c>
      <c r="G482" s="1" t="str">
        <f>"CN220805128U"</f>
        <v>CN220805128U</v>
      </c>
      <c r="H482" s="1" t="str">
        <f t="shared" si="248"/>
        <v>2024-04-19</v>
      </c>
      <c r="I482" s="1" t="str">
        <f t="shared" ref="I482:I485" si="249">"金志强"</f>
        <v>金志强</v>
      </c>
      <c r="J482" s="1" t="str">
        <f t="shared" si="245"/>
        <v>富维本特勒汽车零部件(天津)有限公司</v>
      </c>
    </row>
    <row r="483" spans="1:10">
      <c r="A483" s="1" t="str">
        <f t="shared" si="243"/>
        <v>富维本特勒汽车零部件（天津）有限公司</v>
      </c>
      <c r="B483" s="1" t="str">
        <f>"一种可运送氩气瓶的氩弧焊机专用手推车"</f>
        <v>一种可运送氩气瓶的氩弧焊机专用手推车</v>
      </c>
      <c r="C483" s="1" t="str">
        <f t="shared" si="246"/>
        <v>实用新型</v>
      </c>
      <c r="D483" s="1" t="str">
        <f t="shared" si="247"/>
        <v>授权</v>
      </c>
      <c r="E483" s="1" t="str">
        <f>"CN202322234471.6"</f>
        <v>CN202322234471.6</v>
      </c>
      <c r="F483" s="1" t="str">
        <f>"2023-08-20"</f>
        <v>2023-08-20</v>
      </c>
      <c r="G483" s="1" t="str">
        <f>"CN220555344U"</f>
        <v>CN220555344U</v>
      </c>
      <c r="H483" s="1" t="str">
        <f>"2024-03-05"</f>
        <v>2024-03-05</v>
      </c>
      <c r="I483" s="1" t="str">
        <f>"李强"</f>
        <v>李强</v>
      </c>
      <c r="J483" s="1" t="str">
        <f t="shared" si="245"/>
        <v>富维本特勒汽车零部件(天津)有限公司</v>
      </c>
    </row>
    <row r="484" spans="1:10">
      <c r="A484" s="1" t="str">
        <f t="shared" si="243"/>
        <v>富维本特勒汽车零部件（天津）有限公司</v>
      </c>
      <c r="B484" s="1" t="str">
        <f>"一种板型工件的自动翻转器及加工板型工件的冲压机"</f>
        <v>一种板型工件的自动翻转器及加工板型工件的冲压机</v>
      </c>
      <c r="C484" s="1" t="str">
        <f t="shared" si="246"/>
        <v>实用新型</v>
      </c>
      <c r="D484" s="1" t="str">
        <f t="shared" si="247"/>
        <v>授权</v>
      </c>
      <c r="E484" s="1" t="str">
        <f>"CN202321187650.2"</f>
        <v>CN202321187650.2</v>
      </c>
      <c r="F484" s="1" t="str">
        <f>"2023-05-17"</f>
        <v>2023-05-17</v>
      </c>
      <c r="G484" s="1" t="str">
        <f>"CN220329816U"</f>
        <v>CN220329816U</v>
      </c>
      <c r="H484" s="1" t="str">
        <f>"2024-01-12"</f>
        <v>2024-01-12</v>
      </c>
      <c r="I484" s="1" t="str">
        <f t="shared" si="249"/>
        <v>金志强</v>
      </c>
      <c r="J484" s="1" t="str">
        <f t="shared" si="245"/>
        <v>富维本特勒汽车零部件(天津)有限公司</v>
      </c>
    </row>
    <row r="485" spans="1:10">
      <c r="A485" s="1" t="str">
        <f t="shared" si="243"/>
        <v>富维本特勒汽车零部件（天津）有限公司</v>
      </c>
      <c r="B485" s="1" t="str">
        <f>"一种新型运输氮气瓶的手推车"</f>
        <v>一种新型运输氮气瓶的手推车</v>
      </c>
      <c r="C485" s="1" t="str">
        <f t="shared" si="246"/>
        <v>实用新型</v>
      </c>
      <c r="D485" s="1" t="str">
        <f t="shared" si="247"/>
        <v>授权</v>
      </c>
      <c r="E485" s="1" t="str">
        <f>"CN202321186724.0"</f>
        <v>CN202321186724.0</v>
      </c>
      <c r="F485" s="1" t="str">
        <f>"2023-05-17"</f>
        <v>2023-05-17</v>
      </c>
      <c r="G485" s="1" t="str">
        <f>"CN220332755U"</f>
        <v>CN220332755U</v>
      </c>
      <c r="H485" s="1" t="str">
        <f>"2024-01-12"</f>
        <v>2024-01-12</v>
      </c>
      <c r="I485" s="1" t="str">
        <f t="shared" si="249"/>
        <v>金志强</v>
      </c>
      <c r="J485" s="1" t="str">
        <f t="shared" si="245"/>
        <v>富维本特勒汽车零部件(天津)有限公司</v>
      </c>
    </row>
    <row r="486" spans="1:10">
      <c r="A486" s="1" t="str">
        <f t="shared" si="243"/>
        <v>富维本特勒汽车零部件（天津）有限公司</v>
      </c>
      <c r="B486" s="1" t="str">
        <f>"一种热成型辊底式加热炉的陶瓷辊及热成型辊底式加热炉"</f>
        <v>一种热成型辊底式加热炉的陶瓷辊及热成型辊底式加热炉</v>
      </c>
      <c r="C486" s="1" t="str">
        <f t="shared" si="246"/>
        <v>实用新型</v>
      </c>
      <c r="D486" s="1" t="str">
        <f t="shared" si="247"/>
        <v>授权</v>
      </c>
      <c r="E486" s="1" t="str">
        <f>"CN202320563387.6"</f>
        <v>CN202320563387.6</v>
      </c>
      <c r="F486" s="1" t="str">
        <f>"2023-03-21"</f>
        <v>2023-03-21</v>
      </c>
      <c r="G486" s="1" t="str">
        <f>"CN219797942U"</f>
        <v>CN219797942U</v>
      </c>
      <c r="H486" s="1" t="str">
        <f>"2023-10-03"</f>
        <v>2023-10-03</v>
      </c>
      <c r="I486" s="1" t="s">
        <v>4875</v>
      </c>
      <c r="J486" s="1" t="str">
        <f t="shared" si="245"/>
        <v>富维本特勒汽车零部件(天津)有限公司</v>
      </c>
    </row>
    <row r="487" spans="1:10">
      <c r="A487" s="1" t="str">
        <f t="shared" si="243"/>
        <v>富维本特勒汽车零部件（天津）有限公司</v>
      </c>
      <c r="B487" s="1" t="str">
        <f>"一种提高焊接垂直度的钣金件螺钉点焊夹具"</f>
        <v>一种提高焊接垂直度的钣金件螺钉点焊夹具</v>
      </c>
      <c r="C487" s="1" t="str">
        <f t="shared" si="246"/>
        <v>实用新型</v>
      </c>
      <c r="D487" s="1" t="str">
        <f t="shared" si="247"/>
        <v>授权</v>
      </c>
      <c r="E487" s="1" t="str">
        <f>"CN202321180072.X"</f>
        <v>CN202321180072.X</v>
      </c>
      <c r="F487" s="1" t="str">
        <f>"2023-05-16"</f>
        <v>2023-05-16</v>
      </c>
      <c r="G487" s="1" t="str">
        <f>"CN219684238U"</f>
        <v>CN219684238U</v>
      </c>
      <c r="H487" s="1" t="str">
        <f>"2023-09-15"</f>
        <v>2023-09-15</v>
      </c>
      <c r="I487" s="1" t="str">
        <f>"刘瑞山"</f>
        <v>刘瑞山</v>
      </c>
      <c r="J487" s="1" t="str">
        <f t="shared" si="245"/>
        <v>富维本特勒汽车零部件(天津)有限公司</v>
      </c>
    </row>
    <row r="488" spans="1:10">
      <c r="A488" s="1" t="str">
        <f t="shared" si="243"/>
        <v>富维本特勒汽车零部件（天津）有限公司</v>
      </c>
      <c r="B488" s="1" t="str">
        <f>"一种热成型辊底式加热炉的陶瓷辊及热成型辊底式加热炉"</f>
        <v>一种热成型辊底式加热炉的陶瓷辊及热成型辊底式加热炉</v>
      </c>
      <c r="C488" s="1" t="str">
        <f>"发明公布"</f>
        <v>发明公布</v>
      </c>
      <c r="D488" s="1" t="str">
        <f>"实质审查"</f>
        <v>实质审查</v>
      </c>
      <c r="E488" s="1" t="str">
        <f>"CN202310278978.3"</f>
        <v>CN202310278978.3</v>
      </c>
      <c r="F488" s="1" t="str">
        <f>"2023-03-21"</f>
        <v>2023-03-21</v>
      </c>
      <c r="G488" s="1" t="str">
        <f>"CN116255834A"</f>
        <v>CN116255834A</v>
      </c>
      <c r="H488" s="1" t="str">
        <f>"2023-06-13"</f>
        <v>2023-06-13</v>
      </c>
      <c r="I488" s="1" t="s">
        <v>4875</v>
      </c>
      <c r="J488" s="1" t="str">
        <f t="shared" si="245"/>
        <v>富维本特勒汽车零部件(天津)有限公司</v>
      </c>
    </row>
    <row r="489" spans="1:10">
      <c r="A489" s="1" t="str">
        <f t="shared" si="243"/>
        <v>富维本特勒汽车零部件（天津）有限公司</v>
      </c>
      <c r="B489" s="1" t="str">
        <f>"车身冲焊生产管理方法、装置、服务器及存储介质"</f>
        <v>车身冲焊生产管理方法、装置、服务器及存储介质</v>
      </c>
      <c r="C489" s="1" t="str">
        <f>"发明公布"</f>
        <v>发明公布</v>
      </c>
      <c r="D489" s="1" t="str">
        <f>"实质审查"</f>
        <v>实质审查</v>
      </c>
      <c r="E489" s="1" t="str">
        <f>"CN202310486302.3"</f>
        <v>CN202310486302.3</v>
      </c>
      <c r="F489" s="1" t="str">
        <f>"2023-05-04"</f>
        <v>2023-05-04</v>
      </c>
      <c r="G489" s="1" t="str">
        <f>"CN116187600A"</f>
        <v>CN116187600A</v>
      </c>
      <c r="H489" s="1" t="str">
        <f>"2023-05-30"</f>
        <v>2023-05-30</v>
      </c>
      <c r="I489" s="1" t="s">
        <v>4876</v>
      </c>
      <c r="J489" s="1" t="str">
        <f t="shared" si="245"/>
        <v>富维本特勒汽车零部件(天津)有限公司</v>
      </c>
    </row>
    <row r="490" spans="1:10">
      <c r="A490" s="1" t="str">
        <f t="shared" ref="A490:A553" si="250">"天津锐意泰克汽车电子有限公司"</f>
        <v>天津锐意泰克汽车电子有限公司</v>
      </c>
      <c r="B490" s="1" t="str">
        <f>"电子油门踏板"</f>
        <v>电子油门踏板</v>
      </c>
      <c r="C490" s="1" t="str">
        <f>"外观设计"</f>
        <v>外观设计</v>
      </c>
      <c r="D490" s="1" t="str">
        <f t="shared" ref="D490:D529" si="251">"未缴年费专利权终止"</f>
        <v>未缴年费专利权终止</v>
      </c>
      <c r="E490" s="1" t="str">
        <f>"CN201630457064.4"</f>
        <v>CN201630457064.4</v>
      </c>
      <c r="F490" s="1" t="str">
        <f t="shared" ref="F490:F494" si="252">"2016-08-31"</f>
        <v>2016-08-31</v>
      </c>
      <c r="G490" s="1" t="str">
        <f>"CN304317709S"</f>
        <v>CN304317709S</v>
      </c>
      <c r="H490" s="1" t="str">
        <f>"2017-10-17"</f>
        <v>2017-10-17</v>
      </c>
      <c r="I490" s="1" t="str">
        <f t="shared" ref="I490:I553" si="253">"杨绍龙"</f>
        <v>杨绍龙</v>
      </c>
      <c r="J490" s="1" t="str">
        <f t="shared" ref="J490:J553" si="254">"天津锐意泰克汽车电子有限公司"</f>
        <v>天津锐意泰克汽车电子有限公司</v>
      </c>
    </row>
    <row r="491" spans="1:10">
      <c r="A491" s="1" t="str">
        <f t="shared" si="250"/>
        <v>天津锐意泰克汽车电子有限公司</v>
      </c>
      <c r="B491" s="1" t="str">
        <f>"一种水温传感器测试系统结构"</f>
        <v>一种水温传感器测试系统结构</v>
      </c>
      <c r="C491" s="1" t="str">
        <f t="shared" ref="C491:C493" si="255">"实用新型"</f>
        <v>实用新型</v>
      </c>
      <c r="D491" s="1" t="str">
        <f t="shared" si="251"/>
        <v>未缴年费专利权终止</v>
      </c>
      <c r="E491" s="1" t="str">
        <f>"CN201621004392.X"</f>
        <v>CN201621004392.X</v>
      </c>
      <c r="F491" s="1" t="str">
        <f t="shared" si="252"/>
        <v>2016-08-31</v>
      </c>
      <c r="G491" s="1" t="str">
        <f>"CN206563624U"</f>
        <v>CN206563624U</v>
      </c>
      <c r="H491" s="1" t="str">
        <f>"2017-10-17"</f>
        <v>2017-10-17</v>
      </c>
      <c r="I491" s="1" t="str">
        <f t="shared" si="253"/>
        <v>杨绍龙</v>
      </c>
      <c r="J491" s="1" t="str">
        <f t="shared" si="254"/>
        <v>天津锐意泰克汽车电子有限公司</v>
      </c>
    </row>
    <row r="492" spans="1:10">
      <c r="A492" s="1" t="str">
        <f t="shared" si="250"/>
        <v>天津锐意泰克汽车电子有限公司</v>
      </c>
      <c r="B492" s="1" t="str">
        <f>"一种用于生产线的绕线机工装的控制系统"</f>
        <v>一种用于生产线的绕线机工装的控制系统</v>
      </c>
      <c r="C492" s="1" t="str">
        <f t="shared" si="255"/>
        <v>实用新型</v>
      </c>
      <c r="D492" s="1" t="str">
        <f t="shared" si="251"/>
        <v>未缴年费专利权终止</v>
      </c>
      <c r="E492" s="1" t="str">
        <f>"CN201621003033.2"</f>
        <v>CN201621003033.2</v>
      </c>
      <c r="F492" s="1" t="str">
        <f t="shared" si="252"/>
        <v>2016-08-31</v>
      </c>
      <c r="G492" s="1" t="str">
        <f>"CN206395592U"</f>
        <v>CN206395592U</v>
      </c>
      <c r="H492" s="1" t="str">
        <f>"2017-08-11"</f>
        <v>2017-08-11</v>
      </c>
      <c r="I492" s="1" t="str">
        <f t="shared" si="253"/>
        <v>杨绍龙</v>
      </c>
      <c r="J492" s="1" t="str">
        <f t="shared" si="254"/>
        <v>天津锐意泰克汽车电子有限公司</v>
      </c>
    </row>
    <row r="493" spans="1:10">
      <c r="A493" s="1" t="str">
        <f t="shared" si="250"/>
        <v>天津锐意泰克汽车电子有限公司</v>
      </c>
      <c r="B493" s="1" t="str">
        <f>"一种汽车踏板测试装置结构"</f>
        <v>一种汽车踏板测试装置结构</v>
      </c>
      <c r="C493" s="1" t="str">
        <f t="shared" si="255"/>
        <v>实用新型</v>
      </c>
      <c r="D493" s="1" t="str">
        <f t="shared" si="251"/>
        <v>未缴年费专利权终止</v>
      </c>
      <c r="E493" s="1" t="str">
        <f>"CN201621015187.3"</f>
        <v>CN201621015187.3</v>
      </c>
      <c r="F493" s="1" t="str">
        <f t="shared" si="252"/>
        <v>2016-08-31</v>
      </c>
      <c r="G493" s="1" t="str">
        <f>"CN206399659U"</f>
        <v>CN206399659U</v>
      </c>
      <c r="H493" s="1" t="str">
        <f>"2017-08-11"</f>
        <v>2017-08-11</v>
      </c>
      <c r="I493" s="1" t="str">
        <f t="shared" si="253"/>
        <v>杨绍龙</v>
      </c>
      <c r="J493" s="1" t="str">
        <f t="shared" si="254"/>
        <v>天津锐意泰克汽车电子有限公司</v>
      </c>
    </row>
    <row r="494" spans="1:10">
      <c r="A494" s="1" t="str">
        <f t="shared" si="250"/>
        <v>天津锐意泰克汽车电子有限公司</v>
      </c>
      <c r="B494" s="1" t="str">
        <f>"爆震传感器"</f>
        <v>爆震传感器</v>
      </c>
      <c r="C494" s="1" t="str">
        <f>"外观设计"</f>
        <v>外观设计</v>
      </c>
      <c r="D494" s="1" t="str">
        <f t="shared" si="251"/>
        <v>未缴年费专利权终止</v>
      </c>
      <c r="E494" s="1" t="str">
        <f>"CN201630457061.0"</f>
        <v>CN201630457061.0</v>
      </c>
      <c r="F494" s="1" t="str">
        <f t="shared" si="252"/>
        <v>2016-08-31</v>
      </c>
      <c r="G494" s="1" t="str">
        <f>"CN304174881S"</f>
        <v>CN304174881S</v>
      </c>
      <c r="H494" s="1" t="str">
        <f>"2017-06-13"</f>
        <v>2017-06-13</v>
      </c>
      <c r="I494" s="1" t="str">
        <f t="shared" si="253"/>
        <v>杨绍龙</v>
      </c>
      <c r="J494" s="1" t="str">
        <f t="shared" si="254"/>
        <v>天津锐意泰克汽车电子有限公司</v>
      </c>
    </row>
    <row r="495" spans="1:10">
      <c r="A495" s="1" t="str">
        <f t="shared" si="250"/>
        <v>天津锐意泰克汽车电子有限公司</v>
      </c>
      <c r="B495" s="1" t="str">
        <f>"用于进气温度压力传感器的托架"</f>
        <v>用于进气温度压力传感器的托架</v>
      </c>
      <c r="C495" s="1" t="str">
        <f t="shared" ref="C495:C527" si="256">"实用新型"</f>
        <v>实用新型</v>
      </c>
      <c r="D495" s="1" t="str">
        <f t="shared" si="251"/>
        <v>未缴年费专利权终止</v>
      </c>
      <c r="E495" s="1" t="str">
        <f>"CN201621015489.0"</f>
        <v>CN201621015489.0</v>
      </c>
      <c r="F495" s="1" t="str">
        <f>"2017-03-30"</f>
        <v>2017-03-30</v>
      </c>
      <c r="G495" s="1" t="str">
        <f>"CN206216629U"</f>
        <v>CN206216629U</v>
      </c>
      <c r="H495" s="1" t="str">
        <f t="shared" ref="H495:H498" si="257">"2017-06-06"</f>
        <v>2017-06-06</v>
      </c>
      <c r="I495" s="1" t="str">
        <f t="shared" si="253"/>
        <v>杨绍龙</v>
      </c>
      <c r="J495" s="1" t="str">
        <f t="shared" si="254"/>
        <v>天津锐意泰克汽车电子有限公司</v>
      </c>
    </row>
    <row r="496" spans="1:10">
      <c r="A496" s="1" t="str">
        <f t="shared" si="250"/>
        <v>天津锐意泰克汽车电子有限公司</v>
      </c>
      <c r="B496" s="1" t="str">
        <f>"凸轮轴位置传感器"</f>
        <v>凸轮轴位置传感器</v>
      </c>
      <c r="C496" s="1" t="str">
        <f>"外观设计"</f>
        <v>外观设计</v>
      </c>
      <c r="D496" s="1" t="str">
        <f t="shared" si="251"/>
        <v>未缴年费专利权终止</v>
      </c>
      <c r="E496" s="1" t="str">
        <f>"CN201630459907.4"</f>
        <v>CN201630459907.4</v>
      </c>
      <c r="F496" s="1" t="str">
        <f t="shared" ref="F496:F559" si="258">"2016-08-31"</f>
        <v>2016-08-31</v>
      </c>
      <c r="G496" s="1" t="str">
        <f>"CN304157114S"</f>
        <v>CN304157114S</v>
      </c>
      <c r="H496" s="1" t="str">
        <f t="shared" si="257"/>
        <v>2017-06-06</v>
      </c>
      <c r="I496" s="1" t="str">
        <f t="shared" si="253"/>
        <v>杨绍龙</v>
      </c>
      <c r="J496" s="1" t="str">
        <f t="shared" si="254"/>
        <v>天津锐意泰克汽车电子有限公司</v>
      </c>
    </row>
    <row r="497" spans="1:10">
      <c r="A497" s="1" t="str">
        <f t="shared" si="250"/>
        <v>天津锐意泰克汽车电子有限公司</v>
      </c>
      <c r="B497" s="1" t="str">
        <f>"碳罐电磁阀周装箱"</f>
        <v>碳罐电磁阀周装箱</v>
      </c>
      <c r="C497" s="1" t="str">
        <f t="shared" si="256"/>
        <v>实用新型</v>
      </c>
      <c r="D497" s="1" t="str">
        <f t="shared" si="251"/>
        <v>未缴年费专利权终止</v>
      </c>
      <c r="E497" s="1" t="str">
        <f>"CN201621003074.1"</f>
        <v>CN201621003074.1</v>
      </c>
      <c r="F497" s="1" t="str">
        <f t="shared" si="258"/>
        <v>2016-08-31</v>
      </c>
      <c r="G497" s="1" t="str">
        <f>"CN206218417U"</f>
        <v>CN206218417U</v>
      </c>
      <c r="H497" s="1" t="str">
        <f t="shared" si="257"/>
        <v>2017-06-06</v>
      </c>
      <c r="I497" s="1" t="str">
        <f t="shared" si="253"/>
        <v>杨绍龙</v>
      </c>
      <c r="J497" s="1" t="str">
        <f t="shared" si="254"/>
        <v>天津锐意泰克汽车电子有限公司</v>
      </c>
    </row>
    <row r="498" spans="1:10">
      <c r="A498" s="1" t="str">
        <f t="shared" si="250"/>
        <v>天津锐意泰克汽车电子有限公司</v>
      </c>
      <c r="B498" s="1" t="str">
        <f>"用转速传感器的拉力试验机"</f>
        <v>用转速传感器的拉力试验机</v>
      </c>
      <c r="C498" s="1" t="str">
        <f t="shared" si="256"/>
        <v>实用新型</v>
      </c>
      <c r="D498" s="1" t="str">
        <f t="shared" si="251"/>
        <v>未缴年费专利权终止</v>
      </c>
      <c r="E498" s="1" t="str">
        <f>"CN201621015488.6"</f>
        <v>CN201621015488.6</v>
      </c>
      <c r="F498" s="1" t="str">
        <f t="shared" si="258"/>
        <v>2016-08-31</v>
      </c>
      <c r="G498" s="1" t="str">
        <f>"CN206223532U"</f>
        <v>CN206223532U</v>
      </c>
      <c r="H498" s="1" t="str">
        <f t="shared" si="257"/>
        <v>2017-06-06</v>
      </c>
      <c r="I498" s="1" t="str">
        <f t="shared" si="253"/>
        <v>杨绍龙</v>
      </c>
      <c r="J498" s="1" t="str">
        <f t="shared" si="254"/>
        <v>天津锐意泰克汽车电子有限公司</v>
      </c>
    </row>
    <row r="499" spans="1:10">
      <c r="A499" s="1" t="str">
        <f t="shared" si="250"/>
        <v>天津锐意泰克汽车电子有限公司</v>
      </c>
      <c r="B499" s="1" t="str">
        <f>"一种曲轴传感器的封装系统"</f>
        <v>一种曲轴传感器的封装系统</v>
      </c>
      <c r="C499" s="1" t="str">
        <f t="shared" si="256"/>
        <v>实用新型</v>
      </c>
      <c r="D499" s="1" t="str">
        <f t="shared" si="251"/>
        <v>未缴年费专利权终止</v>
      </c>
      <c r="E499" s="1" t="str">
        <f>"CN201621015186.9"</f>
        <v>CN201621015186.9</v>
      </c>
      <c r="F499" s="1" t="str">
        <f t="shared" si="258"/>
        <v>2016-08-31</v>
      </c>
      <c r="G499" s="1" t="str">
        <f>"CN206122967U"</f>
        <v>CN206122967U</v>
      </c>
      <c r="H499" s="1" t="str">
        <f t="shared" ref="H499:H527" si="259">"2017-04-26"</f>
        <v>2017-04-26</v>
      </c>
      <c r="I499" s="1" t="str">
        <f t="shared" si="253"/>
        <v>杨绍龙</v>
      </c>
      <c r="J499" s="1" t="str">
        <f t="shared" si="254"/>
        <v>天津锐意泰克汽车电子有限公司</v>
      </c>
    </row>
    <row r="500" spans="1:10">
      <c r="A500" s="1" t="str">
        <f t="shared" si="250"/>
        <v>天津锐意泰克汽车电子有限公司</v>
      </c>
      <c r="B500" s="1" t="str">
        <f>"一种水温传感器测试工装的防错板"</f>
        <v>一种水温传感器测试工装的防错板</v>
      </c>
      <c r="C500" s="1" t="str">
        <f t="shared" si="256"/>
        <v>实用新型</v>
      </c>
      <c r="D500" s="1" t="str">
        <f t="shared" si="251"/>
        <v>未缴年费专利权终止</v>
      </c>
      <c r="E500" s="1" t="str">
        <f>"CN201621004421.2"</f>
        <v>CN201621004421.2</v>
      </c>
      <c r="F500" s="1" t="str">
        <f t="shared" si="258"/>
        <v>2016-08-31</v>
      </c>
      <c r="G500" s="1" t="str">
        <f>"CN206132268U"</f>
        <v>CN206132268U</v>
      </c>
      <c r="H500" s="1" t="str">
        <f t="shared" si="259"/>
        <v>2017-04-26</v>
      </c>
      <c r="I500" s="1" t="str">
        <f t="shared" si="253"/>
        <v>杨绍龙</v>
      </c>
      <c r="J500" s="1" t="str">
        <f t="shared" si="254"/>
        <v>天津锐意泰克汽车电子有限公司</v>
      </c>
    </row>
    <row r="501" spans="1:10">
      <c r="A501" s="1" t="str">
        <f t="shared" si="250"/>
        <v>天津锐意泰克汽车电子有限公司</v>
      </c>
      <c r="B501" s="1" t="str">
        <f>"一种汽车踏板流转输送车"</f>
        <v>一种汽车踏板流转输送车</v>
      </c>
      <c r="C501" s="1" t="str">
        <f t="shared" si="256"/>
        <v>实用新型</v>
      </c>
      <c r="D501" s="1" t="str">
        <f t="shared" si="251"/>
        <v>未缴年费专利权终止</v>
      </c>
      <c r="E501" s="1" t="str">
        <f>"CN201621015112.5"</f>
        <v>CN201621015112.5</v>
      </c>
      <c r="F501" s="1" t="str">
        <f t="shared" si="258"/>
        <v>2016-08-31</v>
      </c>
      <c r="G501" s="1" t="str">
        <f>"CN206125095U"</f>
        <v>CN206125095U</v>
      </c>
      <c r="H501" s="1" t="str">
        <f t="shared" si="259"/>
        <v>2017-04-26</v>
      </c>
      <c r="I501" s="1" t="str">
        <f t="shared" si="253"/>
        <v>杨绍龙</v>
      </c>
      <c r="J501" s="1" t="str">
        <f t="shared" si="254"/>
        <v>天津锐意泰克汽车电子有限公司</v>
      </c>
    </row>
    <row r="502" spans="1:10">
      <c r="A502" s="1" t="str">
        <f t="shared" si="250"/>
        <v>天津锐意泰克汽车电子有限公司</v>
      </c>
      <c r="B502" s="1" t="str">
        <f>"一种汽车踏板流转输送装置"</f>
        <v>一种汽车踏板流转输送装置</v>
      </c>
      <c r="C502" s="1" t="str">
        <f t="shared" si="256"/>
        <v>实用新型</v>
      </c>
      <c r="D502" s="1" t="str">
        <f t="shared" si="251"/>
        <v>未缴年费专利权终止</v>
      </c>
      <c r="E502" s="1" t="str">
        <f>"CN201621003008.4"</f>
        <v>CN201621003008.4</v>
      </c>
      <c r="F502" s="1" t="str">
        <f t="shared" si="258"/>
        <v>2016-08-31</v>
      </c>
      <c r="G502" s="1" t="str">
        <f>"CN206126044U"</f>
        <v>CN206126044U</v>
      </c>
      <c r="H502" s="1" t="str">
        <f t="shared" si="259"/>
        <v>2017-04-26</v>
      </c>
      <c r="I502" s="1" t="str">
        <f t="shared" si="253"/>
        <v>杨绍龙</v>
      </c>
      <c r="J502" s="1" t="str">
        <f t="shared" si="254"/>
        <v>天津锐意泰克汽车电子有限公司</v>
      </c>
    </row>
    <row r="503" spans="1:10">
      <c r="A503" s="1" t="str">
        <f t="shared" si="250"/>
        <v>天津锐意泰克汽车电子有限公司</v>
      </c>
      <c r="B503" s="1" t="str">
        <f>"用转速传感器的拉力试验机的夹具"</f>
        <v>用转速传感器的拉力试验机的夹具</v>
      </c>
      <c r="C503" s="1" t="str">
        <f t="shared" si="256"/>
        <v>实用新型</v>
      </c>
      <c r="D503" s="1" t="str">
        <f t="shared" si="251"/>
        <v>未缴年费专利权终止</v>
      </c>
      <c r="E503" s="1" t="str">
        <f>"CN201621004403.4"</f>
        <v>CN201621004403.4</v>
      </c>
      <c r="F503" s="1" t="str">
        <f t="shared" si="258"/>
        <v>2016-08-31</v>
      </c>
      <c r="G503" s="1" t="str">
        <f>"CN206132804U"</f>
        <v>CN206132804U</v>
      </c>
      <c r="H503" s="1" t="str">
        <f t="shared" si="259"/>
        <v>2017-04-26</v>
      </c>
      <c r="I503" s="1" t="str">
        <f t="shared" si="253"/>
        <v>杨绍龙</v>
      </c>
      <c r="J503" s="1" t="str">
        <f t="shared" si="254"/>
        <v>天津锐意泰克汽车电子有限公司</v>
      </c>
    </row>
    <row r="504" spans="1:10">
      <c r="A504" s="1" t="str">
        <f t="shared" si="250"/>
        <v>天津锐意泰克汽车电子有限公司</v>
      </c>
      <c r="B504" s="1" t="str">
        <f>"用于进气温度压力传感器的蒸汽固化机"</f>
        <v>用于进气温度压力传感器的蒸汽固化机</v>
      </c>
      <c r="C504" s="1" t="str">
        <f t="shared" si="256"/>
        <v>实用新型</v>
      </c>
      <c r="D504" s="1" t="str">
        <f t="shared" si="251"/>
        <v>未缴年费专利权终止</v>
      </c>
      <c r="E504" s="1" t="str">
        <f>"CN201621004425.0"</f>
        <v>CN201621004425.0</v>
      </c>
      <c r="F504" s="1" t="str">
        <f t="shared" si="258"/>
        <v>2016-08-31</v>
      </c>
      <c r="G504" s="1" t="str">
        <f>"CN206132113U"</f>
        <v>CN206132113U</v>
      </c>
      <c r="H504" s="1" t="str">
        <f t="shared" si="259"/>
        <v>2017-04-26</v>
      </c>
      <c r="I504" s="1" t="str">
        <f t="shared" si="253"/>
        <v>杨绍龙</v>
      </c>
      <c r="J504" s="1" t="str">
        <f t="shared" si="254"/>
        <v>天津锐意泰克汽车电子有限公司</v>
      </c>
    </row>
    <row r="505" spans="1:10">
      <c r="A505" s="1" t="str">
        <f t="shared" si="250"/>
        <v>天津锐意泰克汽车电子有限公司</v>
      </c>
      <c r="B505" s="1" t="str">
        <f>"一种水温传感器测试系统"</f>
        <v>一种水温传感器测试系统</v>
      </c>
      <c r="C505" s="1" t="str">
        <f t="shared" si="256"/>
        <v>实用新型</v>
      </c>
      <c r="D505" s="1" t="str">
        <f t="shared" si="251"/>
        <v>未缴年费专利权终止</v>
      </c>
      <c r="E505" s="1" t="str">
        <f>"CN201621015281.9"</f>
        <v>CN201621015281.9</v>
      </c>
      <c r="F505" s="1" t="str">
        <f t="shared" si="258"/>
        <v>2016-08-31</v>
      </c>
      <c r="G505" s="1" t="str">
        <f>"CN206132270U"</f>
        <v>CN206132270U</v>
      </c>
      <c r="H505" s="1" t="str">
        <f t="shared" si="259"/>
        <v>2017-04-26</v>
      </c>
      <c r="I505" s="1" t="str">
        <f t="shared" si="253"/>
        <v>杨绍龙</v>
      </c>
      <c r="J505" s="1" t="str">
        <f t="shared" si="254"/>
        <v>天津锐意泰克汽车电子有限公司</v>
      </c>
    </row>
    <row r="506" spans="1:10">
      <c r="A506" s="1" t="str">
        <f t="shared" si="250"/>
        <v>天津锐意泰克汽车电子有限公司</v>
      </c>
      <c r="B506" s="1" t="str">
        <f>"一种用于生产线的锁付机工装"</f>
        <v>一种用于生产线的锁付机工装</v>
      </c>
      <c r="C506" s="1" t="str">
        <f t="shared" si="256"/>
        <v>实用新型</v>
      </c>
      <c r="D506" s="1" t="str">
        <f t="shared" si="251"/>
        <v>未缴年费专利权终止</v>
      </c>
      <c r="E506" s="1" t="str">
        <f>"CN201621003010.1"</f>
        <v>CN201621003010.1</v>
      </c>
      <c r="F506" s="1" t="str">
        <f t="shared" si="258"/>
        <v>2016-08-31</v>
      </c>
      <c r="G506" s="1" t="str">
        <f>"CN206123113U"</f>
        <v>CN206123113U</v>
      </c>
      <c r="H506" s="1" t="str">
        <f t="shared" si="259"/>
        <v>2017-04-26</v>
      </c>
      <c r="I506" s="1" t="str">
        <f t="shared" si="253"/>
        <v>杨绍龙</v>
      </c>
      <c r="J506" s="1" t="str">
        <f t="shared" si="254"/>
        <v>天津锐意泰克汽车电子有限公司</v>
      </c>
    </row>
    <row r="507" spans="1:10">
      <c r="A507" s="1" t="str">
        <f t="shared" si="250"/>
        <v>天津锐意泰克汽车电子有限公司</v>
      </c>
      <c r="B507" s="1" t="str">
        <f>"一种汽车踏板流转箱"</f>
        <v>一种汽车踏板流转箱</v>
      </c>
      <c r="C507" s="1" t="str">
        <f t="shared" si="256"/>
        <v>实用新型</v>
      </c>
      <c r="D507" s="1" t="str">
        <f t="shared" si="251"/>
        <v>未缴年费专利权终止</v>
      </c>
      <c r="E507" s="1" t="str">
        <f>"CN201621003038.5"</f>
        <v>CN201621003038.5</v>
      </c>
      <c r="F507" s="1" t="str">
        <f t="shared" si="258"/>
        <v>2016-08-31</v>
      </c>
      <c r="G507" s="1" t="str">
        <f>"CN206125728U"</f>
        <v>CN206125728U</v>
      </c>
      <c r="H507" s="1" t="str">
        <f t="shared" si="259"/>
        <v>2017-04-26</v>
      </c>
      <c r="I507" s="1" t="str">
        <f t="shared" si="253"/>
        <v>杨绍龙</v>
      </c>
      <c r="J507" s="1" t="str">
        <f t="shared" si="254"/>
        <v>天津锐意泰克汽车电子有限公司</v>
      </c>
    </row>
    <row r="508" spans="1:10">
      <c r="A508" s="1" t="str">
        <f t="shared" si="250"/>
        <v>天津锐意泰克汽车电子有限公司</v>
      </c>
      <c r="B508" s="1" t="str">
        <f>"一种用于生产线的压装机工装"</f>
        <v>一种用于生产线的压装机工装</v>
      </c>
      <c r="C508" s="1" t="str">
        <f t="shared" si="256"/>
        <v>实用新型</v>
      </c>
      <c r="D508" s="1" t="str">
        <f t="shared" si="251"/>
        <v>未缴年费专利权终止</v>
      </c>
      <c r="E508" s="1" t="str">
        <f>"CN201621015284.2"</f>
        <v>CN201621015284.2</v>
      </c>
      <c r="F508" s="1" t="str">
        <f t="shared" si="258"/>
        <v>2016-08-31</v>
      </c>
      <c r="G508" s="1" t="str">
        <f>"CN206123092U"</f>
        <v>CN206123092U</v>
      </c>
      <c r="H508" s="1" t="str">
        <f t="shared" si="259"/>
        <v>2017-04-26</v>
      </c>
      <c r="I508" s="1" t="str">
        <f t="shared" si="253"/>
        <v>杨绍龙</v>
      </c>
      <c r="J508" s="1" t="str">
        <f t="shared" si="254"/>
        <v>天津锐意泰克汽车电子有限公司</v>
      </c>
    </row>
    <row r="509" spans="1:10">
      <c r="A509" s="1" t="str">
        <f t="shared" si="250"/>
        <v>天津锐意泰克汽车电子有限公司</v>
      </c>
      <c r="B509" s="1" t="str">
        <f>"爆震传感器传送装置"</f>
        <v>爆震传感器传送装置</v>
      </c>
      <c r="C509" s="1" t="str">
        <f t="shared" si="256"/>
        <v>实用新型</v>
      </c>
      <c r="D509" s="1" t="str">
        <f t="shared" si="251"/>
        <v>未缴年费专利权终止</v>
      </c>
      <c r="E509" s="1" t="str">
        <f>"CN201621003073.7"</f>
        <v>CN201621003073.7</v>
      </c>
      <c r="F509" s="1" t="str">
        <f t="shared" si="258"/>
        <v>2016-08-31</v>
      </c>
      <c r="G509" s="1" t="str">
        <f>"CN206126191U"</f>
        <v>CN206126191U</v>
      </c>
      <c r="H509" s="1" t="str">
        <f t="shared" si="259"/>
        <v>2017-04-26</v>
      </c>
      <c r="I509" s="1" t="str">
        <f t="shared" si="253"/>
        <v>杨绍龙</v>
      </c>
      <c r="J509" s="1" t="str">
        <f t="shared" si="254"/>
        <v>天津锐意泰克汽车电子有限公司</v>
      </c>
    </row>
    <row r="510" spans="1:10">
      <c r="A510" s="1" t="str">
        <f t="shared" si="250"/>
        <v>天津锐意泰克汽车电子有限公司</v>
      </c>
      <c r="B510" s="1" t="str">
        <f>"周转盒放置架"</f>
        <v>周转盒放置架</v>
      </c>
      <c r="C510" s="1" t="str">
        <f t="shared" si="256"/>
        <v>实用新型</v>
      </c>
      <c r="D510" s="1" t="str">
        <f t="shared" si="251"/>
        <v>未缴年费专利权终止</v>
      </c>
      <c r="E510" s="1" t="str">
        <f>"CN201621003065.2"</f>
        <v>CN201621003065.2</v>
      </c>
      <c r="F510" s="1" t="str">
        <f t="shared" si="258"/>
        <v>2016-08-31</v>
      </c>
      <c r="G510" s="1" t="str">
        <f>"CN206123606U"</f>
        <v>CN206123606U</v>
      </c>
      <c r="H510" s="1" t="str">
        <f t="shared" si="259"/>
        <v>2017-04-26</v>
      </c>
      <c r="I510" s="1" t="str">
        <f t="shared" si="253"/>
        <v>杨绍龙</v>
      </c>
      <c r="J510" s="1" t="str">
        <f t="shared" si="254"/>
        <v>天津锐意泰克汽车电子有限公司</v>
      </c>
    </row>
    <row r="511" spans="1:10">
      <c r="A511" s="1" t="str">
        <f t="shared" si="250"/>
        <v>天津锐意泰克汽车电子有限公司</v>
      </c>
      <c r="B511" s="1" t="str">
        <f>"多工位转速传感器加工机"</f>
        <v>多工位转速传感器加工机</v>
      </c>
      <c r="C511" s="1" t="str">
        <f t="shared" si="256"/>
        <v>实用新型</v>
      </c>
      <c r="D511" s="1" t="str">
        <f t="shared" si="251"/>
        <v>未缴年费专利权终止</v>
      </c>
      <c r="E511" s="1" t="str">
        <f>"CN201621015453.2"</f>
        <v>CN201621015453.2</v>
      </c>
      <c r="F511" s="1" t="str">
        <f t="shared" si="258"/>
        <v>2016-08-31</v>
      </c>
      <c r="G511" s="1" t="str">
        <f>"CN206123333U"</f>
        <v>CN206123333U</v>
      </c>
      <c r="H511" s="1" t="str">
        <f t="shared" si="259"/>
        <v>2017-04-26</v>
      </c>
      <c r="I511" s="1" t="str">
        <f t="shared" si="253"/>
        <v>杨绍龙</v>
      </c>
      <c r="J511" s="1" t="str">
        <f t="shared" si="254"/>
        <v>天津锐意泰克汽车电子有限公司</v>
      </c>
    </row>
    <row r="512" spans="1:10">
      <c r="A512" s="1" t="str">
        <f t="shared" si="250"/>
        <v>天津锐意泰克汽车电子有限公司</v>
      </c>
      <c r="B512" s="1" t="str">
        <f>"一种汽车踏板流转车"</f>
        <v>一种汽车踏板流转车</v>
      </c>
      <c r="C512" s="1" t="str">
        <f t="shared" si="256"/>
        <v>实用新型</v>
      </c>
      <c r="D512" s="1" t="str">
        <f t="shared" si="251"/>
        <v>未缴年费专利权终止</v>
      </c>
      <c r="E512" s="1" t="str">
        <f>"CN201621015188.8"</f>
        <v>CN201621015188.8</v>
      </c>
      <c r="F512" s="1" t="str">
        <f t="shared" si="258"/>
        <v>2016-08-31</v>
      </c>
      <c r="G512" s="1" t="str">
        <f>"CN206125685U"</f>
        <v>CN206125685U</v>
      </c>
      <c r="H512" s="1" t="str">
        <f t="shared" si="259"/>
        <v>2017-04-26</v>
      </c>
      <c r="I512" s="1" t="str">
        <f t="shared" si="253"/>
        <v>杨绍龙</v>
      </c>
      <c r="J512" s="1" t="str">
        <f t="shared" si="254"/>
        <v>天津锐意泰克汽车电子有限公司</v>
      </c>
    </row>
    <row r="513" spans="1:10">
      <c r="A513" s="1" t="str">
        <f t="shared" si="250"/>
        <v>天津锐意泰克汽车电子有限公司</v>
      </c>
      <c r="B513" s="1" t="str">
        <f>"凸轮轴位置传感器加工托架"</f>
        <v>凸轮轴位置传感器加工托架</v>
      </c>
      <c r="C513" s="1" t="str">
        <f t="shared" si="256"/>
        <v>实用新型</v>
      </c>
      <c r="D513" s="1" t="str">
        <f t="shared" si="251"/>
        <v>未缴年费专利权终止</v>
      </c>
      <c r="E513" s="1" t="str">
        <f>"CN201621003098.7"</f>
        <v>CN201621003098.7</v>
      </c>
      <c r="F513" s="1" t="str">
        <f t="shared" si="258"/>
        <v>2016-08-31</v>
      </c>
      <c r="G513" s="1" t="str">
        <f>"CN206123473U"</f>
        <v>CN206123473U</v>
      </c>
      <c r="H513" s="1" t="str">
        <f t="shared" si="259"/>
        <v>2017-04-26</v>
      </c>
      <c r="I513" s="1" t="str">
        <f t="shared" si="253"/>
        <v>杨绍龙</v>
      </c>
      <c r="J513" s="1" t="str">
        <f t="shared" si="254"/>
        <v>天津锐意泰克汽车电子有限公司</v>
      </c>
    </row>
    <row r="514" spans="1:10">
      <c r="A514" s="1" t="str">
        <f t="shared" si="250"/>
        <v>天津锐意泰克汽车电子有限公司</v>
      </c>
      <c r="B514" s="1" t="str">
        <f>"用于水温传感器检测设备的便捷托架"</f>
        <v>用于水温传感器检测设备的便捷托架</v>
      </c>
      <c r="C514" s="1" t="str">
        <f t="shared" si="256"/>
        <v>实用新型</v>
      </c>
      <c r="D514" s="1" t="str">
        <f t="shared" si="251"/>
        <v>未缴年费专利权终止</v>
      </c>
      <c r="E514" s="1" t="str">
        <f>"CN201621015546.5"</f>
        <v>CN201621015546.5</v>
      </c>
      <c r="F514" s="1" t="str">
        <f t="shared" si="258"/>
        <v>2016-08-31</v>
      </c>
      <c r="G514" s="1" t="str">
        <f>"CN206132244U"</f>
        <v>CN206132244U</v>
      </c>
      <c r="H514" s="1" t="str">
        <f t="shared" si="259"/>
        <v>2017-04-26</v>
      </c>
      <c r="I514" s="1" t="str">
        <f t="shared" si="253"/>
        <v>杨绍龙</v>
      </c>
      <c r="J514" s="1" t="str">
        <f t="shared" si="254"/>
        <v>天津锐意泰克汽车电子有限公司</v>
      </c>
    </row>
    <row r="515" spans="1:10">
      <c r="A515" s="1" t="str">
        <f t="shared" si="250"/>
        <v>天津锐意泰克汽车电子有限公司</v>
      </c>
      <c r="B515" s="1" t="str">
        <f>"水温传感器的加工设备"</f>
        <v>水温传感器的加工设备</v>
      </c>
      <c r="C515" s="1" t="str">
        <f t="shared" si="256"/>
        <v>实用新型</v>
      </c>
      <c r="D515" s="1" t="str">
        <f t="shared" si="251"/>
        <v>未缴年费专利权终止</v>
      </c>
      <c r="E515" s="1" t="str">
        <f>"CN201621015383.0"</f>
        <v>CN201621015383.0</v>
      </c>
      <c r="F515" s="1" t="str">
        <f t="shared" si="258"/>
        <v>2016-08-31</v>
      </c>
      <c r="G515" s="1" t="str">
        <f>"CN206132255U"</f>
        <v>CN206132255U</v>
      </c>
      <c r="H515" s="1" t="str">
        <f t="shared" si="259"/>
        <v>2017-04-26</v>
      </c>
      <c r="I515" s="1" t="str">
        <f t="shared" si="253"/>
        <v>杨绍龙</v>
      </c>
      <c r="J515" s="1" t="str">
        <f t="shared" si="254"/>
        <v>天津锐意泰克汽车电子有限公司</v>
      </c>
    </row>
    <row r="516" spans="1:10">
      <c r="A516" s="1" t="str">
        <f t="shared" si="250"/>
        <v>天津锐意泰克汽车电子有限公司</v>
      </c>
      <c r="B516" s="1" t="str">
        <f>"一种用于生产线的绕线机工装"</f>
        <v>一种用于生产线的绕线机工装</v>
      </c>
      <c r="C516" s="1" t="str">
        <f t="shared" si="256"/>
        <v>实用新型</v>
      </c>
      <c r="D516" s="1" t="str">
        <f t="shared" si="251"/>
        <v>未缴年费专利权终止</v>
      </c>
      <c r="E516" s="1" t="str">
        <f>"CN201621003031.3"</f>
        <v>CN201621003031.3</v>
      </c>
      <c r="F516" s="1" t="str">
        <f t="shared" si="258"/>
        <v>2016-08-31</v>
      </c>
      <c r="G516" s="1" t="str">
        <f>"CN206126471U"</f>
        <v>CN206126471U</v>
      </c>
      <c r="H516" s="1" t="str">
        <f t="shared" si="259"/>
        <v>2017-04-26</v>
      </c>
      <c r="I516" s="1" t="str">
        <f t="shared" si="253"/>
        <v>杨绍龙</v>
      </c>
      <c r="J516" s="1" t="str">
        <f t="shared" si="254"/>
        <v>天津锐意泰克汽车电子有限公司</v>
      </c>
    </row>
    <row r="517" spans="1:10">
      <c r="A517" s="1" t="str">
        <f t="shared" si="250"/>
        <v>天津锐意泰克汽车电子有限公司</v>
      </c>
      <c r="B517" s="1" t="str">
        <f>"一种水温传感器测试工装的下工装"</f>
        <v>一种水温传感器测试工装的下工装</v>
      </c>
      <c r="C517" s="1" t="str">
        <f t="shared" si="256"/>
        <v>实用新型</v>
      </c>
      <c r="D517" s="1" t="str">
        <f t="shared" si="251"/>
        <v>未缴年费专利权终止</v>
      </c>
      <c r="E517" s="1" t="str">
        <f>"CN201621004274.9"</f>
        <v>CN201621004274.9</v>
      </c>
      <c r="F517" s="1" t="str">
        <f t="shared" si="258"/>
        <v>2016-08-31</v>
      </c>
      <c r="G517" s="1" t="str">
        <f>"CN206132266U"</f>
        <v>CN206132266U</v>
      </c>
      <c r="H517" s="1" t="str">
        <f t="shared" si="259"/>
        <v>2017-04-26</v>
      </c>
      <c r="I517" s="1" t="str">
        <f t="shared" si="253"/>
        <v>杨绍龙</v>
      </c>
      <c r="J517" s="1" t="str">
        <f t="shared" si="254"/>
        <v>天津锐意泰克汽车电子有限公司</v>
      </c>
    </row>
    <row r="518" spans="1:10">
      <c r="A518" s="1" t="str">
        <f t="shared" si="250"/>
        <v>天津锐意泰克汽车电子有限公司</v>
      </c>
      <c r="B518" s="1" t="str">
        <f>"一种进气压力温度传感器封装系统"</f>
        <v>一种进气压力温度传感器封装系统</v>
      </c>
      <c r="C518" s="1" t="str">
        <f t="shared" si="256"/>
        <v>实用新型</v>
      </c>
      <c r="D518" s="1" t="str">
        <f t="shared" si="251"/>
        <v>未缴年费专利权终止</v>
      </c>
      <c r="E518" s="1" t="str">
        <f>"CN201621004328.1"</f>
        <v>CN201621004328.1</v>
      </c>
      <c r="F518" s="1" t="str">
        <f t="shared" si="258"/>
        <v>2016-08-31</v>
      </c>
      <c r="G518" s="1" t="str">
        <f>"CN206132260U"</f>
        <v>CN206132260U</v>
      </c>
      <c r="H518" s="1" t="str">
        <f t="shared" si="259"/>
        <v>2017-04-26</v>
      </c>
      <c r="I518" s="1" t="str">
        <f t="shared" si="253"/>
        <v>杨绍龙</v>
      </c>
      <c r="J518" s="1" t="str">
        <f t="shared" si="254"/>
        <v>天津锐意泰克汽车电子有限公司</v>
      </c>
    </row>
    <row r="519" spans="1:10">
      <c r="A519" s="1" t="str">
        <f t="shared" si="250"/>
        <v>天津锐意泰克汽车电子有限公司</v>
      </c>
      <c r="B519" s="1" t="str">
        <f>"爆震传感器的简易检测机构"</f>
        <v>爆震传感器的简易检测机构</v>
      </c>
      <c r="C519" s="1" t="str">
        <f t="shared" si="256"/>
        <v>实用新型</v>
      </c>
      <c r="D519" s="1" t="str">
        <f t="shared" si="251"/>
        <v>未缴年费专利权终止</v>
      </c>
      <c r="E519" s="1" t="str">
        <f>"CN201621015285.7"</f>
        <v>CN201621015285.7</v>
      </c>
      <c r="F519" s="1" t="str">
        <f t="shared" si="258"/>
        <v>2016-08-31</v>
      </c>
      <c r="G519" s="1" t="str">
        <f>"CN206132306U"</f>
        <v>CN206132306U</v>
      </c>
      <c r="H519" s="1" t="str">
        <f t="shared" si="259"/>
        <v>2017-04-26</v>
      </c>
      <c r="I519" s="1" t="str">
        <f t="shared" si="253"/>
        <v>杨绍龙</v>
      </c>
      <c r="J519" s="1" t="str">
        <f t="shared" si="254"/>
        <v>天津锐意泰克汽车电子有限公司</v>
      </c>
    </row>
    <row r="520" spans="1:10">
      <c r="A520" s="1" t="str">
        <f t="shared" si="250"/>
        <v>天津锐意泰克汽车电子有限公司</v>
      </c>
      <c r="B520" s="1" t="str">
        <f>"水温传感器检测设备"</f>
        <v>水温传感器检测设备</v>
      </c>
      <c r="C520" s="1" t="str">
        <f t="shared" si="256"/>
        <v>实用新型</v>
      </c>
      <c r="D520" s="1" t="str">
        <f t="shared" si="251"/>
        <v>未缴年费专利权终止</v>
      </c>
      <c r="E520" s="1" t="str">
        <f>"CN201621004303.1"</f>
        <v>CN201621004303.1</v>
      </c>
      <c r="F520" s="1" t="str">
        <f t="shared" si="258"/>
        <v>2016-08-31</v>
      </c>
      <c r="G520" s="1" t="str">
        <f>"CN206132267U"</f>
        <v>CN206132267U</v>
      </c>
      <c r="H520" s="1" t="str">
        <f t="shared" si="259"/>
        <v>2017-04-26</v>
      </c>
      <c r="I520" s="1" t="str">
        <f t="shared" si="253"/>
        <v>杨绍龙</v>
      </c>
      <c r="J520" s="1" t="str">
        <f t="shared" si="254"/>
        <v>天津锐意泰克汽车电子有限公司</v>
      </c>
    </row>
    <row r="521" spans="1:10">
      <c r="A521" s="1" t="str">
        <f t="shared" si="250"/>
        <v>天津锐意泰克汽车电子有限公司</v>
      </c>
      <c r="B521" s="1" t="str">
        <f>"一种汽车踏板测试系统"</f>
        <v>一种汽车踏板测试系统</v>
      </c>
      <c r="C521" s="1" t="str">
        <f t="shared" si="256"/>
        <v>实用新型</v>
      </c>
      <c r="D521" s="1" t="str">
        <f t="shared" si="251"/>
        <v>未缴年费专利权终止</v>
      </c>
      <c r="E521" s="1" t="str">
        <f>"CN201621004215.1"</f>
        <v>CN201621004215.1</v>
      </c>
      <c r="F521" s="1" t="str">
        <f t="shared" si="258"/>
        <v>2016-08-31</v>
      </c>
      <c r="G521" s="1" t="str">
        <f>"CN206132362U"</f>
        <v>CN206132362U</v>
      </c>
      <c r="H521" s="1" t="str">
        <f t="shared" si="259"/>
        <v>2017-04-26</v>
      </c>
      <c r="I521" s="1" t="str">
        <f t="shared" si="253"/>
        <v>杨绍龙</v>
      </c>
      <c r="J521" s="1" t="str">
        <f t="shared" si="254"/>
        <v>天津锐意泰克汽车电子有限公司</v>
      </c>
    </row>
    <row r="522" spans="1:10">
      <c r="A522" s="1" t="str">
        <f t="shared" si="250"/>
        <v>天津锐意泰克汽车电子有限公司</v>
      </c>
      <c r="B522" s="1" t="str">
        <f>"爆震传感器周转箱"</f>
        <v>爆震传感器周转箱</v>
      </c>
      <c r="C522" s="1" t="str">
        <f t="shared" si="256"/>
        <v>实用新型</v>
      </c>
      <c r="D522" s="1" t="str">
        <f t="shared" si="251"/>
        <v>未缴年费专利权终止</v>
      </c>
      <c r="E522" s="1" t="str">
        <f>"CN201621015451.3"</f>
        <v>CN201621015451.3</v>
      </c>
      <c r="F522" s="1" t="str">
        <f t="shared" si="258"/>
        <v>2016-08-31</v>
      </c>
      <c r="G522" s="1" t="str">
        <f>"CN206125729U"</f>
        <v>CN206125729U</v>
      </c>
      <c r="H522" s="1" t="str">
        <f t="shared" si="259"/>
        <v>2017-04-26</v>
      </c>
      <c r="I522" s="1" t="str">
        <f t="shared" si="253"/>
        <v>杨绍龙</v>
      </c>
      <c r="J522" s="1" t="str">
        <f t="shared" si="254"/>
        <v>天津锐意泰克汽车电子有限公司</v>
      </c>
    </row>
    <row r="523" spans="1:10">
      <c r="A523" s="1" t="str">
        <f t="shared" si="250"/>
        <v>天津锐意泰克汽车电子有限公司</v>
      </c>
      <c r="B523" s="1" t="str">
        <f>"一种水温传感器测试工装的上工装"</f>
        <v>一种水温传感器测试工装的上工装</v>
      </c>
      <c r="C523" s="1" t="str">
        <f t="shared" si="256"/>
        <v>实用新型</v>
      </c>
      <c r="D523" s="1" t="str">
        <f t="shared" si="251"/>
        <v>未缴年费专利权终止</v>
      </c>
      <c r="E523" s="1" t="str">
        <f>"CN201621004237.8"</f>
        <v>CN201621004237.8</v>
      </c>
      <c r="F523" s="1" t="str">
        <f t="shared" si="258"/>
        <v>2016-08-31</v>
      </c>
      <c r="G523" s="1" t="str">
        <f>"CN206132265U"</f>
        <v>CN206132265U</v>
      </c>
      <c r="H523" s="1" t="str">
        <f t="shared" si="259"/>
        <v>2017-04-26</v>
      </c>
      <c r="I523" s="1" t="str">
        <f t="shared" si="253"/>
        <v>杨绍龙</v>
      </c>
      <c r="J523" s="1" t="str">
        <f t="shared" si="254"/>
        <v>天津锐意泰克汽车电子有限公司</v>
      </c>
    </row>
    <row r="524" spans="1:10">
      <c r="A524" s="1" t="str">
        <f t="shared" si="250"/>
        <v>天津锐意泰克汽车电子有限公司</v>
      </c>
      <c r="B524" s="1" t="str">
        <f>"凸轮轴位置传感器托架"</f>
        <v>凸轮轴位置传感器托架</v>
      </c>
      <c r="C524" s="1" t="str">
        <f t="shared" si="256"/>
        <v>实用新型</v>
      </c>
      <c r="D524" s="1" t="str">
        <f t="shared" si="251"/>
        <v>未缴年费专利权终止</v>
      </c>
      <c r="E524" s="1" t="str">
        <f>"CN201621003061.4"</f>
        <v>CN201621003061.4</v>
      </c>
      <c r="F524" s="1" t="str">
        <f t="shared" si="258"/>
        <v>2016-08-31</v>
      </c>
      <c r="G524" s="1" t="str">
        <f>"CN206132093U"</f>
        <v>CN206132093U</v>
      </c>
      <c r="H524" s="1" t="str">
        <f t="shared" si="259"/>
        <v>2017-04-26</v>
      </c>
      <c r="I524" s="1" t="str">
        <f t="shared" si="253"/>
        <v>杨绍龙</v>
      </c>
      <c r="J524" s="1" t="str">
        <f t="shared" si="254"/>
        <v>天津锐意泰克汽车电子有限公司</v>
      </c>
    </row>
    <row r="525" spans="1:10">
      <c r="A525" s="1" t="str">
        <f t="shared" si="250"/>
        <v>天津锐意泰克汽车电子有限公司</v>
      </c>
      <c r="B525" s="1" t="str">
        <f>"一种用于生产线的夹具"</f>
        <v>一种用于生产线的夹具</v>
      </c>
      <c r="C525" s="1" t="str">
        <f t="shared" si="256"/>
        <v>实用新型</v>
      </c>
      <c r="D525" s="1" t="str">
        <f t="shared" si="251"/>
        <v>未缴年费专利权终止</v>
      </c>
      <c r="E525" s="1" t="str">
        <f>"CN201621015190.5"</f>
        <v>CN201621015190.5</v>
      </c>
      <c r="F525" s="1" t="str">
        <f t="shared" si="258"/>
        <v>2016-08-31</v>
      </c>
      <c r="G525" s="1" t="str">
        <f>"CN206123543U"</f>
        <v>CN206123543U</v>
      </c>
      <c r="H525" s="1" t="str">
        <f t="shared" si="259"/>
        <v>2017-04-26</v>
      </c>
      <c r="I525" s="1" t="str">
        <f t="shared" si="253"/>
        <v>杨绍龙</v>
      </c>
      <c r="J525" s="1" t="str">
        <f t="shared" si="254"/>
        <v>天津锐意泰克汽车电子有限公司</v>
      </c>
    </row>
    <row r="526" spans="1:10">
      <c r="A526" s="1" t="str">
        <f t="shared" si="250"/>
        <v>天津锐意泰克汽车电子有限公司</v>
      </c>
      <c r="B526" s="1" t="str">
        <f>"爆震传感器测试台"</f>
        <v>爆震传感器测试台</v>
      </c>
      <c r="C526" s="1" t="str">
        <f t="shared" si="256"/>
        <v>实用新型</v>
      </c>
      <c r="D526" s="1" t="str">
        <f t="shared" si="251"/>
        <v>未缴年费专利权终止</v>
      </c>
      <c r="E526" s="1" t="str">
        <f>"CN201621004273.4"</f>
        <v>CN201621004273.4</v>
      </c>
      <c r="F526" s="1" t="str">
        <f t="shared" si="258"/>
        <v>2016-08-31</v>
      </c>
      <c r="G526" s="1" t="str">
        <f>"CN206132304U"</f>
        <v>CN206132304U</v>
      </c>
      <c r="H526" s="1" t="str">
        <f t="shared" si="259"/>
        <v>2017-04-26</v>
      </c>
      <c r="I526" s="1" t="str">
        <f t="shared" si="253"/>
        <v>杨绍龙</v>
      </c>
      <c r="J526" s="1" t="str">
        <f t="shared" si="254"/>
        <v>天津锐意泰克汽车电子有限公司</v>
      </c>
    </row>
    <row r="527" spans="1:10">
      <c r="A527" s="1" t="str">
        <f t="shared" si="250"/>
        <v>天津锐意泰克汽车电子有限公司</v>
      </c>
      <c r="B527" s="1" t="str">
        <f>"一种水温传感器测试工装"</f>
        <v>一种水温传感器测试工装</v>
      </c>
      <c r="C527" s="1" t="str">
        <f t="shared" si="256"/>
        <v>实用新型</v>
      </c>
      <c r="D527" s="1" t="str">
        <f t="shared" si="251"/>
        <v>未缴年费专利权终止</v>
      </c>
      <c r="E527" s="1" t="str">
        <f>"CN201621015189.2"</f>
        <v>CN201621015189.2</v>
      </c>
      <c r="F527" s="1" t="str">
        <f t="shared" si="258"/>
        <v>2016-08-31</v>
      </c>
      <c r="G527" s="1" t="str">
        <f>"CN206132269U"</f>
        <v>CN206132269U</v>
      </c>
      <c r="H527" s="1" t="str">
        <f t="shared" si="259"/>
        <v>2017-04-26</v>
      </c>
      <c r="I527" s="1" t="str">
        <f t="shared" si="253"/>
        <v>杨绍龙</v>
      </c>
      <c r="J527" s="1" t="str">
        <f t="shared" si="254"/>
        <v>天津锐意泰克汽车电子有限公司</v>
      </c>
    </row>
    <row r="528" spans="1:10">
      <c r="A528" s="1" t="str">
        <f t="shared" si="250"/>
        <v>天津锐意泰克汽车电子有限公司</v>
      </c>
      <c r="B528" s="1" t="str">
        <f>"碳罐电磁阀"</f>
        <v>碳罐电磁阀</v>
      </c>
      <c r="C528" s="1" t="str">
        <f t="shared" ref="C528:C533" si="260">"外观设计"</f>
        <v>外观设计</v>
      </c>
      <c r="D528" s="1" t="str">
        <f t="shared" si="251"/>
        <v>未缴年费专利权终止</v>
      </c>
      <c r="E528" s="1" t="str">
        <f>"CN201630459904.0"</f>
        <v>CN201630459904.0</v>
      </c>
      <c r="F528" s="1" t="str">
        <f t="shared" si="258"/>
        <v>2016-08-31</v>
      </c>
      <c r="G528" s="1" t="str">
        <f>"CN304058367S"</f>
        <v>CN304058367S</v>
      </c>
      <c r="H528" s="1" t="str">
        <f t="shared" ref="H528:H533" si="261">"2017-02-22"</f>
        <v>2017-02-22</v>
      </c>
      <c r="I528" s="1" t="str">
        <f t="shared" si="253"/>
        <v>杨绍龙</v>
      </c>
      <c r="J528" s="1" t="str">
        <f t="shared" si="254"/>
        <v>天津锐意泰克汽车电子有限公司</v>
      </c>
    </row>
    <row r="529" spans="1:10">
      <c r="A529" s="1" t="str">
        <f t="shared" si="250"/>
        <v>天津锐意泰克汽车电子有限公司</v>
      </c>
      <c r="B529" s="1" t="str">
        <f>"曲轴位置传感器"</f>
        <v>曲轴位置传感器</v>
      </c>
      <c r="C529" s="1" t="str">
        <f t="shared" si="260"/>
        <v>外观设计</v>
      </c>
      <c r="D529" s="1" t="str">
        <f t="shared" si="251"/>
        <v>未缴年费专利权终止</v>
      </c>
      <c r="E529" s="1" t="str">
        <f>"CN201630457046.6"</f>
        <v>CN201630457046.6</v>
      </c>
      <c r="F529" s="1" t="str">
        <f t="shared" si="258"/>
        <v>2016-08-31</v>
      </c>
      <c r="G529" s="1" t="str">
        <f>"CN304054241S"</f>
        <v>CN304054241S</v>
      </c>
      <c r="H529" s="1" t="str">
        <f t="shared" si="261"/>
        <v>2017-02-22</v>
      </c>
      <c r="I529" s="1" t="str">
        <f t="shared" si="253"/>
        <v>杨绍龙</v>
      </c>
      <c r="J529" s="1" t="str">
        <f t="shared" si="254"/>
        <v>天津锐意泰克汽车电子有限公司</v>
      </c>
    </row>
    <row r="530" spans="1:10">
      <c r="A530" s="1" t="str">
        <f t="shared" si="250"/>
        <v>天津锐意泰克汽车电子有限公司</v>
      </c>
      <c r="B530" s="1" t="str">
        <f>"一种进气压力温度传感器封装方法"</f>
        <v>一种进气压力温度传感器封装方法</v>
      </c>
      <c r="C530" s="1" t="str">
        <f t="shared" ref="C530:C532" si="262">"发明公布"</f>
        <v>发明公布</v>
      </c>
      <c r="D530" s="1" t="str">
        <f t="shared" ref="D530:D532" si="263">"公布视为撤回"</f>
        <v>公布视为撤回</v>
      </c>
      <c r="E530" s="1" t="str">
        <f>"CN201610776255.6"</f>
        <v>CN201610776255.6</v>
      </c>
      <c r="F530" s="1" t="str">
        <f t="shared" si="258"/>
        <v>2016-08-31</v>
      </c>
      <c r="G530" s="1" t="str">
        <f>"CN106441623A"</f>
        <v>CN106441623A</v>
      </c>
      <c r="H530" s="1" t="str">
        <f t="shared" si="261"/>
        <v>2017-02-22</v>
      </c>
      <c r="I530" s="1" t="str">
        <f t="shared" si="253"/>
        <v>杨绍龙</v>
      </c>
      <c r="J530" s="1" t="str">
        <f t="shared" si="254"/>
        <v>天津锐意泰克汽车电子有限公司</v>
      </c>
    </row>
    <row r="531" spans="1:10">
      <c r="A531" s="1" t="str">
        <f t="shared" si="250"/>
        <v>天津锐意泰克汽车电子有限公司</v>
      </c>
      <c r="B531" s="1" t="str">
        <f>"一种汽车踏板流转输送装置"</f>
        <v>一种汽车踏板流转输送装置</v>
      </c>
      <c r="C531" s="1" t="str">
        <f t="shared" si="262"/>
        <v>发明公布</v>
      </c>
      <c r="D531" s="1" t="str">
        <f t="shared" si="263"/>
        <v>公布视为撤回</v>
      </c>
      <c r="E531" s="1" t="str">
        <f>"CN201610784499.9"</f>
        <v>CN201610784499.9</v>
      </c>
      <c r="F531" s="1" t="str">
        <f t="shared" si="258"/>
        <v>2016-08-31</v>
      </c>
      <c r="G531" s="1" t="str">
        <f>"CN106429171A"</f>
        <v>CN106429171A</v>
      </c>
      <c r="H531" s="1" t="str">
        <f t="shared" si="261"/>
        <v>2017-02-22</v>
      </c>
      <c r="I531" s="1" t="str">
        <f t="shared" si="253"/>
        <v>杨绍龙</v>
      </c>
      <c r="J531" s="1" t="str">
        <f t="shared" si="254"/>
        <v>天津锐意泰克汽车电子有限公司</v>
      </c>
    </row>
    <row r="532" spans="1:10">
      <c r="A532" s="1" t="str">
        <f t="shared" si="250"/>
        <v>天津锐意泰克汽车电子有限公司</v>
      </c>
      <c r="B532" s="1" t="str">
        <f>"一种水温传感器组装方法"</f>
        <v>一种水温传感器组装方法</v>
      </c>
      <c r="C532" s="1" t="str">
        <f t="shared" si="262"/>
        <v>发明公布</v>
      </c>
      <c r="D532" s="1" t="str">
        <f t="shared" si="263"/>
        <v>公布视为撤回</v>
      </c>
      <c r="E532" s="1" t="str">
        <f>"CN201610776251.8"</f>
        <v>CN201610776251.8</v>
      </c>
      <c r="F532" s="1" t="str">
        <f t="shared" si="258"/>
        <v>2016-08-31</v>
      </c>
      <c r="G532" s="1" t="str">
        <f>"CN106441622A"</f>
        <v>CN106441622A</v>
      </c>
      <c r="H532" s="1" t="str">
        <f t="shared" si="261"/>
        <v>2017-02-22</v>
      </c>
      <c r="I532" s="1" t="str">
        <f t="shared" si="253"/>
        <v>杨绍龙</v>
      </c>
      <c r="J532" s="1" t="str">
        <f t="shared" si="254"/>
        <v>天津锐意泰克汽车电子有限公司</v>
      </c>
    </row>
    <row r="533" spans="1:10">
      <c r="A533" s="1" t="str">
        <f t="shared" si="250"/>
        <v>天津锐意泰克汽车电子有限公司</v>
      </c>
      <c r="B533" s="1" t="str">
        <f>"带线爆震传感器"</f>
        <v>带线爆震传感器</v>
      </c>
      <c r="C533" s="1" t="str">
        <f t="shared" si="260"/>
        <v>外观设计</v>
      </c>
      <c r="D533" s="1" t="str">
        <f>"未缴年费专利权终止"</f>
        <v>未缴年费专利权终止</v>
      </c>
      <c r="E533" s="1" t="str">
        <f>"CN201630459898.9"</f>
        <v>CN201630459898.9</v>
      </c>
      <c r="F533" s="1" t="str">
        <f t="shared" si="258"/>
        <v>2016-08-31</v>
      </c>
      <c r="G533" s="1" t="str">
        <f>"CN304054245S"</f>
        <v>CN304054245S</v>
      </c>
      <c r="H533" s="1" t="str">
        <f t="shared" si="261"/>
        <v>2017-02-22</v>
      </c>
      <c r="I533" s="1" t="str">
        <f t="shared" si="253"/>
        <v>杨绍龙</v>
      </c>
      <c r="J533" s="1" t="str">
        <f t="shared" si="254"/>
        <v>天津锐意泰克汽车电子有限公司</v>
      </c>
    </row>
    <row r="534" spans="1:10">
      <c r="A534" s="1" t="str">
        <f t="shared" si="250"/>
        <v>天津锐意泰克汽车电子有限公司</v>
      </c>
      <c r="B534" s="1" t="str">
        <f>"水温传感器检测设备"</f>
        <v>水温传感器检测设备</v>
      </c>
      <c r="C534" s="1" t="str">
        <f t="shared" ref="C534:C561" si="264">"发明公布"</f>
        <v>发明公布</v>
      </c>
      <c r="D534" s="1" t="str">
        <f t="shared" ref="D534:D561" si="265">"公布视为撤回"</f>
        <v>公布视为撤回</v>
      </c>
      <c r="E534" s="1" t="str">
        <f>"CN201610776303.1"</f>
        <v>CN201610776303.1</v>
      </c>
      <c r="F534" s="1" t="str">
        <f t="shared" si="258"/>
        <v>2016-08-31</v>
      </c>
      <c r="G534" s="1" t="str">
        <f>"CN106404226A"</f>
        <v>CN106404226A</v>
      </c>
      <c r="H534" s="1" t="str">
        <f>"2017-02-15"</f>
        <v>2017-02-15</v>
      </c>
      <c r="I534" s="1" t="str">
        <f t="shared" si="253"/>
        <v>杨绍龙</v>
      </c>
      <c r="J534" s="1" t="str">
        <f t="shared" si="254"/>
        <v>天津锐意泰克汽车电子有限公司</v>
      </c>
    </row>
    <row r="535" spans="1:10">
      <c r="A535" s="1" t="str">
        <f t="shared" si="250"/>
        <v>天津锐意泰克汽车电子有限公司</v>
      </c>
      <c r="B535" s="1" t="str">
        <f>"一种汽车踏板测试方法"</f>
        <v>一种汽车踏板测试方法</v>
      </c>
      <c r="C535" s="1" t="str">
        <f t="shared" si="264"/>
        <v>发明公布</v>
      </c>
      <c r="D535" s="1" t="str">
        <f t="shared" si="265"/>
        <v>公布视为撤回</v>
      </c>
      <c r="E535" s="1" t="str">
        <f>"CN201610784651.3"</f>
        <v>CN201610784651.3</v>
      </c>
      <c r="F535" s="1" t="str">
        <f t="shared" si="258"/>
        <v>2016-08-31</v>
      </c>
      <c r="G535" s="1" t="str">
        <f>"CN106404421A"</f>
        <v>CN106404421A</v>
      </c>
      <c r="H535" s="1" t="str">
        <f>"2017-02-15"</f>
        <v>2017-02-15</v>
      </c>
      <c r="I535" s="1" t="str">
        <f t="shared" si="253"/>
        <v>杨绍龙</v>
      </c>
      <c r="J535" s="1" t="str">
        <f t="shared" si="254"/>
        <v>天津锐意泰克汽车电子有限公司</v>
      </c>
    </row>
    <row r="536" spans="1:10">
      <c r="A536" s="1" t="str">
        <f t="shared" si="250"/>
        <v>天津锐意泰克汽车电子有限公司</v>
      </c>
      <c r="B536" s="1" t="str">
        <f>"用转速传感器的拉力试验机"</f>
        <v>用转速传感器的拉力试验机</v>
      </c>
      <c r="C536" s="1" t="str">
        <f t="shared" si="264"/>
        <v>发明公布</v>
      </c>
      <c r="D536" s="1" t="str">
        <f t="shared" si="265"/>
        <v>公布视为撤回</v>
      </c>
      <c r="E536" s="1" t="str">
        <f>"CN201610784818.6"</f>
        <v>CN201610784818.6</v>
      </c>
      <c r="F536" s="1" t="str">
        <f t="shared" si="258"/>
        <v>2016-08-31</v>
      </c>
      <c r="G536" s="1" t="str">
        <f>"CN106370512A"</f>
        <v>CN106370512A</v>
      </c>
      <c r="H536" s="1" t="str">
        <f>"2017-02-01"</f>
        <v>2017-02-01</v>
      </c>
      <c r="I536" s="1" t="str">
        <f t="shared" si="253"/>
        <v>杨绍龙</v>
      </c>
      <c r="J536" s="1" t="str">
        <f t="shared" si="254"/>
        <v>天津锐意泰克汽车电子有限公司</v>
      </c>
    </row>
    <row r="537" spans="1:10">
      <c r="A537" s="1" t="str">
        <f t="shared" si="250"/>
        <v>天津锐意泰克汽车电子有限公司</v>
      </c>
      <c r="B537" s="1" t="str">
        <f>"一种水温传感器测试系统结构"</f>
        <v>一种水温传感器测试系统结构</v>
      </c>
      <c r="C537" s="1" t="str">
        <f t="shared" si="264"/>
        <v>发明公布</v>
      </c>
      <c r="D537" s="1" t="str">
        <f t="shared" si="265"/>
        <v>公布视为撤回</v>
      </c>
      <c r="E537" s="1" t="str">
        <f>"CN201610776405.3"</f>
        <v>CN201610776405.3</v>
      </c>
      <c r="F537" s="1" t="str">
        <f t="shared" si="258"/>
        <v>2016-08-31</v>
      </c>
      <c r="G537" s="1" t="str">
        <f>"CN106353008A"</f>
        <v>CN106353008A</v>
      </c>
      <c r="H537" s="1" t="str">
        <f>"2017-01-25"</f>
        <v>2017-01-25</v>
      </c>
      <c r="I537" s="1" t="str">
        <f t="shared" si="253"/>
        <v>杨绍龙</v>
      </c>
      <c r="J537" s="1" t="str">
        <f t="shared" si="254"/>
        <v>天津锐意泰克汽车电子有限公司</v>
      </c>
    </row>
    <row r="538" spans="1:10">
      <c r="A538" s="1" t="str">
        <f t="shared" si="250"/>
        <v>天津锐意泰克汽车电子有限公司</v>
      </c>
      <c r="B538" s="1" t="str">
        <f>"一种汽车踏板测试系统"</f>
        <v>一种汽车踏板测试系统</v>
      </c>
      <c r="C538" s="1" t="str">
        <f t="shared" si="264"/>
        <v>发明公布</v>
      </c>
      <c r="D538" s="1" t="str">
        <f t="shared" si="265"/>
        <v>公布视为撤回</v>
      </c>
      <c r="E538" s="1" t="str">
        <f>"CN201610784500.8"</f>
        <v>CN201610784500.8</v>
      </c>
      <c r="F538" s="1" t="str">
        <f t="shared" si="258"/>
        <v>2016-08-31</v>
      </c>
      <c r="G538" s="1" t="str">
        <f>"CN106338391A"</f>
        <v>CN106338391A</v>
      </c>
      <c r="H538" s="1" t="str">
        <f>"2017-01-18"</f>
        <v>2017-01-18</v>
      </c>
      <c r="I538" s="1" t="str">
        <f t="shared" si="253"/>
        <v>杨绍龙</v>
      </c>
      <c r="J538" s="1" t="str">
        <f t="shared" si="254"/>
        <v>天津锐意泰克汽车电子有限公司</v>
      </c>
    </row>
    <row r="539" spans="1:10">
      <c r="A539" s="1" t="str">
        <f t="shared" si="250"/>
        <v>天津锐意泰克汽车电子有限公司</v>
      </c>
      <c r="B539" s="1" t="str">
        <f>"一种曲轴传感器的封装系统"</f>
        <v>一种曲轴传感器的封装系统</v>
      </c>
      <c r="C539" s="1" t="str">
        <f t="shared" si="264"/>
        <v>发明公布</v>
      </c>
      <c r="D539" s="1" t="str">
        <f t="shared" si="265"/>
        <v>公布视为撤回</v>
      </c>
      <c r="E539" s="1" t="str">
        <f>"CN201610776297.X"</f>
        <v>CN201610776297.X</v>
      </c>
      <c r="F539" s="1" t="str">
        <f t="shared" si="258"/>
        <v>2016-08-31</v>
      </c>
      <c r="G539" s="1" t="str">
        <f>"CN106271271A"</f>
        <v>CN106271271A</v>
      </c>
      <c r="H539" s="1" t="str">
        <f t="shared" ref="H539:H541" si="266">"2017-01-04"</f>
        <v>2017-01-04</v>
      </c>
      <c r="I539" s="1" t="str">
        <f t="shared" si="253"/>
        <v>杨绍龙</v>
      </c>
      <c r="J539" s="1" t="str">
        <f t="shared" si="254"/>
        <v>天津锐意泰克汽车电子有限公司</v>
      </c>
    </row>
    <row r="540" spans="1:10">
      <c r="A540" s="1" t="str">
        <f t="shared" si="250"/>
        <v>天津锐意泰克汽车电子有限公司</v>
      </c>
      <c r="B540" s="1" t="str">
        <f>"一种曲轴传感器的封装方法"</f>
        <v>一种曲轴传感器的封装方法</v>
      </c>
      <c r="C540" s="1" t="str">
        <f t="shared" si="264"/>
        <v>发明公布</v>
      </c>
      <c r="D540" s="1" t="str">
        <f t="shared" si="265"/>
        <v>公布视为撤回</v>
      </c>
      <c r="E540" s="1" t="str">
        <f>"CN201610776245.2"</f>
        <v>CN201610776245.2</v>
      </c>
      <c r="F540" s="1" t="str">
        <f t="shared" si="258"/>
        <v>2016-08-31</v>
      </c>
      <c r="G540" s="1" t="str">
        <f>"CN106290959A"</f>
        <v>CN106290959A</v>
      </c>
      <c r="H540" s="1" t="str">
        <f t="shared" si="266"/>
        <v>2017-01-04</v>
      </c>
      <c r="I540" s="1" t="str">
        <f t="shared" si="253"/>
        <v>杨绍龙</v>
      </c>
      <c r="J540" s="1" t="str">
        <f t="shared" si="254"/>
        <v>天津锐意泰克汽车电子有限公司</v>
      </c>
    </row>
    <row r="541" spans="1:10">
      <c r="A541" s="1" t="str">
        <f t="shared" si="250"/>
        <v>天津锐意泰克汽车电子有限公司</v>
      </c>
      <c r="B541" s="1" t="str">
        <f>"一种汽车踏板初期检测方法"</f>
        <v>一种汽车踏板初期检测方法</v>
      </c>
      <c r="C541" s="1" t="str">
        <f t="shared" si="264"/>
        <v>发明公布</v>
      </c>
      <c r="D541" s="1" t="str">
        <f t="shared" si="265"/>
        <v>公布视为撤回</v>
      </c>
      <c r="E541" s="1" t="str">
        <f>"CN201610776302.7"</f>
        <v>CN201610776302.7</v>
      </c>
      <c r="F541" s="1" t="str">
        <f t="shared" si="258"/>
        <v>2016-08-31</v>
      </c>
      <c r="G541" s="1" t="str">
        <f>"CN106289806A"</f>
        <v>CN106289806A</v>
      </c>
      <c r="H541" s="1" t="str">
        <f t="shared" si="266"/>
        <v>2017-01-04</v>
      </c>
      <c r="I541" s="1" t="str">
        <f t="shared" si="253"/>
        <v>杨绍龙</v>
      </c>
      <c r="J541" s="1" t="str">
        <f t="shared" si="254"/>
        <v>天津锐意泰克汽车电子有限公司</v>
      </c>
    </row>
    <row r="542" spans="1:10">
      <c r="A542" s="1" t="str">
        <f t="shared" si="250"/>
        <v>天津锐意泰克汽车电子有限公司</v>
      </c>
      <c r="B542" s="1" t="str">
        <f>"爆震传感器测试台"</f>
        <v>爆震传感器测试台</v>
      </c>
      <c r="C542" s="1" t="str">
        <f t="shared" si="264"/>
        <v>发明公布</v>
      </c>
      <c r="D542" s="1" t="str">
        <f t="shared" si="265"/>
        <v>公布视为撤回</v>
      </c>
      <c r="E542" s="1" t="str">
        <f>"CN201610784896.6"</f>
        <v>CN201610784896.6</v>
      </c>
      <c r="F542" s="1" t="str">
        <f t="shared" si="258"/>
        <v>2016-08-31</v>
      </c>
      <c r="G542" s="1" t="str">
        <f>"CN106248293A"</f>
        <v>CN106248293A</v>
      </c>
      <c r="H542" s="1" t="str">
        <f t="shared" ref="H542:H548" si="267">"2016-12-21"</f>
        <v>2016-12-21</v>
      </c>
      <c r="I542" s="1" t="str">
        <f t="shared" si="253"/>
        <v>杨绍龙</v>
      </c>
      <c r="J542" s="1" t="str">
        <f t="shared" si="254"/>
        <v>天津锐意泰克汽车电子有限公司</v>
      </c>
    </row>
    <row r="543" spans="1:10">
      <c r="A543" s="1" t="str">
        <f t="shared" si="250"/>
        <v>天津锐意泰克汽车电子有限公司</v>
      </c>
      <c r="B543" s="1" t="str">
        <f>"爆震传感器传送装置"</f>
        <v>爆震传感器传送装置</v>
      </c>
      <c r="C543" s="1" t="str">
        <f t="shared" si="264"/>
        <v>发明公布</v>
      </c>
      <c r="D543" s="1" t="str">
        <f t="shared" si="265"/>
        <v>公布视为撤回</v>
      </c>
      <c r="E543" s="1" t="str">
        <f>"CN201610775361.2"</f>
        <v>CN201610775361.2</v>
      </c>
      <c r="F543" s="1" t="str">
        <f t="shared" si="258"/>
        <v>2016-08-31</v>
      </c>
      <c r="G543" s="1" t="str">
        <f>"CN106241295A"</f>
        <v>CN106241295A</v>
      </c>
      <c r="H543" s="1" t="str">
        <f t="shared" si="267"/>
        <v>2016-12-21</v>
      </c>
      <c r="I543" s="1" t="str">
        <f t="shared" si="253"/>
        <v>杨绍龙</v>
      </c>
      <c r="J543" s="1" t="str">
        <f t="shared" si="254"/>
        <v>天津锐意泰克汽车电子有限公司</v>
      </c>
    </row>
    <row r="544" spans="1:10">
      <c r="A544" s="1" t="str">
        <f t="shared" si="250"/>
        <v>天津锐意泰克汽车电子有限公司</v>
      </c>
      <c r="B544" s="1" t="str">
        <f>"爆震传感器周转架"</f>
        <v>爆震传感器周转架</v>
      </c>
      <c r="C544" s="1" t="str">
        <f t="shared" si="264"/>
        <v>发明公布</v>
      </c>
      <c r="D544" s="1" t="str">
        <f t="shared" si="265"/>
        <v>公布视为撤回</v>
      </c>
      <c r="E544" s="1" t="str">
        <f>"CN201610775363.1"</f>
        <v>CN201610775363.1</v>
      </c>
      <c r="F544" s="1" t="str">
        <f t="shared" si="258"/>
        <v>2016-08-31</v>
      </c>
      <c r="G544" s="1" t="str">
        <f>"CN106239464A"</f>
        <v>CN106239464A</v>
      </c>
      <c r="H544" s="1" t="str">
        <f t="shared" si="267"/>
        <v>2016-12-21</v>
      </c>
      <c r="I544" s="1" t="str">
        <f t="shared" si="253"/>
        <v>杨绍龙</v>
      </c>
      <c r="J544" s="1" t="str">
        <f t="shared" si="254"/>
        <v>天津锐意泰克汽车电子有限公司</v>
      </c>
    </row>
    <row r="545" spans="1:10">
      <c r="A545" s="1" t="str">
        <f t="shared" si="250"/>
        <v>天津锐意泰克汽车电子有限公司</v>
      </c>
      <c r="B545" s="1" t="str">
        <f>"一种水温传感器测试系统"</f>
        <v>一种水温传感器测试系统</v>
      </c>
      <c r="C545" s="1" t="str">
        <f t="shared" si="264"/>
        <v>发明公布</v>
      </c>
      <c r="D545" s="1" t="str">
        <f t="shared" si="265"/>
        <v>公布视为撤回</v>
      </c>
      <c r="E545" s="1" t="str">
        <f>"CN201610776269.8"</f>
        <v>CN201610776269.8</v>
      </c>
      <c r="F545" s="1" t="str">
        <f t="shared" si="258"/>
        <v>2016-08-31</v>
      </c>
      <c r="G545" s="1" t="str">
        <f>"CN106248257A"</f>
        <v>CN106248257A</v>
      </c>
      <c r="H545" s="1" t="str">
        <f t="shared" si="267"/>
        <v>2016-12-21</v>
      </c>
      <c r="I545" s="1" t="str">
        <f t="shared" si="253"/>
        <v>杨绍龙</v>
      </c>
      <c r="J545" s="1" t="str">
        <f t="shared" si="254"/>
        <v>天津锐意泰克汽车电子有限公司</v>
      </c>
    </row>
    <row r="546" spans="1:10">
      <c r="A546" s="1" t="str">
        <f t="shared" si="250"/>
        <v>天津锐意泰克汽车电子有限公司</v>
      </c>
      <c r="B546" s="1" t="str">
        <f>"一种水温传感器测试方法"</f>
        <v>一种水温传感器测试方法</v>
      </c>
      <c r="C546" s="1" t="str">
        <f t="shared" si="264"/>
        <v>发明公布</v>
      </c>
      <c r="D546" s="1" t="str">
        <f t="shared" si="265"/>
        <v>公布视为撤回</v>
      </c>
      <c r="E546" s="1" t="str">
        <f>"CN201610776243.3"</f>
        <v>CN201610776243.3</v>
      </c>
      <c r="F546" s="1" t="str">
        <f t="shared" si="258"/>
        <v>2016-08-31</v>
      </c>
      <c r="G546" s="1" t="str">
        <f>"CN106248256A"</f>
        <v>CN106248256A</v>
      </c>
      <c r="H546" s="1" t="str">
        <f t="shared" si="267"/>
        <v>2016-12-21</v>
      </c>
      <c r="I546" s="1" t="str">
        <f t="shared" si="253"/>
        <v>杨绍龙</v>
      </c>
      <c r="J546" s="1" t="str">
        <f t="shared" si="254"/>
        <v>天津锐意泰克汽车电子有限公司</v>
      </c>
    </row>
    <row r="547" spans="1:10">
      <c r="A547" s="1" t="str">
        <f t="shared" si="250"/>
        <v>天津锐意泰克汽车电子有限公司</v>
      </c>
      <c r="B547" s="1" t="str">
        <f>"多工位转速传感器加工机"</f>
        <v>多工位转速传感器加工机</v>
      </c>
      <c r="C547" s="1" t="str">
        <f t="shared" si="264"/>
        <v>发明公布</v>
      </c>
      <c r="D547" s="1" t="str">
        <f t="shared" si="265"/>
        <v>公布视为撤回</v>
      </c>
      <c r="E547" s="1" t="str">
        <f>"CN201610775364.6"</f>
        <v>CN201610775364.6</v>
      </c>
      <c r="F547" s="1" t="str">
        <f t="shared" si="258"/>
        <v>2016-08-31</v>
      </c>
      <c r="G547" s="1" t="str">
        <f>"CN106239266A"</f>
        <v>CN106239266A</v>
      </c>
      <c r="H547" s="1" t="str">
        <f t="shared" si="267"/>
        <v>2016-12-21</v>
      </c>
      <c r="I547" s="1" t="str">
        <f t="shared" si="253"/>
        <v>杨绍龙</v>
      </c>
      <c r="J547" s="1" t="str">
        <f t="shared" si="254"/>
        <v>天津锐意泰克汽车电子有限公司</v>
      </c>
    </row>
    <row r="548" spans="1:10">
      <c r="A548" s="1" t="str">
        <f t="shared" si="250"/>
        <v>天津锐意泰克汽车电子有限公司</v>
      </c>
      <c r="B548" s="1" t="str">
        <f>"一种水温传感器测试工装的防错板"</f>
        <v>一种水温传感器测试工装的防错板</v>
      </c>
      <c r="C548" s="1" t="str">
        <f t="shared" si="264"/>
        <v>发明公布</v>
      </c>
      <c r="D548" s="1" t="str">
        <f t="shared" si="265"/>
        <v>公布视为撤回</v>
      </c>
      <c r="E548" s="1" t="str">
        <f>"CN201610784702.2"</f>
        <v>CN201610784702.2</v>
      </c>
      <c r="F548" s="1" t="str">
        <f t="shared" si="258"/>
        <v>2016-08-31</v>
      </c>
      <c r="G548" s="1" t="str">
        <f>"CN106248258A"</f>
        <v>CN106248258A</v>
      </c>
      <c r="H548" s="1" t="str">
        <f t="shared" si="267"/>
        <v>2016-12-21</v>
      </c>
      <c r="I548" s="1" t="str">
        <f t="shared" si="253"/>
        <v>杨绍龙</v>
      </c>
      <c r="J548" s="1" t="str">
        <f t="shared" si="254"/>
        <v>天津锐意泰克汽车电子有限公司</v>
      </c>
    </row>
    <row r="549" spans="1:10">
      <c r="A549" s="1" t="str">
        <f t="shared" si="250"/>
        <v>天津锐意泰克汽车电子有限公司</v>
      </c>
      <c r="B549" s="1" t="str">
        <f>"一种用于生产线的绕线机工装"</f>
        <v>一种用于生产线的绕线机工装</v>
      </c>
      <c r="C549" s="1" t="str">
        <f t="shared" si="264"/>
        <v>发明公布</v>
      </c>
      <c r="D549" s="1" t="str">
        <f t="shared" si="265"/>
        <v>公布视为撤回</v>
      </c>
      <c r="E549" s="1" t="str">
        <f>"CN201610784589.8"</f>
        <v>CN201610784589.8</v>
      </c>
      <c r="F549" s="1" t="str">
        <f t="shared" si="258"/>
        <v>2016-08-31</v>
      </c>
      <c r="G549" s="1" t="str">
        <f>"CN106219313A"</f>
        <v>CN106219313A</v>
      </c>
      <c r="H549" s="1" t="str">
        <f t="shared" ref="H549:H552" si="268">"2016-12-14"</f>
        <v>2016-12-14</v>
      </c>
      <c r="I549" s="1" t="str">
        <f t="shared" si="253"/>
        <v>杨绍龙</v>
      </c>
      <c r="J549" s="1" t="str">
        <f t="shared" si="254"/>
        <v>天津锐意泰克汽车电子有限公司</v>
      </c>
    </row>
    <row r="550" spans="1:10">
      <c r="A550" s="1" t="str">
        <f t="shared" si="250"/>
        <v>天津锐意泰克汽车电子有限公司</v>
      </c>
      <c r="B550" s="1" t="str">
        <f>"一种汽车踏板流转箱"</f>
        <v>一种汽车踏板流转箱</v>
      </c>
      <c r="C550" s="1" t="str">
        <f t="shared" si="264"/>
        <v>发明公布</v>
      </c>
      <c r="D550" s="1" t="str">
        <f t="shared" si="265"/>
        <v>公布视为撤回</v>
      </c>
      <c r="E550" s="1" t="str">
        <f>"CN201610784590.0"</f>
        <v>CN201610784590.0</v>
      </c>
      <c r="F550" s="1" t="str">
        <f t="shared" si="258"/>
        <v>2016-08-31</v>
      </c>
      <c r="G550" s="1" t="str">
        <f>"CN106219028A"</f>
        <v>CN106219028A</v>
      </c>
      <c r="H550" s="1" t="str">
        <f t="shared" si="268"/>
        <v>2016-12-14</v>
      </c>
      <c r="I550" s="1" t="str">
        <f t="shared" si="253"/>
        <v>杨绍龙</v>
      </c>
      <c r="J550" s="1" t="str">
        <f t="shared" si="254"/>
        <v>天津锐意泰克汽车电子有限公司</v>
      </c>
    </row>
    <row r="551" spans="1:10">
      <c r="A551" s="1" t="str">
        <f t="shared" si="250"/>
        <v>天津锐意泰克汽车电子有限公司</v>
      </c>
      <c r="B551" s="1" t="str">
        <f>"爆震传感器的简易检测机构"</f>
        <v>爆震传感器的简易检测机构</v>
      </c>
      <c r="C551" s="1" t="str">
        <f t="shared" si="264"/>
        <v>发明公布</v>
      </c>
      <c r="D551" s="1" t="str">
        <f t="shared" si="265"/>
        <v>公布视为撤回</v>
      </c>
      <c r="E551" s="1" t="str">
        <f>"CN201610784703.7"</f>
        <v>CN201610784703.7</v>
      </c>
      <c r="F551" s="1" t="str">
        <f t="shared" si="258"/>
        <v>2016-08-31</v>
      </c>
      <c r="G551" s="1" t="str">
        <f>"CN106225993A"</f>
        <v>CN106225993A</v>
      </c>
      <c r="H551" s="1" t="str">
        <f t="shared" si="268"/>
        <v>2016-12-14</v>
      </c>
      <c r="I551" s="1" t="str">
        <f t="shared" si="253"/>
        <v>杨绍龙</v>
      </c>
      <c r="J551" s="1" t="str">
        <f t="shared" si="254"/>
        <v>天津锐意泰克汽车电子有限公司</v>
      </c>
    </row>
    <row r="552" spans="1:10">
      <c r="A552" s="1" t="str">
        <f t="shared" si="250"/>
        <v>天津锐意泰克汽车电子有限公司</v>
      </c>
      <c r="B552" s="1" t="str">
        <f>"一种进气压力温度传感器封装系统"</f>
        <v>一种进气压力温度传感器封装系统</v>
      </c>
      <c r="C552" s="1" t="str">
        <f t="shared" si="264"/>
        <v>发明公布</v>
      </c>
      <c r="D552" s="1" t="str">
        <f t="shared" si="265"/>
        <v>公布视为撤回</v>
      </c>
      <c r="E552" s="1" t="str">
        <f>"CN201610776301.2"</f>
        <v>CN201610776301.2</v>
      </c>
      <c r="F552" s="1" t="str">
        <f t="shared" si="258"/>
        <v>2016-08-31</v>
      </c>
      <c r="G552" s="1" t="str">
        <f>"CN106225947A"</f>
        <v>CN106225947A</v>
      </c>
      <c r="H552" s="1" t="str">
        <f t="shared" si="268"/>
        <v>2016-12-14</v>
      </c>
      <c r="I552" s="1" t="str">
        <f t="shared" si="253"/>
        <v>杨绍龙</v>
      </c>
      <c r="J552" s="1" t="str">
        <f t="shared" si="254"/>
        <v>天津锐意泰克汽车电子有限公司</v>
      </c>
    </row>
    <row r="553" spans="1:10">
      <c r="A553" s="1" t="str">
        <f t="shared" si="250"/>
        <v>天津锐意泰克汽车电子有限公司</v>
      </c>
      <c r="B553" s="1" t="str">
        <f>"用于进气温度压力传感器的蒸汽固化机"</f>
        <v>用于进气温度压力传感器的蒸汽固化机</v>
      </c>
      <c r="C553" s="1" t="str">
        <f t="shared" si="264"/>
        <v>发明公布</v>
      </c>
      <c r="D553" s="1" t="str">
        <f t="shared" si="265"/>
        <v>公布视为撤回</v>
      </c>
      <c r="E553" s="1" t="str">
        <f>"CN201610784819.0"</f>
        <v>CN201610784819.0</v>
      </c>
      <c r="F553" s="1" t="str">
        <f t="shared" si="258"/>
        <v>2016-08-31</v>
      </c>
      <c r="G553" s="1" t="str">
        <f>"CN106197560A"</f>
        <v>CN106197560A</v>
      </c>
      <c r="H553" s="1" t="str">
        <f t="shared" ref="H553:H556" si="269">"2016-12-07"</f>
        <v>2016-12-07</v>
      </c>
      <c r="I553" s="1" t="str">
        <f t="shared" si="253"/>
        <v>杨绍龙</v>
      </c>
      <c r="J553" s="1" t="str">
        <f t="shared" si="254"/>
        <v>天津锐意泰克汽车电子有限公司</v>
      </c>
    </row>
    <row r="554" spans="1:10">
      <c r="A554" s="1" t="str">
        <f t="shared" ref="A554:A589" si="270">"天津锐意泰克汽车电子有限公司"</f>
        <v>天津锐意泰克汽车电子有限公司</v>
      </c>
      <c r="B554" s="1" t="str">
        <f>"一种用于生产线的压装机工装"</f>
        <v>一种用于生产线的压装机工装</v>
      </c>
      <c r="C554" s="1" t="str">
        <f t="shared" si="264"/>
        <v>发明公布</v>
      </c>
      <c r="D554" s="1" t="str">
        <f t="shared" si="265"/>
        <v>公布视为撤回</v>
      </c>
      <c r="E554" s="1" t="str">
        <f>"CN201610775344.9"</f>
        <v>CN201610775344.9</v>
      </c>
      <c r="F554" s="1" t="str">
        <f t="shared" si="258"/>
        <v>2016-08-31</v>
      </c>
      <c r="G554" s="1" t="str">
        <f>"CN106181338A"</f>
        <v>CN106181338A</v>
      </c>
      <c r="H554" s="1" t="str">
        <f t="shared" si="269"/>
        <v>2016-12-07</v>
      </c>
      <c r="I554" s="1" t="str">
        <f t="shared" ref="I554:I561" si="271">"杨绍龙"</f>
        <v>杨绍龙</v>
      </c>
      <c r="J554" s="1" t="str">
        <f t="shared" ref="J554:J589" si="272">"天津锐意泰克汽车电子有限公司"</f>
        <v>天津锐意泰克汽车电子有限公司</v>
      </c>
    </row>
    <row r="555" spans="1:10">
      <c r="A555" s="1" t="str">
        <f t="shared" si="270"/>
        <v>天津锐意泰克汽车电子有限公司</v>
      </c>
      <c r="B555" s="1" t="str">
        <f>"一种用于生产线的锁付机工装"</f>
        <v>一种用于生产线的锁付机工装</v>
      </c>
      <c r="C555" s="1" t="str">
        <f t="shared" si="264"/>
        <v>发明公布</v>
      </c>
      <c r="D555" s="1" t="str">
        <f t="shared" si="265"/>
        <v>公布视为撤回</v>
      </c>
      <c r="E555" s="1" t="str">
        <f>"CN201610775368.4"</f>
        <v>CN201610775368.4</v>
      </c>
      <c r="F555" s="1" t="str">
        <f t="shared" si="258"/>
        <v>2016-08-31</v>
      </c>
      <c r="G555" s="1" t="str">
        <f>"CN106181349A"</f>
        <v>CN106181349A</v>
      </c>
      <c r="H555" s="1" t="str">
        <f t="shared" si="269"/>
        <v>2016-12-07</v>
      </c>
      <c r="I555" s="1" t="str">
        <f t="shared" si="271"/>
        <v>杨绍龙</v>
      </c>
      <c r="J555" s="1" t="str">
        <f t="shared" si="272"/>
        <v>天津锐意泰克汽车电子有限公司</v>
      </c>
    </row>
    <row r="556" spans="1:10">
      <c r="A556" s="1" t="str">
        <f t="shared" si="270"/>
        <v>天津锐意泰克汽车电子有限公司</v>
      </c>
      <c r="B556" s="1" t="str">
        <f>"一种用于生产线的夹具"</f>
        <v>一种用于生产线的夹具</v>
      </c>
      <c r="C556" s="1" t="str">
        <f t="shared" si="264"/>
        <v>发明公布</v>
      </c>
      <c r="D556" s="1" t="str">
        <f t="shared" si="265"/>
        <v>公布视为撤回</v>
      </c>
      <c r="E556" s="1" t="str">
        <f>"CN201610784655.1"</f>
        <v>CN201610784655.1</v>
      </c>
      <c r="F556" s="1" t="str">
        <f t="shared" si="258"/>
        <v>2016-08-31</v>
      </c>
      <c r="G556" s="1" t="str">
        <f>"CN106181867A"</f>
        <v>CN106181867A</v>
      </c>
      <c r="H556" s="1" t="str">
        <f t="shared" si="269"/>
        <v>2016-12-07</v>
      </c>
      <c r="I556" s="1" t="str">
        <f t="shared" si="271"/>
        <v>杨绍龙</v>
      </c>
      <c r="J556" s="1" t="str">
        <f t="shared" si="272"/>
        <v>天津锐意泰克汽车电子有限公司</v>
      </c>
    </row>
    <row r="557" spans="1:10">
      <c r="A557" s="1" t="str">
        <f t="shared" si="270"/>
        <v>天津锐意泰克汽车电子有限公司</v>
      </c>
      <c r="B557" s="1" t="str">
        <f>"用转速传感器的拉力试验机的夹具"</f>
        <v>用转速传感器的拉力试验机的夹具</v>
      </c>
      <c r="C557" s="1" t="str">
        <f t="shared" si="264"/>
        <v>发明公布</v>
      </c>
      <c r="D557" s="1" t="str">
        <f t="shared" si="265"/>
        <v>公布视为撤回</v>
      </c>
      <c r="E557" s="1" t="str">
        <f>"CN201610784817.1"</f>
        <v>CN201610784817.1</v>
      </c>
      <c r="F557" s="1" t="str">
        <f t="shared" si="258"/>
        <v>2016-08-31</v>
      </c>
      <c r="G557" s="1" t="str">
        <f>"CN106124804A"</f>
        <v>CN106124804A</v>
      </c>
      <c r="H557" s="1" t="str">
        <f t="shared" ref="H557:H560" si="273">"2016-11-16"</f>
        <v>2016-11-16</v>
      </c>
      <c r="I557" s="1" t="str">
        <f t="shared" si="271"/>
        <v>杨绍龙</v>
      </c>
      <c r="J557" s="1" t="str">
        <f t="shared" si="272"/>
        <v>天津锐意泰克汽车电子有限公司</v>
      </c>
    </row>
    <row r="558" spans="1:10">
      <c r="A558" s="1" t="str">
        <f t="shared" si="270"/>
        <v>天津锐意泰克汽车电子有限公司</v>
      </c>
      <c r="B558" s="1" t="str">
        <f>"水温传感器的加工设备"</f>
        <v>水温传感器的加工设备</v>
      </c>
      <c r="C558" s="1" t="str">
        <f t="shared" si="264"/>
        <v>发明公布</v>
      </c>
      <c r="D558" s="1" t="str">
        <f t="shared" si="265"/>
        <v>公布视为撤回</v>
      </c>
      <c r="E558" s="1" t="str">
        <f>"CN201610784704.1"</f>
        <v>CN201610784704.1</v>
      </c>
      <c r="F558" s="1" t="str">
        <f t="shared" si="258"/>
        <v>2016-08-31</v>
      </c>
      <c r="G558" s="1" t="str">
        <f>"CN106124080A"</f>
        <v>CN106124080A</v>
      </c>
      <c r="H558" s="1" t="str">
        <f t="shared" si="273"/>
        <v>2016-11-16</v>
      </c>
      <c r="I558" s="1" t="str">
        <f t="shared" si="271"/>
        <v>杨绍龙</v>
      </c>
      <c r="J558" s="1" t="str">
        <f t="shared" si="272"/>
        <v>天津锐意泰克汽车电子有限公司</v>
      </c>
    </row>
    <row r="559" spans="1:10">
      <c r="A559" s="1" t="str">
        <f t="shared" si="270"/>
        <v>天津锐意泰克汽车电子有限公司</v>
      </c>
      <c r="B559" s="1" t="str">
        <f>"一种水温传感器测试工装"</f>
        <v>一种水温传感器测试工装</v>
      </c>
      <c r="C559" s="1" t="str">
        <f t="shared" si="264"/>
        <v>发明公布</v>
      </c>
      <c r="D559" s="1" t="str">
        <f t="shared" si="265"/>
        <v>公布视为撤回</v>
      </c>
      <c r="E559" s="1" t="str">
        <f>"CN201610776190.5"</f>
        <v>CN201610776190.5</v>
      </c>
      <c r="F559" s="1" t="str">
        <f t="shared" si="258"/>
        <v>2016-08-31</v>
      </c>
      <c r="G559" s="1" t="str">
        <f>"CN106124092A"</f>
        <v>CN106124092A</v>
      </c>
      <c r="H559" s="1" t="str">
        <f t="shared" si="273"/>
        <v>2016-11-16</v>
      </c>
      <c r="I559" s="1" t="str">
        <f t="shared" si="271"/>
        <v>杨绍龙</v>
      </c>
      <c r="J559" s="1" t="str">
        <f t="shared" si="272"/>
        <v>天津锐意泰克汽车电子有限公司</v>
      </c>
    </row>
    <row r="560" spans="1:10">
      <c r="A560" s="1" t="str">
        <f t="shared" si="270"/>
        <v>天津锐意泰克汽车电子有限公司</v>
      </c>
      <c r="B560" s="1" t="str">
        <f>"一种汽车踏板测试装置结构"</f>
        <v>一种汽车踏板测试装置结构</v>
      </c>
      <c r="C560" s="1" t="str">
        <f t="shared" si="264"/>
        <v>发明公布</v>
      </c>
      <c r="D560" s="1" t="str">
        <f t="shared" si="265"/>
        <v>公布视为撤回</v>
      </c>
      <c r="E560" s="1" t="str">
        <f>"CN201610776189.2"</f>
        <v>CN201610776189.2</v>
      </c>
      <c r="F560" s="1" t="str">
        <f>"2016-08-31"</f>
        <v>2016-08-31</v>
      </c>
      <c r="G560" s="1" t="str">
        <f>"CN106124227A"</f>
        <v>CN106124227A</v>
      </c>
      <c r="H560" s="1" t="str">
        <f t="shared" si="273"/>
        <v>2016-11-16</v>
      </c>
      <c r="I560" s="1" t="str">
        <f t="shared" si="271"/>
        <v>杨绍龙</v>
      </c>
      <c r="J560" s="1" t="str">
        <f t="shared" si="272"/>
        <v>天津锐意泰克汽车电子有限公司</v>
      </c>
    </row>
    <row r="561" spans="1:10">
      <c r="A561" s="1" t="str">
        <f t="shared" si="270"/>
        <v>天津锐意泰克汽车电子有限公司</v>
      </c>
      <c r="B561" s="1" t="str">
        <f>"一种用于生产线的绕线机工装的控制系统"</f>
        <v>一种用于生产线的绕线机工装的控制系统</v>
      </c>
      <c r="C561" s="1" t="str">
        <f t="shared" si="264"/>
        <v>发明公布</v>
      </c>
      <c r="D561" s="1" t="str">
        <f t="shared" si="265"/>
        <v>公布视为撤回</v>
      </c>
      <c r="E561" s="1" t="str">
        <f>"CN201610775366.5"</f>
        <v>CN201610775366.5</v>
      </c>
      <c r="F561" s="1" t="str">
        <f>"2016-08-31"</f>
        <v>2016-08-31</v>
      </c>
      <c r="G561" s="1" t="str">
        <f>"CN106094717A"</f>
        <v>CN106094717A</v>
      </c>
      <c r="H561" s="1" t="str">
        <f>"2016-11-09"</f>
        <v>2016-11-09</v>
      </c>
      <c r="I561" s="1" t="str">
        <f t="shared" si="271"/>
        <v>杨绍龙</v>
      </c>
      <c r="J561" s="1" t="str">
        <f t="shared" si="272"/>
        <v>天津锐意泰克汽车电子有限公司</v>
      </c>
    </row>
    <row r="562" spans="1:10">
      <c r="A562" s="1" t="str">
        <f t="shared" si="270"/>
        <v>天津锐意泰克汽车电子有限公司</v>
      </c>
      <c r="B562" s="1" t="str">
        <f>"一种点火线圈次级电阻检测电路"</f>
        <v>一种点火线圈次级电阻检测电路</v>
      </c>
      <c r="C562" s="1" t="str">
        <f>"发明授权"</f>
        <v>发明授权</v>
      </c>
      <c r="D562" s="1" t="str">
        <f t="shared" ref="D562:D586" si="274">"未缴年费专利权终止"</f>
        <v>未缴年费专利权终止</v>
      </c>
      <c r="E562" s="1" t="str">
        <f>"CN201210470066.8"</f>
        <v>CN201210470066.8</v>
      </c>
      <c r="F562" s="1" t="str">
        <f>"2012-11-20"</f>
        <v>2012-11-20</v>
      </c>
      <c r="G562" s="1" t="str">
        <f>"CN102981053B"</f>
        <v>CN102981053B</v>
      </c>
      <c r="H562" s="1" t="str">
        <f>"2015-03-04"</f>
        <v>2015-03-04</v>
      </c>
      <c r="I562" s="1" t="str">
        <f>"包鹏宇"</f>
        <v>包鹏宇</v>
      </c>
      <c r="J562" s="1" t="str">
        <f t="shared" si="272"/>
        <v>天津锐意泰克汽车电子有限公司</v>
      </c>
    </row>
    <row r="563" spans="1:10">
      <c r="A563" s="1" t="str">
        <f t="shared" si="270"/>
        <v>天津锐意泰克汽车电子有限公司</v>
      </c>
      <c r="B563" s="1" t="str">
        <f>"一种计算发动机进气量及进气压力的方法"</f>
        <v>一种计算发动机进气量及进气压力的方法</v>
      </c>
      <c r="C563" s="1" t="str">
        <f>"发明授权"</f>
        <v>发明授权</v>
      </c>
      <c r="D563" s="1" t="str">
        <f t="shared" si="274"/>
        <v>未缴年费专利权终止</v>
      </c>
      <c r="E563" s="1" t="str">
        <f>"CN201010616169.1"</f>
        <v>CN201010616169.1</v>
      </c>
      <c r="F563" s="1" t="str">
        <f>"2010-12-30"</f>
        <v>2010-12-30</v>
      </c>
      <c r="G563" s="1" t="str">
        <f>"CN102062005B"</f>
        <v>CN102062005B</v>
      </c>
      <c r="H563" s="1" t="str">
        <f>"2014-04-02"</f>
        <v>2014-04-02</v>
      </c>
      <c r="I563" s="1" t="str">
        <f>"王国君"</f>
        <v>王国君</v>
      </c>
      <c r="J563" s="1" t="str">
        <f t="shared" si="272"/>
        <v>天津锐意泰克汽车电子有限公司</v>
      </c>
    </row>
    <row r="564" spans="1:10">
      <c r="A564" s="1" t="str">
        <f t="shared" si="270"/>
        <v>天津锐意泰克汽车电子有限公司</v>
      </c>
      <c r="B564" s="1" t="str">
        <f>"一种凸轮轴位置传感器霍尔元件折弯成形装置"</f>
        <v>一种凸轮轴位置传感器霍尔元件折弯成形装置</v>
      </c>
      <c r="C564" s="1" t="str">
        <f t="shared" ref="C564:C582" si="275">"实用新型"</f>
        <v>实用新型</v>
      </c>
      <c r="D564" s="1" t="str">
        <f t="shared" si="274"/>
        <v>未缴年费专利权终止</v>
      </c>
      <c r="E564" s="1" t="str">
        <f>"CN201320350320.0"</f>
        <v>CN201320350320.0</v>
      </c>
      <c r="F564" s="1" t="str">
        <f>"2013-06-19"</f>
        <v>2013-06-19</v>
      </c>
      <c r="G564" s="1" t="str">
        <f>"CN203356300U"</f>
        <v>CN203356300U</v>
      </c>
      <c r="H564" s="1" t="str">
        <f>"2013-12-25"</f>
        <v>2013-12-25</v>
      </c>
      <c r="I564" s="1" t="str">
        <f>"郑长生"</f>
        <v>郑长生</v>
      </c>
      <c r="J564" s="1" t="str">
        <f t="shared" si="272"/>
        <v>天津锐意泰克汽车电子有限公司</v>
      </c>
    </row>
    <row r="565" spans="1:10">
      <c r="A565" s="1" t="str">
        <f t="shared" si="270"/>
        <v>天津锐意泰克汽车电子有限公司</v>
      </c>
      <c r="B565" s="1" t="str">
        <f>"车用电子油门踏板"</f>
        <v>车用电子油门踏板</v>
      </c>
      <c r="C565" s="1" t="str">
        <f t="shared" si="275"/>
        <v>实用新型</v>
      </c>
      <c r="D565" s="1" t="str">
        <f t="shared" si="274"/>
        <v>未缴年费专利权终止</v>
      </c>
      <c r="E565" s="1" t="str">
        <f>"CN201320313374.X"</f>
        <v>CN201320313374.X</v>
      </c>
      <c r="F565" s="1" t="str">
        <f>"2013-05-31"</f>
        <v>2013-05-31</v>
      </c>
      <c r="G565" s="1" t="str">
        <f>"CN203318168U"</f>
        <v>CN203318168U</v>
      </c>
      <c r="H565" s="1" t="str">
        <f t="shared" ref="H565:H570" si="276">"2013-12-04"</f>
        <v>2013-12-04</v>
      </c>
      <c r="I565" s="1" t="str">
        <f>"鲍祥福"</f>
        <v>鲍祥福</v>
      </c>
      <c r="J565" s="1" t="str">
        <f t="shared" si="272"/>
        <v>天津锐意泰克汽车电子有限公司</v>
      </c>
    </row>
    <row r="566" spans="1:10">
      <c r="A566" s="1" t="str">
        <f t="shared" si="270"/>
        <v>天津锐意泰克汽车电子有限公司</v>
      </c>
      <c r="B566" s="1" t="str">
        <f>"汽车电子燃油泵及燃油压力调节器检测装置"</f>
        <v>汽车电子燃油泵及燃油压力调节器检测装置</v>
      </c>
      <c r="C566" s="1" t="str">
        <f t="shared" si="275"/>
        <v>实用新型</v>
      </c>
      <c r="D566" s="1" t="str">
        <f t="shared" si="274"/>
        <v>未缴年费专利权终止</v>
      </c>
      <c r="E566" s="1" t="str">
        <f>"CN201320319124.7"</f>
        <v>CN201320319124.7</v>
      </c>
      <c r="F566" s="1" t="str">
        <f>"2013-06-04"</f>
        <v>2013-06-04</v>
      </c>
      <c r="G566" s="1" t="str">
        <f>"CN203321731U"</f>
        <v>CN203321731U</v>
      </c>
      <c r="H566" s="1" t="str">
        <f t="shared" si="276"/>
        <v>2013-12-04</v>
      </c>
      <c r="I566" s="1" t="str">
        <f>"孙志强"</f>
        <v>孙志强</v>
      </c>
      <c r="J566" s="1" t="str">
        <f t="shared" si="272"/>
        <v>天津锐意泰克汽车电子有限公司</v>
      </c>
    </row>
    <row r="567" spans="1:10">
      <c r="A567" s="1" t="str">
        <f t="shared" si="270"/>
        <v>天津锐意泰克汽车电子有限公司</v>
      </c>
      <c r="B567" s="1" t="str">
        <f>"凸轮轴位置传感器电压检测装置"</f>
        <v>凸轮轴位置传感器电压检测装置</v>
      </c>
      <c r="C567" s="1" t="str">
        <f t="shared" si="275"/>
        <v>实用新型</v>
      </c>
      <c r="D567" s="1" t="str">
        <f t="shared" si="274"/>
        <v>未缴年费专利权终止</v>
      </c>
      <c r="E567" s="1" t="str">
        <f>"CN201320396043.7"</f>
        <v>CN201320396043.7</v>
      </c>
      <c r="F567" s="1" t="str">
        <f>"2013-07-04"</f>
        <v>2013-07-04</v>
      </c>
      <c r="G567" s="1" t="str">
        <f>"CN203323690U"</f>
        <v>CN203323690U</v>
      </c>
      <c r="H567" s="1" t="str">
        <f t="shared" si="276"/>
        <v>2013-12-04</v>
      </c>
      <c r="I567" s="1" t="str">
        <f t="shared" ref="I567:I574" si="277">"郑长生"</f>
        <v>郑长生</v>
      </c>
      <c r="J567" s="1" t="str">
        <f t="shared" si="272"/>
        <v>天津锐意泰克汽车电子有限公司</v>
      </c>
    </row>
    <row r="568" spans="1:10">
      <c r="A568" s="1" t="str">
        <f t="shared" si="270"/>
        <v>天津锐意泰克汽车电子有限公司</v>
      </c>
      <c r="B568" s="1" t="str">
        <f>"燃气低压过滤器本体"</f>
        <v>燃气低压过滤器本体</v>
      </c>
      <c r="C568" s="1" t="str">
        <f t="shared" si="275"/>
        <v>实用新型</v>
      </c>
      <c r="D568" s="1" t="str">
        <f t="shared" si="274"/>
        <v>未缴年费专利权终止</v>
      </c>
      <c r="E568" s="1" t="str">
        <f>"CN201320279243.4"</f>
        <v>CN201320279243.4</v>
      </c>
      <c r="F568" s="1" t="str">
        <f>"2013-05-21"</f>
        <v>2013-05-21</v>
      </c>
      <c r="G568" s="1" t="str">
        <f>"CN203321701U"</f>
        <v>CN203321701U</v>
      </c>
      <c r="H568" s="1" t="str">
        <f t="shared" si="276"/>
        <v>2013-12-04</v>
      </c>
      <c r="I568" s="1" t="str">
        <f>"张小娟"</f>
        <v>张小娟</v>
      </c>
      <c r="J568" s="1" t="str">
        <f t="shared" si="272"/>
        <v>天津锐意泰克汽车电子有限公司</v>
      </c>
    </row>
    <row r="569" spans="1:10">
      <c r="A569" s="1" t="str">
        <f t="shared" si="270"/>
        <v>天津锐意泰克汽车电子有限公司</v>
      </c>
      <c r="B569" s="1" t="str">
        <f>"燃油分配器总成低温试验系统"</f>
        <v>燃油分配器总成低温试验系统</v>
      </c>
      <c r="C569" s="1" t="str">
        <f t="shared" si="275"/>
        <v>实用新型</v>
      </c>
      <c r="D569" s="1" t="str">
        <f t="shared" si="274"/>
        <v>未缴年费专利权终止</v>
      </c>
      <c r="E569" s="1" t="str">
        <f>"CN201320333216.0"</f>
        <v>CN201320333216.0</v>
      </c>
      <c r="F569" s="1" t="str">
        <f>"2013-06-09"</f>
        <v>2013-06-09</v>
      </c>
      <c r="G569" s="1" t="str">
        <f>"CN203323979U"</f>
        <v>CN203323979U</v>
      </c>
      <c r="H569" s="1" t="str">
        <f t="shared" si="276"/>
        <v>2013-12-04</v>
      </c>
      <c r="I569" s="1" t="str">
        <f>"李通"</f>
        <v>李通</v>
      </c>
      <c r="J569" s="1" t="str">
        <f t="shared" si="272"/>
        <v>天津锐意泰克汽车电子有限公司</v>
      </c>
    </row>
    <row r="570" spans="1:10">
      <c r="A570" s="1" t="str">
        <f t="shared" si="270"/>
        <v>天津锐意泰克汽车电子有限公司</v>
      </c>
      <c r="B570" s="1" t="str">
        <f>"喷油器固定卡夹"</f>
        <v>喷油器固定卡夹</v>
      </c>
      <c r="C570" s="1" t="str">
        <f t="shared" si="275"/>
        <v>实用新型</v>
      </c>
      <c r="D570" s="1" t="str">
        <f t="shared" si="274"/>
        <v>未缴年费专利权终止</v>
      </c>
      <c r="E570" s="1" t="str">
        <f>"CN201320318460.X"</f>
        <v>CN201320318460.X</v>
      </c>
      <c r="F570" s="1" t="str">
        <f>"2013-06-04"</f>
        <v>2013-06-04</v>
      </c>
      <c r="G570" s="1" t="str">
        <f>"CN203321729U"</f>
        <v>CN203321729U</v>
      </c>
      <c r="H570" s="1" t="str">
        <f t="shared" si="276"/>
        <v>2013-12-04</v>
      </c>
      <c r="I570" s="1" t="str">
        <f>"孙志强"</f>
        <v>孙志强</v>
      </c>
      <c r="J570" s="1" t="str">
        <f t="shared" si="272"/>
        <v>天津锐意泰克汽车电子有限公司</v>
      </c>
    </row>
    <row r="571" spans="1:10">
      <c r="A571" s="1" t="str">
        <f t="shared" si="270"/>
        <v>天津锐意泰克汽车电子有限公司</v>
      </c>
      <c r="B571" s="1" t="str">
        <f>"凸轮轴位置传感器中霍尔元件的裁断折弯装置"</f>
        <v>凸轮轴位置传感器中霍尔元件的裁断折弯装置</v>
      </c>
      <c r="C571" s="1" t="str">
        <f t="shared" si="275"/>
        <v>实用新型</v>
      </c>
      <c r="D571" s="1" t="str">
        <f t="shared" si="274"/>
        <v>未缴年费专利权终止</v>
      </c>
      <c r="E571" s="1" t="str">
        <f>"CN201320275621.1"</f>
        <v>CN201320275621.1</v>
      </c>
      <c r="F571" s="1" t="str">
        <f>"2013-05-20"</f>
        <v>2013-05-20</v>
      </c>
      <c r="G571" s="1" t="str">
        <f>"CN203292826U"</f>
        <v>CN203292826U</v>
      </c>
      <c r="H571" s="1" t="str">
        <f t="shared" ref="H571:H581" si="278">"2013-11-20"</f>
        <v>2013-11-20</v>
      </c>
      <c r="I571" s="1" t="str">
        <f t="shared" si="277"/>
        <v>郑长生</v>
      </c>
      <c r="J571" s="1" t="str">
        <f t="shared" si="272"/>
        <v>天津锐意泰克汽车电子有限公司</v>
      </c>
    </row>
    <row r="572" spans="1:10">
      <c r="A572" s="1" t="str">
        <f t="shared" si="270"/>
        <v>天津锐意泰克汽车电子有限公司</v>
      </c>
      <c r="B572" s="1" t="str">
        <f>"一种凸轮轴位置传感器霍尔元件压装装置"</f>
        <v>一种凸轮轴位置传感器霍尔元件压装装置</v>
      </c>
      <c r="C572" s="1" t="str">
        <f t="shared" si="275"/>
        <v>实用新型</v>
      </c>
      <c r="D572" s="1" t="str">
        <f t="shared" si="274"/>
        <v>未缴年费专利权终止</v>
      </c>
      <c r="E572" s="1" t="str">
        <f>"CN201320279254.2"</f>
        <v>CN201320279254.2</v>
      </c>
      <c r="F572" s="1" t="str">
        <f>"2013-05-21"</f>
        <v>2013-05-21</v>
      </c>
      <c r="G572" s="1" t="str">
        <f>"CN203292793U"</f>
        <v>CN203292793U</v>
      </c>
      <c r="H572" s="1" t="str">
        <f t="shared" si="278"/>
        <v>2013-11-20</v>
      </c>
      <c r="I572" s="1" t="str">
        <f t="shared" si="277"/>
        <v>郑长生</v>
      </c>
      <c r="J572" s="1" t="str">
        <f t="shared" si="272"/>
        <v>天津锐意泰克汽车电子有限公司</v>
      </c>
    </row>
    <row r="573" spans="1:10">
      <c r="A573" s="1" t="str">
        <f t="shared" si="270"/>
        <v>天津锐意泰克汽车电子有限公司</v>
      </c>
      <c r="B573" s="1" t="str">
        <f>"用于检测凸轮轴位置传感器壳体尺寸的位移检测装置"</f>
        <v>用于检测凸轮轴位置传感器壳体尺寸的位移检测装置</v>
      </c>
      <c r="C573" s="1" t="str">
        <f t="shared" si="275"/>
        <v>实用新型</v>
      </c>
      <c r="D573" s="1" t="str">
        <f t="shared" si="274"/>
        <v>未缴年费专利权终止</v>
      </c>
      <c r="E573" s="1" t="str">
        <f>"CN201320313597.6"</f>
        <v>CN201320313597.6</v>
      </c>
      <c r="F573" s="1" t="str">
        <f>"2013-05-31"</f>
        <v>2013-05-31</v>
      </c>
      <c r="G573" s="1" t="str">
        <f>"CN203298752U"</f>
        <v>CN203298752U</v>
      </c>
      <c r="H573" s="1" t="str">
        <f t="shared" si="278"/>
        <v>2013-11-20</v>
      </c>
      <c r="I573" s="1" t="str">
        <f t="shared" si="277"/>
        <v>郑长生</v>
      </c>
      <c r="J573" s="1" t="str">
        <f t="shared" si="272"/>
        <v>天津锐意泰克汽车电子有限公司</v>
      </c>
    </row>
    <row r="574" spans="1:10">
      <c r="A574" s="1" t="str">
        <f t="shared" si="270"/>
        <v>天津锐意泰克汽车电子有限公司</v>
      </c>
      <c r="B574" s="1" t="str">
        <f>"汽车电子油门踏板上盖压装装置"</f>
        <v>汽车电子油门踏板上盖压装装置</v>
      </c>
      <c r="C574" s="1" t="str">
        <f t="shared" si="275"/>
        <v>实用新型</v>
      </c>
      <c r="D574" s="1" t="str">
        <f t="shared" si="274"/>
        <v>未缴年费专利权终止</v>
      </c>
      <c r="E574" s="1" t="str">
        <f>"CN201320293040.0"</f>
        <v>CN201320293040.0</v>
      </c>
      <c r="F574" s="1" t="str">
        <f t="shared" ref="F574:F579" si="279">"2013-05-27"</f>
        <v>2013-05-27</v>
      </c>
      <c r="G574" s="1" t="str">
        <f>"CN203292801U"</f>
        <v>CN203292801U</v>
      </c>
      <c r="H574" s="1" t="str">
        <f t="shared" si="278"/>
        <v>2013-11-20</v>
      </c>
      <c r="I574" s="1" t="str">
        <f t="shared" si="277"/>
        <v>郑长生</v>
      </c>
      <c r="J574" s="1" t="str">
        <f t="shared" si="272"/>
        <v>天津锐意泰克汽车电子有限公司</v>
      </c>
    </row>
    <row r="575" spans="1:10">
      <c r="A575" s="1" t="str">
        <f t="shared" si="270"/>
        <v>天津锐意泰克汽车电子有限公司</v>
      </c>
      <c r="B575" s="1" t="str">
        <f>"双燃料汽车发动机用燃油分配管"</f>
        <v>双燃料汽车发动机用燃油分配管</v>
      </c>
      <c r="C575" s="1" t="str">
        <f t="shared" si="275"/>
        <v>实用新型</v>
      </c>
      <c r="D575" s="1" t="str">
        <f t="shared" si="274"/>
        <v>未缴年费专利权终止</v>
      </c>
      <c r="E575" s="1" t="str">
        <f>"CN201320293199.2"</f>
        <v>CN201320293199.2</v>
      </c>
      <c r="F575" s="1" t="str">
        <f t="shared" si="279"/>
        <v>2013-05-27</v>
      </c>
      <c r="G575" s="1" t="str">
        <f>"CN203296993U"</f>
        <v>CN203296993U</v>
      </c>
      <c r="H575" s="1" t="str">
        <f t="shared" si="278"/>
        <v>2013-11-20</v>
      </c>
      <c r="I575" s="1" t="str">
        <f>"李通"</f>
        <v>李通</v>
      </c>
      <c r="J575" s="1" t="str">
        <f t="shared" si="272"/>
        <v>天津锐意泰克汽车电子有限公司</v>
      </c>
    </row>
    <row r="576" spans="1:10">
      <c r="A576" s="1" t="str">
        <f t="shared" si="270"/>
        <v>天津锐意泰克汽车电子有限公司</v>
      </c>
      <c r="B576" s="1" t="str">
        <f>"点胶机针尖校正装置"</f>
        <v>点胶机针尖校正装置</v>
      </c>
      <c r="C576" s="1" t="str">
        <f t="shared" si="275"/>
        <v>实用新型</v>
      </c>
      <c r="D576" s="1" t="str">
        <f t="shared" si="274"/>
        <v>未缴年费专利权终止</v>
      </c>
      <c r="E576" s="1" t="str">
        <f>"CN201320283736.5"</f>
        <v>CN201320283736.5</v>
      </c>
      <c r="F576" s="1" t="str">
        <f>"2013-05-21"</f>
        <v>2013-05-21</v>
      </c>
      <c r="G576" s="1" t="str">
        <f>"CN203292033U"</f>
        <v>CN203292033U</v>
      </c>
      <c r="H576" s="1" t="str">
        <f t="shared" si="278"/>
        <v>2013-11-20</v>
      </c>
      <c r="I576" s="1" t="str">
        <f>"张玉兴"</f>
        <v>张玉兴</v>
      </c>
      <c r="J576" s="1" t="str">
        <f t="shared" si="272"/>
        <v>天津锐意泰克汽车电子有限公司</v>
      </c>
    </row>
    <row r="577" spans="1:10">
      <c r="A577" s="1" t="str">
        <f t="shared" si="270"/>
        <v>天津锐意泰克汽车电子有限公司</v>
      </c>
      <c r="B577" s="1" t="str">
        <f>"燃气共轨本体"</f>
        <v>燃气共轨本体</v>
      </c>
      <c r="C577" s="1" t="str">
        <f t="shared" si="275"/>
        <v>实用新型</v>
      </c>
      <c r="D577" s="1" t="str">
        <f t="shared" si="274"/>
        <v>未缴年费专利权终止</v>
      </c>
      <c r="E577" s="1" t="str">
        <f>"CN201320275680.9"</f>
        <v>CN201320275680.9</v>
      </c>
      <c r="F577" s="1" t="str">
        <f>"2013-05-20"</f>
        <v>2013-05-20</v>
      </c>
      <c r="G577" s="1" t="str">
        <f>"CN203296992U"</f>
        <v>CN203296992U</v>
      </c>
      <c r="H577" s="1" t="str">
        <f t="shared" si="278"/>
        <v>2013-11-20</v>
      </c>
      <c r="I577" s="1" t="str">
        <f>"张小娟"</f>
        <v>张小娟</v>
      </c>
      <c r="J577" s="1" t="str">
        <f t="shared" si="272"/>
        <v>天津锐意泰克汽车电子有限公司</v>
      </c>
    </row>
    <row r="578" spans="1:10">
      <c r="A578" s="1" t="str">
        <f t="shared" si="270"/>
        <v>天津锐意泰克汽车电子有限公司</v>
      </c>
      <c r="B578" s="1" t="str">
        <f>"喷油器安装座"</f>
        <v>喷油器安装座</v>
      </c>
      <c r="C578" s="1" t="str">
        <f t="shared" si="275"/>
        <v>实用新型</v>
      </c>
      <c r="D578" s="1" t="str">
        <f t="shared" si="274"/>
        <v>未缴年费专利权终止</v>
      </c>
      <c r="E578" s="1" t="str">
        <f>"CN201320293198.8"</f>
        <v>CN201320293198.8</v>
      </c>
      <c r="F578" s="1" t="str">
        <f t="shared" si="279"/>
        <v>2013-05-27</v>
      </c>
      <c r="G578" s="1" t="str">
        <f>"CN203296997U"</f>
        <v>CN203296997U</v>
      </c>
      <c r="H578" s="1" t="str">
        <f t="shared" si="278"/>
        <v>2013-11-20</v>
      </c>
      <c r="I578" s="1" t="str">
        <f>"孙志强"</f>
        <v>孙志强</v>
      </c>
      <c r="J578" s="1" t="str">
        <f t="shared" si="272"/>
        <v>天津锐意泰克汽车电子有限公司</v>
      </c>
    </row>
    <row r="579" spans="1:10">
      <c r="A579" s="1" t="str">
        <f t="shared" si="270"/>
        <v>天津锐意泰克汽车电子有限公司</v>
      </c>
      <c r="B579" s="1" t="str">
        <f>"凸轮轴位置传感器壳体注胶装置"</f>
        <v>凸轮轴位置传感器壳体注胶装置</v>
      </c>
      <c r="C579" s="1" t="str">
        <f t="shared" si="275"/>
        <v>实用新型</v>
      </c>
      <c r="D579" s="1" t="str">
        <f t="shared" si="274"/>
        <v>未缴年费专利权终止</v>
      </c>
      <c r="E579" s="1" t="str">
        <f>"CN201320293679.9"</f>
        <v>CN201320293679.9</v>
      </c>
      <c r="F579" s="1" t="str">
        <f t="shared" si="279"/>
        <v>2013-05-27</v>
      </c>
      <c r="G579" s="1" t="str">
        <f>"CN203292026U"</f>
        <v>CN203292026U</v>
      </c>
      <c r="H579" s="1" t="str">
        <f t="shared" si="278"/>
        <v>2013-11-20</v>
      </c>
      <c r="I579" s="1" t="str">
        <f>"郑长生"</f>
        <v>郑长生</v>
      </c>
      <c r="J579" s="1" t="str">
        <f t="shared" si="272"/>
        <v>天津锐意泰克汽车电子有限公司</v>
      </c>
    </row>
    <row r="580" spans="1:10">
      <c r="A580" s="1" t="str">
        <f t="shared" si="270"/>
        <v>天津锐意泰克汽车电子有限公司</v>
      </c>
      <c r="B580" s="1" t="str">
        <f>"凸轮轴位置传感器霍尔元件的手压机装配装置"</f>
        <v>凸轮轴位置传感器霍尔元件的手压机装配装置</v>
      </c>
      <c r="C580" s="1" t="str">
        <f t="shared" si="275"/>
        <v>实用新型</v>
      </c>
      <c r="D580" s="1" t="str">
        <f t="shared" si="274"/>
        <v>未缴年费专利权终止</v>
      </c>
      <c r="E580" s="1" t="str">
        <f>"CN201320277721.8"</f>
        <v>CN201320277721.8</v>
      </c>
      <c r="F580" s="1" t="str">
        <f>"2013-05-20"</f>
        <v>2013-05-20</v>
      </c>
      <c r="G580" s="1" t="str">
        <f>"CN203292792U"</f>
        <v>CN203292792U</v>
      </c>
      <c r="H580" s="1" t="str">
        <f t="shared" si="278"/>
        <v>2013-11-20</v>
      </c>
      <c r="I580" s="1" t="str">
        <f>"郑长生"</f>
        <v>郑长生</v>
      </c>
      <c r="J580" s="1" t="str">
        <f t="shared" si="272"/>
        <v>天津锐意泰克汽车电子有限公司</v>
      </c>
    </row>
    <row r="581" spans="1:10">
      <c r="A581" s="1" t="str">
        <f t="shared" si="270"/>
        <v>天津锐意泰克汽车电子有限公司</v>
      </c>
      <c r="B581" s="1" t="str">
        <f>"进气压力温度传感器外壳"</f>
        <v>进气压力温度传感器外壳</v>
      </c>
      <c r="C581" s="1" t="str">
        <f t="shared" si="275"/>
        <v>实用新型</v>
      </c>
      <c r="D581" s="1" t="str">
        <f t="shared" si="274"/>
        <v>未缴年费专利权终止</v>
      </c>
      <c r="E581" s="1" t="str">
        <f>"CN201320300444.8"</f>
        <v>CN201320300444.8</v>
      </c>
      <c r="F581" s="1" t="str">
        <f>"2013-05-29"</f>
        <v>2013-05-29</v>
      </c>
      <c r="G581" s="1" t="str">
        <f>"CN203298789U"</f>
        <v>CN203298789U</v>
      </c>
      <c r="H581" s="1" t="str">
        <f t="shared" si="278"/>
        <v>2013-11-20</v>
      </c>
      <c r="I581" s="1" t="str">
        <f>"肖俊强"</f>
        <v>肖俊强</v>
      </c>
      <c r="J581" s="1" t="str">
        <f t="shared" si="272"/>
        <v>天津锐意泰克汽车电子有限公司</v>
      </c>
    </row>
    <row r="582" spans="1:10">
      <c r="A582" s="1" t="str">
        <f t="shared" si="270"/>
        <v>天津锐意泰克汽车电子有限公司</v>
      </c>
      <c r="B582" s="1" t="str">
        <f>"爆震传感器的放置装置"</f>
        <v>爆震传感器的放置装置</v>
      </c>
      <c r="C582" s="1" t="str">
        <f t="shared" si="275"/>
        <v>实用新型</v>
      </c>
      <c r="D582" s="1" t="str">
        <f t="shared" si="274"/>
        <v>未缴年费专利权终止</v>
      </c>
      <c r="E582" s="1" t="str">
        <f>"CN201220728024.5"</f>
        <v>CN201220728024.5</v>
      </c>
      <c r="F582" s="1" t="str">
        <f>"2013-05-21"</f>
        <v>2013-05-21</v>
      </c>
      <c r="G582" s="1" t="str">
        <f>"CN203143300U"</f>
        <v>CN203143300U</v>
      </c>
      <c r="H582" s="1" t="str">
        <f>"2013-08-21"</f>
        <v>2013-08-21</v>
      </c>
      <c r="I582" s="1" t="str">
        <f>"吕扶伟"</f>
        <v>吕扶伟</v>
      </c>
      <c r="J582" s="1" t="str">
        <f t="shared" si="272"/>
        <v>天津锐意泰克汽车电子有限公司</v>
      </c>
    </row>
    <row r="583" spans="1:10">
      <c r="A583" s="1" t="str">
        <f t="shared" si="270"/>
        <v>天津锐意泰克汽车电子有限公司</v>
      </c>
      <c r="B583" s="1" t="str">
        <f>"一种汽车氧传感器内阻的测试电路及测量方法"</f>
        <v>一种汽车氧传感器内阻的测试电路及测量方法</v>
      </c>
      <c r="C583" s="1" t="str">
        <f>"发明授权"</f>
        <v>发明授权</v>
      </c>
      <c r="D583" s="1" t="str">
        <f t="shared" si="274"/>
        <v>未缴年费专利权终止</v>
      </c>
      <c r="E583" s="1" t="str">
        <f>"CN201110411413.5"</f>
        <v>CN201110411413.5</v>
      </c>
      <c r="F583" s="1" t="str">
        <f>"2011-12-08"</f>
        <v>2011-12-08</v>
      </c>
      <c r="G583" s="1" t="str">
        <f>"CN102495289B"</f>
        <v>CN102495289B</v>
      </c>
      <c r="H583" s="1" t="str">
        <f>"2013-08-07"</f>
        <v>2013-08-07</v>
      </c>
      <c r="I583" s="1" t="s">
        <v>4877</v>
      </c>
      <c r="J583" s="1" t="str">
        <f t="shared" si="272"/>
        <v>天津锐意泰克汽车电子有限公司</v>
      </c>
    </row>
    <row r="584" spans="1:10">
      <c r="A584" s="1" t="str">
        <f t="shared" si="270"/>
        <v>天津锐意泰克汽车电子有限公司</v>
      </c>
      <c r="B584" s="1" t="str">
        <f>"相位传感器性能检测装置"</f>
        <v>相位传感器性能检测装置</v>
      </c>
      <c r="C584" s="1" t="str">
        <f t="shared" ref="C584:C586" si="280">"实用新型"</f>
        <v>实用新型</v>
      </c>
      <c r="D584" s="1" t="str">
        <f t="shared" si="274"/>
        <v>未缴年费专利权终止</v>
      </c>
      <c r="E584" s="1" t="str">
        <f>"CN201220730242.2"</f>
        <v>CN201220730242.2</v>
      </c>
      <c r="F584" s="1" t="str">
        <f>"2012-12-25"</f>
        <v>2012-12-25</v>
      </c>
      <c r="G584" s="1" t="str">
        <f>"CN203116759U"</f>
        <v>CN203116759U</v>
      </c>
      <c r="H584" s="1" t="str">
        <f>"2013-08-07"</f>
        <v>2013-08-07</v>
      </c>
      <c r="I584" s="1" t="str">
        <f>"王璐"</f>
        <v>王璐</v>
      </c>
      <c r="J584" s="1" t="str">
        <f t="shared" si="272"/>
        <v>天津锐意泰克汽车电子有限公司</v>
      </c>
    </row>
    <row r="585" spans="1:10">
      <c r="A585" s="1" t="str">
        <f t="shared" si="270"/>
        <v>天津锐意泰克汽车电子有限公司</v>
      </c>
      <c r="B585" s="1" t="str">
        <f>"爆震传感器测试装置"</f>
        <v>爆震传感器测试装置</v>
      </c>
      <c r="C585" s="1" t="str">
        <f t="shared" si="280"/>
        <v>实用新型</v>
      </c>
      <c r="D585" s="1" t="str">
        <f t="shared" si="274"/>
        <v>未缴年费专利权终止</v>
      </c>
      <c r="E585" s="1" t="str">
        <f>"CN201220728025.X"</f>
        <v>CN201220728025.X</v>
      </c>
      <c r="F585" s="1" t="str">
        <f>"2012-12-25"</f>
        <v>2012-12-25</v>
      </c>
      <c r="G585" s="1" t="str">
        <f>"CN203024929U"</f>
        <v>CN203024929U</v>
      </c>
      <c r="H585" s="1" t="str">
        <f>"2013-06-26"</f>
        <v>2013-06-26</v>
      </c>
      <c r="I585" s="1" t="str">
        <f>"吕扶伟"</f>
        <v>吕扶伟</v>
      </c>
      <c r="J585" s="1" t="str">
        <f t="shared" si="272"/>
        <v>天津锐意泰克汽车电子有限公司</v>
      </c>
    </row>
    <row r="586" spans="1:10">
      <c r="A586" s="1" t="str">
        <f t="shared" si="270"/>
        <v>天津锐意泰克汽车电子有限公司</v>
      </c>
      <c r="B586" s="1" t="str">
        <f>"汽车电子油门踏板弹簧压装装置"</f>
        <v>汽车电子油门踏板弹簧压装装置</v>
      </c>
      <c r="C586" s="1" t="str">
        <f t="shared" si="280"/>
        <v>实用新型</v>
      </c>
      <c r="D586" s="1" t="str">
        <f t="shared" si="274"/>
        <v>未缴年费专利权终止</v>
      </c>
      <c r="E586" s="1" t="str">
        <f>"CN201220736761.X"</f>
        <v>CN201220736761.X</v>
      </c>
      <c r="F586" s="1" t="str">
        <f>"2012-12-27"</f>
        <v>2012-12-27</v>
      </c>
      <c r="G586" s="1" t="str">
        <f>"CN203019007U"</f>
        <v>CN203019007U</v>
      </c>
      <c r="H586" s="1" t="str">
        <f>"2013-06-26"</f>
        <v>2013-06-26</v>
      </c>
      <c r="I586" s="1" t="str">
        <f>"郑长生"</f>
        <v>郑长生</v>
      </c>
      <c r="J586" s="1" t="str">
        <f t="shared" si="272"/>
        <v>天津锐意泰克汽车电子有限公司</v>
      </c>
    </row>
    <row r="587" spans="1:10">
      <c r="A587" s="1" t="str">
        <f t="shared" si="270"/>
        <v>天津锐意泰克汽车电子有限公司</v>
      </c>
      <c r="B587" s="1" t="str">
        <f>"用于制作汽车氧传感器电极着附层的组合物及该电极着附层的制作方法"</f>
        <v>用于制作汽车氧传感器电极着附层的组合物及该电极着附层的制作方法</v>
      </c>
      <c r="C587" s="1" t="str">
        <f>"发明公布"</f>
        <v>发明公布</v>
      </c>
      <c r="D587" s="1" t="str">
        <f>"公布视为撤回"</f>
        <v>公布视为撤回</v>
      </c>
      <c r="E587" s="1" t="str">
        <f>"CN201210468669.4"</f>
        <v>CN201210468669.4</v>
      </c>
      <c r="F587" s="1" t="str">
        <f>"2012-11-20"</f>
        <v>2012-11-20</v>
      </c>
      <c r="G587" s="1" t="str">
        <f>"CN102992815A"</f>
        <v>CN102992815A</v>
      </c>
      <c r="H587" s="1" t="str">
        <f>"2013-03-27"</f>
        <v>2013-03-27</v>
      </c>
      <c r="I587" s="1" t="str">
        <f>"谭焕银"</f>
        <v>谭焕银</v>
      </c>
      <c r="J587" s="1" t="str">
        <f t="shared" si="272"/>
        <v>天津锐意泰克汽车电子有限公司</v>
      </c>
    </row>
    <row r="588" spans="1:10">
      <c r="A588" s="1" t="str">
        <f t="shared" si="270"/>
        <v>天津锐意泰克汽车电子有限公司</v>
      </c>
      <c r="B588" s="1" t="str">
        <f>"一种发动机失火的诊断方法"</f>
        <v>一种发动机失火的诊断方法</v>
      </c>
      <c r="C588" s="1" t="str">
        <f>"发明授权"</f>
        <v>发明授权</v>
      </c>
      <c r="D588" s="1" t="str">
        <f>"未缴年费专利权终止"</f>
        <v>未缴年费专利权终止</v>
      </c>
      <c r="E588" s="1" t="str">
        <f>"CN201010615738.0"</f>
        <v>CN201010615738.0</v>
      </c>
      <c r="F588" s="1" t="str">
        <f>"2010-12-30"</f>
        <v>2010-12-30</v>
      </c>
      <c r="G588" s="1" t="str">
        <f>"CN102116242B"</f>
        <v>CN102116242B</v>
      </c>
      <c r="H588" s="1" t="str">
        <f>"2012-10-17"</f>
        <v>2012-10-17</v>
      </c>
      <c r="I588" s="1" t="str">
        <f>"王少华"</f>
        <v>王少华</v>
      </c>
      <c r="J588" s="1" t="str">
        <f t="shared" si="272"/>
        <v>天津锐意泰克汽车电子有限公司</v>
      </c>
    </row>
    <row r="589" spans="1:10">
      <c r="A589" s="1" t="str">
        <f t="shared" si="270"/>
        <v>天津锐意泰克汽车电子有限公司</v>
      </c>
      <c r="B589" s="1" t="str">
        <f>"一种汽车凸轮轴位置传感器的芯体"</f>
        <v>一种汽车凸轮轴位置传感器的芯体</v>
      </c>
      <c r="C589" s="1" t="str">
        <f t="shared" ref="C589:C592" si="281">"实用新型"</f>
        <v>实用新型</v>
      </c>
      <c r="D589" s="1" t="str">
        <f>"未缴年费专利权终止"</f>
        <v>未缴年费专利权终止</v>
      </c>
      <c r="E589" s="1" t="str">
        <f>"CN201120461153.8"</f>
        <v>CN201120461153.8</v>
      </c>
      <c r="F589" s="1" t="str">
        <f>"2011-11-18"</f>
        <v>2011-11-18</v>
      </c>
      <c r="G589" s="1" t="str">
        <f>"CN202420417U"</f>
        <v>CN202420417U</v>
      </c>
      <c r="H589" s="1" t="str">
        <f>"2012-09-05"</f>
        <v>2012-09-05</v>
      </c>
      <c r="I589" s="1" t="s">
        <v>4878</v>
      </c>
      <c r="J589" s="1" t="str">
        <f t="shared" si="272"/>
        <v>天津锐意泰克汽车电子有限公司</v>
      </c>
    </row>
    <row r="590" spans="1:10">
      <c r="A590" s="1" t="str">
        <f t="shared" ref="A590:A621" si="282">"天津科世得润汽车部件有限公司"</f>
        <v>天津科世得润汽车部件有限公司</v>
      </c>
      <c r="B590" s="1" t="str">
        <f>"一种汽车线束支架"</f>
        <v>一种汽车线束支架</v>
      </c>
      <c r="C590" s="1" t="str">
        <f t="shared" si="281"/>
        <v>实用新型</v>
      </c>
      <c r="D590" s="1" t="str">
        <f t="shared" ref="D590:D592" si="283">"授权"</f>
        <v>授权</v>
      </c>
      <c r="E590" s="1" t="str">
        <f>"CN202422689650.3"</f>
        <v>CN202422689650.3</v>
      </c>
      <c r="F590" s="1" t="str">
        <f>"2024-11-05"</f>
        <v>2024-11-05</v>
      </c>
      <c r="G590" s="1" t="str">
        <f>"CN223355511U"</f>
        <v>CN223355511U</v>
      </c>
      <c r="H590" s="1" t="str">
        <f>"2025-09-19"</f>
        <v>2025-09-19</v>
      </c>
      <c r="I590" s="1" t="s">
        <v>4879</v>
      </c>
      <c r="J590" s="1" t="str">
        <f t="shared" ref="J590:J621" si="284">"天津科世得润汽车部件有限公司"</f>
        <v>天津科世得润汽车部件有限公司</v>
      </c>
    </row>
    <row r="591" spans="1:10">
      <c r="A591" s="1" t="str">
        <f t="shared" si="282"/>
        <v>天津科世得润汽车部件有限公司</v>
      </c>
      <c r="B591" s="1" t="str">
        <f>"一种汽车线束用线束定位装置"</f>
        <v>一种汽车线束用线束定位装置</v>
      </c>
      <c r="C591" s="1" t="str">
        <f t="shared" si="281"/>
        <v>实用新型</v>
      </c>
      <c r="D591" s="1" t="str">
        <f t="shared" si="283"/>
        <v>授权</v>
      </c>
      <c r="E591" s="1" t="str">
        <f>"CN202422562682.7"</f>
        <v>CN202422562682.7</v>
      </c>
      <c r="F591" s="1" t="str">
        <f t="shared" ref="F591:F594" si="285">"2024-10-23"</f>
        <v>2024-10-23</v>
      </c>
      <c r="G591" s="1" t="str">
        <f>"CN223285509U"</f>
        <v>CN223285509U</v>
      </c>
      <c r="H591" s="1" t="str">
        <f>"2025-08-29"</f>
        <v>2025-08-29</v>
      </c>
      <c r="I591" s="1" t="s">
        <v>4880</v>
      </c>
      <c r="J591" s="1" t="str">
        <f t="shared" si="284"/>
        <v>天津科世得润汽车部件有限公司</v>
      </c>
    </row>
    <row r="592" spans="1:10">
      <c r="A592" s="1" t="str">
        <f t="shared" si="282"/>
        <v>天津科世得润汽车部件有限公司</v>
      </c>
      <c r="B592" s="1" t="str">
        <f>"一种汽车线束保护结构"</f>
        <v>一种汽车线束保护结构</v>
      </c>
      <c r="C592" s="1" t="str">
        <f t="shared" si="281"/>
        <v>实用新型</v>
      </c>
      <c r="D592" s="1" t="str">
        <f t="shared" si="283"/>
        <v>授权</v>
      </c>
      <c r="E592" s="1" t="str">
        <f>"CN202422562676.1"</f>
        <v>CN202422562676.1</v>
      </c>
      <c r="F592" s="1" t="str">
        <f t="shared" si="285"/>
        <v>2024-10-23</v>
      </c>
      <c r="G592" s="1" t="str">
        <f>"CN223285534U"</f>
        <v>CN223285534U</v>
      </c>
      <c r="H592" s="1" t="str">
        <f>"2025-08-29"</f>
        <v>2025-08-29</v>
      </c>
      <c r="I592" s="1" t="s">
        <v>4881</v>
      </c>
      <c r="J592" s="1" t="str">
        <f t="shared" si="284"/>
        <v>天津科世得润汽车部件有限公司</v>
      </c>
    </row>
    <row r="593" spans="1:10">
      <c r="A593" s="1" t="str">
        <f t="shared" si="282"/>
        <v>天津科世得润汽车部件有限公司</v>
      </c>
      <c r="B593" s="1" t="str">
        <f>"一种汽车线束切割设备"</f>
        <v>一种汽车线束切割设备</v>
      </c>
      <c r="C593" s="1" t="str">
        <f t="shared" ref="C593:C596" si="286">"发明公布"</f>
        <v>发明公布</v>
      </c>
      <c r="D593" s="1" t="str">
        <f t="shared" ref="D593:D596" si="287">"实质审查"</f>
        <v>实质审查</v>
      </c>
      <c r="E593" s="1" t="str">
        <f>"CN202510744739.1"</f>
        <v>CN202510744739.1</v>
      </c>
      <c r="F593" s="1" t="str">
        <f>"2025-06-05"</f>
        <v>2025-06-05</v>
      </c>
      <c r="G593" s="1" t="str">
        <f>"CN120545886A"</f>
        <v>CN120545886A</v>
      </c>
      <c r="H593" s="1" t="str">
        <f>"2025-08-26"</f>
        <v>2025-08-26</v>
      </c>
      <c r="I593" s="1" t="str">
        <f>"边铁民"</f>
        <v>边铁民</v>
      </c>
      <c r="J593" s="1" t="str">
        <f t="shared" si="284"/>
        <v>天津科世得润汽车部件有限公司</v>
      </c>
    </row>
    <row r="594" spans="1:10">
      <c r="A594" s="1" t="str">
        <f t="shared" si="282"/>
        <v>天津科世得润汽车部件有限公司</v>
      </c>
      <c r="B594" s="1" t="str">
        <f>"一种汽车线束加工用线束收纳架"</f>
        <v>一种汽车线束加工用线束收纳架</v>
      </c>
      <c r="C594" s="1" t="str">
        <f t="shared" ref="C594:C620" si="288">"实用新型"</f>
        <v>实用新型</v>
      </c>
      <c r="D594" s="1" t="str">
        <f t="shared" ref="D594:D611" si="289">"授权"</f>
        <v>授权</v>
      </c>
      <c r="E594" s="1" t="str">
        <f>"CN202422562681.2"</f>
        <v>CN202422562681.2</v>
      </c>
      <c r="F594" s="1" t="str">
        <f t="shared" si="285"/>
        <v>2024-10-23</v>
      </c>
      <c r="G594" s="1" t="str">
        <f>"CN223175474U"</f>
        <v>CN223175474U</v>
      </c>
      <c r="H594" s="1" t="str">
        <f>"2025-08-01"</f>
        <v>2025-08-01</v>
      </c>
      <c r="I594" s="1" t="s">
        <v>4882</v>
      </c>
      <c r="J594" s="1" t="str">
        <f t="shared" si="284"/>
        <v>天津科世得润汽车部件有限公司</v>
      </c>
    </row>
    <row r="595" spans="1:10">
      <c r="A595" s="1" t="str">
        <f t="shared" si="282"/>
        <v>天津科世得润汽车部件有限公司</v>
      </c>
      <c r="B595" s="1" t="str">
        <f>"一种汽车线束检测装置"</f>
        <v>一种汽车线束检测装置</v>
      </c>
      <c r="C595" s="1" t="str">
        <f t="shared" si="286"/>
        <v>发明公布</v>
      </c>
      <c r="D595" s="1" t="str">
        <f t="shared" si="287"/>
        <v>实质审查</v>
      </c>
      <c r="E595" s="1" t="str">
        <f>"CN202510010374.X"</f>
        <v>CN202510010374.X</v>
      </c>
      <c r="F595" s="1" t="str">
        <f>"2025-01-03"</f>
        <v>2025-01-03</v>
      </c>
      <c r="G595" s="1" t="str">
        <f>"CN119935708A"</f>
        <v>CN119935708A</v>
      </c>
      <c r="H595" s="1" t="str">
        <f>"2025-05-06"</f>
        <v>2025-05-06</v>
      </c>
      <c r="I595" s="1" t="str">
        <f>"杜卓越"</f>
        <v>杜卓越</v>
      </c>
      <c r="J595" s="1" t="str">
        <f t="shared" si="284"/>
        <v>天津科世得润汽车部件有限公司</v>
      </c>
    </row>
    <row r="596" spans="1:10">
      <c r="A596" s="1" t="str">
        <f t="shared" si="282"/>
        <v>天津科世得润汽车部件有限公司</v>
      </c>
      <c r="B596" s="1" t="str">
        <f>"一种汽车线束压接用导向装置"</f>
        <v>一种汽车线束压接用导向装置</v>
      </c>
      <c r="C596" s="1" t="str">
        <f t="shared" si="286"/>
        <v>发明公布</v>
      </c>
      <c r="D596" s="1" t="str">
        <f t="shared" si="287"/>
        <v>实质审查</v>
      </c>
      <c r="E596" s="1" t="str">
        <f>"CN202510042554.6"</f>
        <v>CN202510042554.6</v>
      </c>
      <c r="F596" s="1" t="str">
        <f>"2025-01-10"</f>
        <v>2025-01-10</v>
      </c>
      <c r="G596" s="1" t="str">
        <f>"CN119905877A"</f>
        <v>CN119905877A</v>
      </c>
      <c r="H596" s="1" t="str">
        <f>"2025-04-29"</f>
        <v>2025-04-29</v>
      </c>
      <c r="I596" s="1" t="str">
        <f>"李利辉"</f>
        <v>李利辉</v>
      </c>
      <c r="J596" s="1" t="str">
        <f t="shared" si="284"/>
        <v>天津科世得润汽车部件有限公司</v>
      </c>
    </row>
    <row r="597" spans="1:10">
      <c r="A597" s="1" t="str">
        <f t="shared" si="282"/>
        <v>天津科世得润汽车部件有限公司</v>
      </c>
      <c r="B597" s="1" t="str">
        <f>"一种汽车线束总装工艺流"</f>
        <v>一种汽车线束总装工艺流</v>
      </c>
      <c r="C597" s="1" t="str">
        <f>"发明授权"</f>
        <v>发明授权</v>
      </c>
      <c r="D597" s="1" t="str">
        <f t="shared" si="289"/>
        <v>授权</v>
      </c>
      <c r="E597" s="1" t="str">
        <f>"CN202210793021.8"</f>
        <v>CN202210793021.8</v>
      </c>
      <c r="F597" s="1" t="str">
        <f>"2022-07-05"</f>
        <v>2022-07-05</v>
      </c>
      <c r="G597" s="1" t="str">
        <f>"CN115224560B"</f>
        <v>CN115224560B</v>
      </c>
      <c r="H597" s="1" t="str">
        <f>"2025-01-10"</f>
        <v>2025-01-10</v>
      </c>
      <c r="I597" s="1" t="str">
        <f>"李利辉"</f>
        <v>李利辉</v>
      </c>
      <c r="J597" s="1" t="str">
        <f t="shared" si="284"/>
        <v>天津科世得润汽车部件有限公司</v>
      </c>
    </row>
    <row r="598" spans="1:10">
      <c r="A598" s="1" t="str">
        <f t="shared" si="282"/>
        <v>天津科世得润汽车部件有限公司</v>
      </c>
      <c r="B598" s="1" t="str">
        <f>"一种等离子清洗装置"</f>
        <v>一种等离子清洗装置</v>
      </c>
      <c r="C598" s="1" t="str">
        <f t="shared" si="288"/>
        <v>实用新型</v>
      </c>
      <c r="D598" s="1" t="str">
        <f t="shared" si="289"/>
        <v>授权</v>
      </c>
      <c r="E598" s="1" t="str">
        <f>"CN202322063533.1"</f>
        <v>CN202322063533.1</v>
      </c>
      <c r="F598" s="1" t="str">
        <f t="shared" ref="F598:F601" si="290">"2023-08-02"</f>
        <v>2023-08-02</v>
      </c>
      <c r="G598" s="1" t="str">
        <f>"CN220678833U"</f>
        <v>CN220678833U</v>
      </c>
      <c r="H598" s="1" t="str">
        <f>"2024-03-29"</f>
        <v>2024-03-29</v>
      </c>
      <c r="I598" s="1" t="str">
        <f t="shared" ref="I598:I601" si="291">"边铁民"</f>
        <v>边铁民</v>
      </c>
      <c r="J598" s="1" t="str">
        <f t="shared" si="284"/>
        <v>天津科世得润汽车部件有限公司</v>
      </c>
    </row>
    <row r="599" spans="1:10">
      <c r="A599" s="1" t="str">
        <f t="shared" si="282"/>
        <v>天津科世得润汽车部件有限公司</v>
      </c>
      <c r="B599" s="1" t="str">
        <f>"一种保护导线的送线桶"</f>
        <v>一种保护导线的送线桶</v>
      </c>
      <c r="C599" s="1" t="str">
        <f t="shared" si="288"/>
        <v>实用新型</v>
      </c>
      <c r="D599" s="1" t="str">
        <f t="shared" si="289"/>
        <v>授权</v>
      </c>
      <c r="E599" s="1" t="str">
        <f>"CN202322063542.0"</f>
        <v>CN202322063542.0</v>
      </c>
      <c r="F599" s="1" t="str">
        <f t="shared" si="290"/>
        <v>2023-08-02</v>
      </c>
      <c r="G599" s="1" t="str">
        <f>"CN220484932U"</f>
        <v>CN220484932U</v>
      </c>
      <c r="H599" s="1" t="str">
        <f>"2024-02-13"</f>
        <v>2024-02-13</v>
      </c>
      <c r="I599" s="1" t="str">
        <f t="shared" si="291"/>
        <v>边铁民</v>
      </c>
      <c r="J599" s="1" t="str">
        <f t="shared" si="284"/>
        <v>天津科世得润汽车部件有限公司</v>
      </c>
    </row>
    <row r="600" spans="1:10">
      <c r="A600" s="1" t="str">
        <f t="shared" si="282"/>
        <v>天津科世得润汽车部件有限公司</v>
      </c>
      <c r="B600" s="1" t="str">
        <f>"一种发泡转运车"</f>
        <v>一种发泡转运车</v>
      </c>
      <c r="C600" s="1" t="str">
        <f t="shared" si="288"/>
        <v>实用新型</v>
      </c>
      <c r="D600" s="1" t="str">
        <f t="shared" si="289"/>
        <v>授权</v>
      </c>
      <c r="E600" s="1" t="str">
        <f>"CN202322063590.X"</f>
        <v>CN202322063590.X</v>
      </c>
      <c r="F600" s="1" t="str">
        <f t="shared" si="290"/>
        <v>2023-08-02</v>
      </c>
      <c r="G600" s="1" t="str">
        <f>"CN220465573U"</f>
        <v>CN220465573U</v>
      </c>
      <c r="H600" s="1" t="str">
        <f>"2024-02-09"</f>
        <v>2024-02-09</v>
      </c>
      <c r="I600" s="1" t="str">
        <f t="shared" si="291"/>
        <v>边铁民</v>
      </c>
      <c r="J600" s="1" t="str">
        <f t="shared" si="284"/>
        <v>天津科世得润汽车部件有限公司</v>
      </c>
    </row>
    <row r="601" spans="1:10">
      <c r="A601" s="1" t="str">
        <f t="shared" si="282"/>
        <v>天津科世得润汽车部件有限公司</v>
      </c>
      <c r="B601" s="1" t="str">
        <f>"一种端子盘卷纸机构"</f>
        <v>一种端子盘卷纸机构</v>
      </c>
      <c r="C601" s="1" t="str">
        <f t="shared" si="288"/>
        <v>实用新型</v>
      </c>
      <c r="D601" s="1" t="str">
        <f t="shared" si="289"/>
        <v>授权</v>
      </c>
      <c r="E601" s="1" t="str">
        <f>"CN202322063555.8"</f>
        <v>CN202322063555.8</v>
      </c>
      <c r="F601" s="1" t="str">
        <f t="shared" si="290"/>
        <v>2023-08-02</v>
      </c>
      <c r="G601" s="1" t="str">
        <f>"CN220466999U"</f>
        <v>CN220466999U</v>
      </c>
      <c r="H601" s="1" t="str">
        <f>"2024-02-09"</f>
        <v>2024-02-09</v>
      </c>
      <c r="I601" s="1" t="str">
        <f t="shared" si="291"/>
        <v>边铁民</v>
      </c>
      <c r="J601" s="1" t="str">
        <f t="shared" si="284"/>
        <v>天津科世得润汽车部件有限公司</v>
      </c>
    </row>
    <row r="602" spans="1:10">
      <c r="A602" s="1" t="str">
        <f t="shared" si="282"/>
        <v>天津科世得润汽车部件有限公司</v>
      </c>
      <c r="B602" s="1" t="str">
        <f>"一种Cutting成品送线装置"</f>
        <v>一种Cutting成品送线装置</v>
      </c>
      <c r="C602" s="1" t="str">
        <f t="shared" si="288"/>
        <v>实用新型</v>
      </c>
      <c r="D602" s="1" t="str">
        <f t="shared" si="289"/>
        <v>授权</v>
      </c>
      <c r="E602" s="1" t="str">
        <f>"CN202221373013.X"</f>
        <v>CN202221373013.X</v>
      </c>
      <c r="F602" s="1" t="str">
        <f>"2022-06-02"</f>
        <v>2022-06-02</v>
      </c>
      <c r="G602" s="1" t="str">
        <f>"CN218289399U"</f>
        <v>CN218289399U</v>
      </c>
      <c r="H602" s="1" t="str">
        <f t="shared" ref="H602:H604" si="292">"2023-01-13"</f>
        <v>2023-01-13</v>
      </c>
      <c r="I602" s="1" t="str">
        <f>"杜卓越"</f>
        <v>杜卓越</v>
      </c>
      <c r="J602" s="1" t="str">
        <f t="shared" si="284"/>
        <v>天津科世得润汽车部件有限公司</v>
      </c>
    </row>
    <row r="603" spans="1:10">
      <c r="A603" s="1" t="str">
        <f t="shared" si="282"/>
        <v>天津科世得润汽车部件有限公司</v>
      </c>
      <c r="B603" s="1" t="str">
        <f>"一种KFB案板"</f>
        <v>一种KFB案板</v>
      </c>
      <c r="C603" s="1" t="str">
        <f t="shared" si="288"/>
        <v>实用新型</v>
      </c>
      <c r="D603" s="1" t="str">
        <f t="shared" si="289"/>
        <v>授权</v>
      </c>
      <c r="E603" s="1" t="str">
        <f>"CN202221441335.3"</f>
        <v>CN202221441335.3</v>
      </c>
      <c r="F603" s="1" t="str">
        <f>"2022-06-09"</f>
        <v>2022-06-09</v>
      </c>
      <c r="G603" s="1" t="str">
        <f>"CN218299465U"</f>
        <v>CN218299465U</v>
      </c>
      <c r="H603" s="1" t="str">
        <f t="shared" si="292"/>
        <v>2023-01-13</v>
      </c>
      <c r="I603" s="1" t="str">
        <f>"李东东"</f>
        <v>李东东</v>
      </c>
      <c r="J603" s="1" t="str">
        <f t="shared" si="284"/>
        <v>天津科世得润汽车部件有限公司</v>
      </c>
    </row>
    <row r="604" spans="1:10">
      <c r="A604" s="1" t="str">
        <f t="shared" si="282"/>
        <v>天津科世得润汽车部件有限公司</v>
      </c>
      <c r="B604" s="1" t="str">
        <f>"一种流水线线架"</f>
        <v>一种流水线线架</v>
      </c>
      <c r="C604" s="1" t="str">
        <f t="shared" si="288"/>
        <v>实用新型</v>
      </c>
      <c r="D604" s="1" t="str">
        <f t="shared" si="289"/>
        <v>授权</v>
      </c>
      <c r="E604" s="1" t="str">
        <f>"CN202221437761.X"</f>
        <v>CN202221437761.X</v>
      </c>
      <c r="F604" s="1" t="str">
        <f>"2022-06-09"</f>
        <v>2022-06-09</v>
      </c>
      <c r="G604" s="1" t="str">
        <f>"CN218289449U"</f>
        <v>CN218289449U</v>
      </c>
      <c r="H604" s="1" t="str">
        <f t="shared" si="292"/>
        <v>2023-01-13</v>
      </c>
      <c r="I604" s="1" t="str">
        <f>"李利辉"</f>
        <v>李利辉</v>
      </c>
      <c r="J604" s="1" t="str">
        <f t="shared" si="284"/>
        <v>天津科世得润汽车部件有限公司</v>
      </c>
    </row>
    <row r="605" spans="1:10">
      <c r="A605" s="1" t="str">
        <f t="shared" si="282"/>
        <v>天津科世得润汽车部件有限公司</v>
      </c>
      <c r="B605" s="1" t="str">
        <f>"一种3D冶具案板"</f>
        <v>一种3D冶具案板</v>
      </c>
      <c r="C605" s="1" t="str">
        <f t="shared" si="288"/>
        <v>实用新型</v>
      </c>
      <c r="D605" s="1" t="str">
        <f t="shared" si="289"/>
        <v>授权</v>
      </c>
      <c r="E605" s="1" t="str">
        <f>"CN202221373913.4"</f>
        <v>CN202221373913.4</v>
      </c>
      <c r="F605" s="1" t="str">
        <f>"2022-06-02"</f>
        <v>2022-06-02</v>
      </c>
      <c r="G605" s="1" t="str">
        <f>"CN217468079U"</f>
        <v>CN217468079U</v>
      </c>
      <c r="H605" s="1" t="str">
        <f t="shared" ref="H605:H608" si="293">"2022-09-20"</f>
        <v>2022-09-20</v>
      </c>
      <c r="I605" s="1" t="str">
        <f>"李东东"</f>
        <v>李东东</v>
      </c>
      <c r="J605" s="1" t="str">
        <f t="shared" si="284"/>
        <v>天津科世得润汽车部件有限公司</v>
      </c>
    </row>
    <row r="606" spans="1:10">
      <c r="A606" s="1" t="str">
        <f t="shared" si="282"/>
        <v>天津科世得润汽车部件有限公司</v>
      </c>
      <c r="B606" s="1" t="str">
        <f>"一种线束挂线车"</f>
        <v>一种线束挂线车</v>
      </c>
      <c r="C606" s="1" t="str">
        <f t="shared" si="288"/>
        <v>实用新型</v>
      </c>
      <c r="D606" s="1" t="str">
        <f t="shared" si="289"/>
        <v>授权</v>
      </c>
      <c r="E606" s="1" t="str">
        <f>"CN202123389103.6"</f>
        <v>CN202123389103.6</v>
      </c>
      <c r="F606" s="1" t="str">
        <f>"2021-12-30"</f>
        <v>2021-12-30</v>
      </c>
      <c r="G606" s="1" t="str">
        <f>"CN217453870U"</f>
        <v>CN217453870U</v>
      </c>
      <c r="H606" s="1" t="str">
        <f t="shared" si="293"/>
        <v>2022-09-20</v>
      </c>
      <c r="I606" s="1" t="s">
        <v>4883</v>
      </c>
      <c r="J606" s="1" t="str">
        <f t="shared" si="284"/>
        <v>天津科世得润汽车部件有限公司</v>
      </c>
    </row>
    <row r="607" spans="1:10">
      <c r="A607" s="1" t="str">
        <f t="shared" si="282"/>
        <v>天津科世得润汽车部件有限公司</v>
      </c>
      <c r="B607" s="1" t="str">
        <f>"一种线束插接器颜色检测模块及检测器"</f>
        <v>一种线束插接器颜色检测模块及检测器</v>
      </c>
      <c r="C607" s="1" t="str">
        <f t="shared" si="288"/>
        <v>实用新型</v>
      </c>
      <c r="D607" s="1" t="str">
        <f t="shared" si="289"/>
        <v>授权</v>
      </c>
      <c r="E607" s="1" t="str">
        <f>"CN202220187519.5"</f>
        <v>CN202220187519.5</v>
      </c>
      <c r="F607" s="1" t="str">
        <f>"2022-01-24"</f>
        <v>2022-01-24</v>
      </c>
      <c r="G607" s="1" t="str">
        <f>"CN217465990U"</f>
        <v>CN217465990U</v>
      </c>
      <c r="H607" s="1" t="str">
        <f t="shared" si="293"/>
        <v>2022-09-20</v>
      </c>
      <c r="I607" s="1" t="str">
        <f>"杜卓越"</f>
        <v>杜卓越</v>
      </c>
      <c r="J607" s="1" t="str">
        <f t="shared" si="284"/>
        <v>天津科世得润汽车部件有限公司</v>
      </c>
    </row>
    <row r="608" spans="1:10">
      <c r="A608" s="1" t="str">
        <f t="shared" si="282"/>
        <v>天津科世得润汽车部件有限公司</v>
      </c>
      <c r="B608" s="1" t="str">
        <f>"一种3D打印模块"</f>
        <v>一种3D打印模块</v>
      </c>
      <c r="C608" s="1" t="str">
        <f t="shared" si="288"/>
        <v>实用新型</v>
      </c>
      <c r="D608" s="1" t="str">
        <f t="shared" si="289"/>
        <v>授权</v>
      </c>
      <c r="E608" s="1" t="str">
        <f>"CN202221372971.5"</f>
        <v>CN202221372971.5</v>
      </c>
      <c r="F608" s="1" t="str">
        <f>"2022-06-02"</f>
        <v>2022-06-02</v>
      </c>
      <c r="G608" s="1" t="str">
        <f>"CN217456175U"</f>
        <v>CN217456175U</v>
      </c>
      <c r="H608" s="1" t="str">
        <f t="shared" si="293"/>
        <v>2022-09-20</v>
      </c>
      <c r="I608" s="1" t="str">
        <f>"程伟达"</f>
        <v>程伟达</v>
      </c>
      <c r="J608" s="1" t="str">
        <f t="shared" si="284"/>
        <v>天津科世得润汽车部件有限公司</v>
      </c>
    </row>
    <row r="609" spans="1:10">
      <c r="A609" s="1" t="str">
        <f t="shared" si="282"/>
        <v>天津科世得润汽车部件有限公司</v>
      </c>
      <c r="B609" s="1" t="str">
        <f>"一种线束运输载体"</f>
        <v>一种线束运输载体</v>
      </c>
      <c r="C609" s="1" t="str">
        <f t="shared" si="288"/>
        <v>实用新型</v>
      </c>
      <c r="D609" s="1" t="str">
        <f t="shared" si="289"/>
        <v>授权</v>
      </c>
      <c r="E609" s="1" t="str">
        <f>"CN202220187510.4"</f>
        <v>CN202220187510.4</v>
      </c>
      <c r="F609" s="1" t="str">
        <f>"2022-01-24"</f>
        <v>2022-01-24</v>
      </c>
      <c r="G609" s="1" t="str">
        <f>"CN216915945U"</f>
        <v>CN216915945U</v>
      </c>
      <c r="H609" s="1" t="str">
        <f>"2022-07-08"</f>
        <v>2022-07-08</v>
      </c>
      <c r="I609" s="1" t="s">
        <v>4883</v>
      </c>
      <c r="J609" s="1" t="str">
        <f t="shared" si="284"/>
        <v>天津科世得润汽车部件有限公司</v>
      </c>
    </row>
    <row r="610" spans="1:10">
      <c r="A610" s="1" t="str">
        <f t="shared" si="282"/>
        <v>天津科世得润汽车部件有限公司</v>
      </c>
      <c r="B610" s="1" t="str">
        <f>"一种线束插接器密封性检测模块"</f>
        <v>一种线束插接器密封性检测模块</v>
      </c>
      <c r="C610" s="1" t="str">
        <f t="shared" si="288"/>
        <v>实用新型</v>
      </c>
      <c r="D610" s="1" t="str">
        <f t="shared" si="289"/>
        <v>授权</v>
      </c>
      <c r="E610" s="1" t="str">
        <f>"CN202123388205.6"</f>
        <v>CN202123388205.6</v>
      </c>
      <c r="F610" s="1" t="str">
        <f>"2021-12-30"</f>
        <v>2021-12-30</v>
      </c>
      <c r="G610" s="1" t="str">
        <f>"CN216925980U"</f>
        <v>CN216925980U</v>
      </c>
      <c r="H610" s="1" t="str">
        <f>"2022-07-08"</f>
        <v>2022-07-08</v>
      </c>
      <c r="I610" s="1" t="str">
        <f>"杜卓越"</f>
        <v>杜卓越</v>
      </c>
      <c r="J610" s="1" t="str">
        <f t="shared" si="284"/>
        <v>天津科世得润汽车部件有限公司</v>
      </c>
    </row>
    <row r="611" spans="1:10">
      <c r="A611" s="1" t="str">
        <f t="shared" si="282"/>
        <v>天津科世得润汽车部件有限公司</v>
      </c>
      <c r="B611" s="1" t="str">
        <f>"一种易于定位的车用线束"</f>
        <v>一种易于定位的车用线束</v>
      </c>
      <c r="C611" s="1" t="str">
        <f t="shared" si="288"/>
        <v>实用新型</v>
      </c>
      <c r="D611" s="1" t="str">
        <f t="shared" si="289"/>
        <v>授权</v>
      </c>
      <c r="E611" s="1" t="str">
        <f>"CN202021630310.9"</f>
        <v>CN202021630310.9</v>
      </c>
      <c r="F611" s="1" t="str">
        <f t="shared" ref="F611:F619" si="294">"2020-08-07"</f>
        <v>2020-08-07</v>
      </c>
      <c r="G611" s="1" t="str">
        <f>"CN212950468U"</f>
        <v>CN212950468U</v>
      </c>
      <c r="H611" s="1" t="str">
        <f>"2021-04-13"</f>
        <v>2021-04-13</v>
      </c>
      <c r="I611" s="1" t="str">
        <f t="shared" ref="I611:I616" si="295">"张贵阳"</f>
        <v>张贵阳</v>
      </c>
      <c r="J611" s="1" t="str">
        <f t="shared" si="284"/>
        <v>天津科世得润汽车部件有限公司</v>
      </c>
    </row>
    <row r="612" spans="1:10">
      <c r="A612" s="1" t="str">
        <f t="shared" si="282"/>
        <v>天津科世得润汽车部件有限公司</v>
      </c>
      <c r="B612" s="1" t="str">
        <f>"一种带有接口保护装置的专用线束"</f>
        <v>一种带有接口保护装置的专用线束</v>
      </c>
      <c r="C612" s="1" t="str">
        <f t="shared" si="288"/>
        <v>实用新型</v>
      </c>
      <c r="D612" s="1" t="str">
        <f t="shared" ref="D612:D614" si="296">"未缴年费专利权终止"</f>
        <v>未缴年费专利权终止</v>
      </c>
      <c r="E612" s="1" t="str">
        <f>"CN202021630689.3"</f>
        <v>CN202021630689.3</v>
      </c>
      <c r="F612" s="1" t="str">
        <f t="shared" si="294"/>
        <v>2020-08-07</v>
      </c>
      <c r="G612" s="1" t="str">
        <f>"CN212923991U"</f>
        <v>CN212923991U</v>
      </c>
      <c r="H612" s="1" t="str">
        <f>"2021-04-09"</f>
        <v>2021-04-09</v>
      </c>
      <c r="I612" s="1" t="str">
        <f t="shared" ref="I612:I619" si="297">"赵国良"</f>
        <v>赵国良</v>
      </c>
      <c r="J612" s="1" t="str">
        <f t="shared" si="284"/>
        <v>天津科世得润汽车部件有限公司</v>
      </c>
    </row>
    <row r="613" spans="1:10">
      <c r="A613" s="1" t="str">
        <f t="shared" si="282"/>
        <v>天津科世得润汽车部件有限公司</v>
      </c>
      <c r="B613" s="1" t="str">
        <f>"热缩支架"</f>
        <v>热缩支架</v>
      </c>
      <c r="C613" s="1" t="str">
        <f t="shared" si="288"/>
        <v>实用新型</v>
      </c>
      <c r="D613" s="1" t="str">
        <f t="shared" si="296"/>
        <v>未缴年费专利权终止</v>
      </c>
      <c r="E613" s="1" t="str">
        <f>"CN202021631123.2"</f>
        <v>CN202021631123.2</v>
      </c>
      <c r="F613" s="1" t="str">
        <f t="shared" si="294"/>
        <v>2020-08-07</v>
      </c>
      <c r="G613" s="1" t="str">
        <f>"CN212826842U"</f>
        <v>CN212826842U</v>
      </c>
      <c r="H613" s="1" t="str">
        <f>"2021-03-30"</f>
        <v>2021-03-30</v>
      </c>
      <c r="I613" s="1" t="str">
        <f t="shared" si="297"/>
        <v>赵国良</v>
      </c>
      <c r="J613" s="1" t="str">
        <f t="shared" si="284"/>
        <v>天津科世得润汽车部件有限公司</v>
      </c>
    </row>
    <row r="614" spans="1:10">
      <c r="A614" s="1" t="str">
        <f t="shared" si="282"/>
        <v>天津科世得润汽车部件有限公司</v>
      </c>
      <c r="B614" s="1" t="str">
        <f>"一种新型车用线束夹"</f>
        <v>一种新型车用线束夹</v>
      </c>
      <c r="C614" s="1" t="str">
        <f t="shared" si="288"/>
        <v>实用新型</v>
      </c>
      <c r="D614" s="1" t="str">
        <f t="shared" si="296"/>
        <v>未缴年费专利权终止</v>
      </c>
      <c r="E614" s="1" t="str">
        <f>"CN202021630684.0"</f>
        <v>CN202021630684.0</v>
      </c>
      <c r="F614" s="1" t="str">
        <f t="shared" si="294"/>
        <v>2020-08-07</v>
      </c>
      <c r="G614" s="1" t="str">
        <f>"CN212811150U"</f>
        <v>CN212811150U</v>
      </c>
      <c r="H614" s="1" t="str">
        <f>"2021-03-26"</f>
        <v>2021-03-26</v>
      </c>
      <c r="I614" s="1" t="str">
        <f t="shared" si="295"/>
        <v>张贵阳</v>
      </c>
      <c r="J614" s="1" t="str">
        <f t="shared" si="284"/>
        <v>天津科世得润汽车部件有限公司</v>
      </c>
    </row>
    <row r="615" spans="1:10">
      <c r="A615" s="1" t="str">
        <f t="shared" si="282"/>
        <v>天津科世得润汽车部件有限公司</v>
      </c>
      <c r="B615" s="1" t="str">
        <f>"一种连接稳定的车用线束"</f>
        <v>一种连接稳定的车用线束</v>
      </c>
      <c r="C615" s="1" t="str">
        <f t="shared" si="288"/>
        <v>实用新型</v>
      </c>
      <c r="D615" s="1" t="str">
        <f t="shared" ref="D615:D620" si="298">"授权"</f>
        <v>授权</v>
      </c>
      <c r="E615" s="1" t="str">
        <f>"CN202021630029.5"</f>
        <v>CN202021630029.5</v>
      </c>
      <c r="F615" s="1" t="str">
        <f t="shared" si="294"/>
        <v>2020-08-07</v>
      </c>
      <c r="G615" s="1" t="str">
        <f>"CN212810722U"</f>
        <v>CN212810722U</v>
      </c>
      <c r="H615" s="1" t="str">
        <f>"2021-03-26"</f>
        <v>2021-03-26</v>
      </c>
      <c r="I615" s="1" t="str">
        <f t="shared" si="295"/>
        <v>张贵阳</v>
      </c>
      <c r="J615" s="1" t="str">
        <f t="shared" si="284"/>
        <v>天津科世得润汽车部件有限公司</v>
      </c>
    </row>
    <row r="616" spans="1:10">
      <c r="A616" s="1" t="str">
        <f t="shared" si="282"/>
        <v>天津科世得润汽车部件有限公司</v>
      </c>
      <c r="B616" s="1" t="str">
        <f>"一种车用线束固定装置"</f>
        <v>一种车用线束固定装置</v>
      </c>
      <c r="C616" s="1" t="str">
        <f t="shared" si="288"/>
        <v>实用新型</v>
      </c>
      <c r="D616" s="1" t="str">
        <f>"未缴年费专利权终止"</f>
        <v>未缴年费专利权终止</v>
      </c>
      <c r="E616" s="1" t="str">
        <f>"CN202021629291.8"</f>
        <v>CN202021629291.8</v>
      </c>
      <c r="F616" s="1" t="str">
        <f t="shared" si="294"/>
        <v>2020-08-07</v>
      </c>
      <c r="G616" s="1" t="str">
        <f>"CN212726322U"</f>
        <v>CN212726322U</v>
      </c>
      <c r="H616" s="1" t="str">
        <f t="shared" ref="H616:H620" si="299">"2021-03-16"</f>
        <v>2021-03-16</v>
      </c>
      <c r="I616" s="1" t="str">
        <f t="shared" si="295"/>
        <v>张贵阳</v>
      </c>
      <c r="J616" s="1" t="str">
        <f t="shared" si="284"/>
        <v>天津科世得润汽车部件有限公司</v>
      </c>
    </row>
    <row r="617" spans="1:10">
      <c r="A617" s="1" t="str">
        <f t="shared" si="282"/>
        <v>天津科世得润汽车部件有限公司</v>
      </c>
      <c r="B617" s="1" t="str">
        <f>"绞合线定点装置"</f>
        <v>绞合线定点装置</v>
      </c>
      <c r="C617" s="1" t="str">
        <f t="shared" si="288"/>
        <v>实用新型</v>
      </c>
      <c r="D617" s="1" t="str">
        <f t="shared" si="298"/>
        <v>授权</v>
      </c>
      <c r="E617" s="1" t="str">
        <f>"CN202021631133.6"</f>
        <v>CN202021631133.6</v>
      </c>
      <c r="F617" s="1" t="str">
        <f t="shared" si="294"/>
        <v>2020-08-07</v>
      </c>
      <c r="G617" s="1" t="str">
        <f>"CN212724833U"</f>
        <v>CN212724833U</v>
      </c>
      <c r="H617" s="1" t="str">
        <f t="shared" si="299"/>
        <v>2021-03-16</v>
      </c>
      <c r="I617" s="1" t="str">
        <f t="shared" si="297"/>
        <v>赵国良</v>
      </c>
      <c r="J617" s="1" t="str">
        <f t="shared" si="284"/>
        <v>天津科世得润汽车部件有限公司</v>
      </c>
    </row>
    <row r="618" spans="1:10">
      <c r="A618" s="1" t="str">
        <f t="shared" si="282"/>
        <v>天津科世得润汽车部件有限公司</v>
      </c>
      <c r="B618" s="1" t="str">
        <f>"一种耐火汽车专用线束"</f>
        <v>一种耐火汽车专用线束</v>
      </c>
      <c r="C618" s="1" t="str">
        <f t="shared" si="288"/>
        <v>实用新型</v>
      </c>
      <c r="D618" s="1" t="str">
        <f t="shared" si="298"/>
        <v>授权</v>
      </c>
      <c r="E618" s="1" t="str">
        <f>"CN202021632266.5"</f>
        <v>CN202021632266.5</v>
      </c>
      <c r="F618" s="1" t="str">
        <f t="shared" si="294"/>
        <v>2020-08-07</v>
      </c>
      <c r="G618" s="1" t="str">
        <f>"CN212709276U"</f>
        <v>CN212709276U</v>
      </c>
      <c r="H618" s="1" t="str">
        <f t="shared" si="299"/>
        <v>2021-03-16</v>
      </c>
      <c r="I618" s="1" t="str">
        <f t="shared" si="297"/>
        <v>赵国良</v>
      </c>
      <c r="J618" s="1" t="str">
        <f t="shared" si="284"/>
        <v>天津科世得润汽车部件有限公司</v>
      </c>
    </row>
    <row r="619" spans="1:10">
      <c r="A619" s="1" t="str">
        <f t="shared" si="282"/>
        <v>天津科世得润汽车部件有限公司</v>
      </c>
      <c r="B619" s="1" t="str">
        <f>"一种车用线束防水密封件"</f>
        <v>一种车用线束防水密封件</v>
      </c>
      <c r="C619" s="1" t="str">
        <f t="shared" si="288"/>
        <v>实用新型</v>
      </c>
      <c r="D619" s="1" t="str">
        <f t="shared" si="298"/>
        <v>授权</v>
      </c>
      <c r="E619" s="1" t="str">
        <f>"CN202021632471.1"</f>
        <v>CN202021632471.1</v>
      </c>
      <c r="F619" s="1" t="str">
        <f t="shared" si="294"/>
        <v>2020-08-07</v>
      </c>
      <c r="G619" s="1" t="str">
        <f>"CN212709277U"</f>
        <v>CN212709277U</v>
      </c>
      <c r="H619" s="1" t="str">
        <f t="shared" si="299"/>
        <v>2021-03-16</v>
      </c>
      <c r="I619" s="1" t="str">
        <f t="shared" si="297"/>
        <v>赵国良</v>
      </c>
      <c r="J619" s="1" t="str">
        <f t="shared" si="284"/>
        <v>天津科世得润汽车部件有限公司</v>
      </c>
    </row>
    <row r="620" spans="1:10">
      <c r="A620" s="1" t="str">
        <f t="shared" si="282"/>
        <v>天津科世得润汽车部件有限公司</v>
      </c>
      <c r="B620" s="1" t="str">
        <f>"一种带有新型连接端子的车用线束"</f>
        <v>一种带有新型连接端子的车用线束</v>
      </c>
      <c r="C620" s="1" t="str">
        <f t="shared" si="288"/>
        <v>实用新型</v>
      </c>
      <c r="D620" s="1" t="str">
        <f t="shared" si="298"/>
        <v>授权</v>
      </c>
      <c r="E620" s="1" t="str">
        <f>"CN202021643686.3"</f>
        <v>CN202021643686.3</v>
      </c>
      <c r="F620" s="1" t="str">
        <f>"2020-08-10"</f>
        <v>2020-08-10</v>
      </c>
      <c r="G620" s="1" t="str">
        <f>"CN212709278U"</f>
        <v>CN212709278U</v>
      </c>
      <c r="H620" s="1" t="str">
        <f t="shared" si="299"/>
        <v>2021-03-16</v>
      </c>
      <c r="I620" s="1" t="str">
        <f>"张贵阳"</f>
        <v>张贵阳</v>
      </c>
      <c r="J620" s="1" t="str">
        <f t="shared" si="284"/>
        <v>天津科世得润汽车部件有限公司</v>
      </c>
    </row>
    <row r="621" spans="1:10">
      <c r="A621" s="1" t="str">
        <f t="shared" si="282"/>
        <v>天津科世得润汽车部件有限公司</v>
      </c>
      <c r="B621" s="1" t="str">
        <f>"一种汽车线束连接器组装设备的转运装置"</f>
        <v>一种汽车线束连接器组装设备的转运装置</v>
      </c>
      <c r="C621" s="1" t="str">
        <f>"发明授权"</f>
        <v>发明授权</v>
      </c>
      <c r="D621" s="1" t="str">
        <f t="shared" ref="D621:D624" si="300">"未缴年费专利权终止"</f>
        <v>未缴年费专利权终止</v>
      </c>
      <c r="E621" s="1" t="str">
        <f>"CN201910886314.9"</f>
        <v>CN201910886314.9</v>
      </c>
      <c r="F621" s="1" t="str">
        <f>"2019-09-19"</f>
        <v>2019-09-19</v>
      </c>
      <c r="G621" s="1" t="str">
        <f>"CN110571613B"</f>
        <v>CN110571613B</v>
      </c>
      <c r="H621" s="1" t="str">
        <f>"2020-11-03"</f>
        <v>2020-11-03</v>
      </c>
      <c r="I621" s="1" t="s">
        <v>4884</v>
      </c>
      <c r="J621" s="1" t="str">
        <f t="shared" si="284"/>
        <v>天津科世得润汽车部件有限公司</v>
      </c>
    </row>
    <row r="622" spans="1:10">
      <c r="A622" s="1" t="str">
        <f t="shared" ref="A622:A652" si="301">"天津电装电机有限公司"</f>
        <v>天津电装电机有限公司</v>
      </c>
      <c r="B622" s="1" t="str">
        <f>"传动端盖密封圈压入铆接机"</f>
        <v>传动端盖密封圈压入铆接机</v>
      </c>
      <c r="C622" s="1" t="str">
        <f t="shared" ref="C622:C624" si="302">"实用新型"</f>
        <v>实用新型</v>
      </c>
      <c r="D622" s="1" t="str">
        <f t="shared" si="300"/>
        <v>未缴年费专利权终止</v>
      </c>
      <c r="E622" s="1" t="str">
        <f>"CN201320067809.7"</f>
        <v>CN201320067809.7</v>
      </c>
      <c r="F622" s="1" t="str">
        <f>"2013-02-05"</f>
        <v>2013-02-05</v>
      </c>
      <c r="G622" s="1" t="str">
        <f>"CN203076470U"</f>
        <v>CN203076470U</v>
      </c>
      <c r="H622" s="1" t="str">
        <f>"2013-07-24"</f>
        <v>2013-07-24</v>
      </c>
      <c r="I622" s="1" t="str">
        <f>"邓超"</f>
        <v>邓超</v>
      </c>
      <c r="J622" s="1" t="str">
        <f t="shared" ref="J622:J652" si="303">"天津电装电机有限公司"</f>
        <v>天津电装电机有限公司</v>
      </c>
    </row>
    <row r="623" spans="1:10">
      <c r="A623" s="1" t="str">
        <f t="shared" si="301"/>
        <v>天津电装电机有限公司</v>
      </c>
      <c r="B623" s="1" t="str">
        <f>"扩口机"</f>
        <v>扩口机</v>
      </c>
      <c r="C623" s="1" t="str">
        <f t="shared" si="302"/>
        <v>实用新型</v>
      </c>
      <c r="D623" s="1" t="str">
        <f>"期限届满专利权终止"</f>
        <v>期限届满专利权终止</v>
      </c>
      <c r="E623" s="1" t="str">
        <f>"CN201220695196.7"</f>
        <v>CN201220695196.7</v>
      </c>
      <c r="F623" s="1" t="str">
        <f>"2012-12-13"</f>
        <v>2012-12-13</v>
      </c>
      <c r="G623" s="1" t="str">
        <f>"CN202984384U"</f>
        <v>CN202984384U</v>
      </c>
      <c r="H623" s="1" t="str">
        <f>"2013-06-12"</f>
        <v>2013-06-12</v>
      </c>
      <c r="I623" s="1" t="s">
        <v>4885</v>
      </c>
      <c r="J623" s="1" t="str">
        <f t="shared" si="303"/>
        <v>天津电装电机有限公司</v>
      </c>
    </row>
    <row r="624" spans="1:10">
      <c r="A624" s="1" t="str">
        <f t="shared" si="301"/>
        <v>天津电装电机有限公司</v>
      </c>
      <c r="B624" s="1" t="str">
        <f>"焊点视觉检查背景挡板装置"</f>
        <v>焊点视觉检查背景挡板装置</v>
      </c>
      <c r="C624" s="1" t="str">
        <f t="shared" si="302"/>
        <v>实用新型</v>
      </c>
      <c r="D624" s="1" t="str">
        <f t="shared" si="300"/>
        <v>未缴年费专利权终止</v>
      </c>
      <c r="E624" s="1" t="str">
        <f>"CN201220693379.5"</f>
        <v>CN201220693379.5</v>
      </c>
      <c r="F624" s="1" t="str">
        <f>"2012-12-13"</f>
        <v>2012-12-13</v>
      </c>
      <c r="G624" s="1" t="str">
        <f>"CN202994102U"</f>
        <v>CN202994102U</v>
      </c>
      <c r="H624" s="1" t="str">
        <f>"2013-06-12"</f>
        <v>2013-06-12</v>
      </c>
      <c r="I624" s="1" t="s">
        <v>4886</v>
      </c>
      <c r="J624" s="1" t="str">
        <f t="shared" si="303"/>
        <v>天津电装电机有限公司</v>
      </c>
    </row>
    <row r="625" spans="1:10">
      <c r="A625" s="1" t="str">
        <f t="shared" si="301"/>
        <v>天津电装电机有限公司</v>
      </c>
      <c r="B625" s="1" t="str">
        <f>"密封圈压入铆接的方法"</f>
        <v>密封圈压入铆接的方法</v>
      </c>
      <c r="C625" s="1" t="str">
        <f>"发明公布"</f>
        <v>发明公布</v>
      </c>
      <c r="D625" s="1" t="str">
        <f>"公布驳回"</f>
        <v>公布驳回</v>
      </c>
      <c r="E625" s="1" t="str">
        <f>"CN201310046389.9"</f>
        <v>CN201310046389.9</v>
      </c>
      <c r="F625" s="1" t="str">
        <f>"2013-02-05"</f>
        <v>2013-02-05</v>
      </c>
      <c r="G625" s="1" t="str">
        <f>"CN103111830A"</f>
        <v>CN103111830A</v>
      </c>
      <c r="H625" s="1" t="str">
        <f>"2013-05-22"</f>
        <v>2013-05-22</v>
      </c>
      <c r="I625" s="1" t="str">
        <f>"邓超"</f>
        <v>邓超</v>
      </c>
      <c r="J625" s="1" t="str">
        <f t="shared" si="303"/>
        <v>天津电装电机有限公司</v>
      </c>
    </row>
    <row r="626" spans="1:10">
      <c r="A626" s="1" t="str">
        <f t="shared" si="301"/>
        <v>天津电装电机有限公司</v>
      </c>
      <c r="B626" s="1" t="str">
        <f>"铆接加工用快速移动装置"</f>
        <v>铆接加工用快速移动装置</v>
      </c>
      <c r="C626" s="1" t="str">
        <f t="shared" ref="C626:C652" si="304">"实用新型"</f>
        <v>实用新型</v>
      </c>
      <c r="D626" s="1" t="str">
        <f t="shared" ref="D626:D634" si="305">"期限届满专利权终止"</f>
        <v>期限届满专利权终止</v>
      </c>
      <c r="E626" s="1" t="str">
        <f>"CN201220090256.2"</f>
        <v>CN201220090256.2</v>
      </c>
      <c r="F626" s="1" t="str">
        <f>"2012-03-12"</f>
        <v>2012-03-12</v>
      </c>
      <c r="G626" s="1" t="str">
        <f>"CN202461412U"</f>
        <v>CN202461412U</v>
      </c>
      <c r="H626" s="1" t="str">
        <f>"2012-10-03"</f>
        <v>2012-10-03</v>
      </c>
      <c r="I626" s="1" t="s">
        <v>4887</v>
      </c>
      <c r="J626" s="1" t="str">
        <f t="shared" si="303"/>
        <v>天津电装电机有限公司</v>
      </c>
    </row>
    <row r="627" spans="1:10">
      <c r="A627" s="1" t="str">
        <f t="shared" si="301"/>
        <v>天津电装电机有限公司</v>
      </c>
      <c r="B627" s="1" t="str">
        <f>"切屑去除装置"</f>
        <v>切屑去除装置</v>
      </c>
      <c r="C627" s="1" t="str">
        <f t="shared" si="304"/>
        <v>实用新型</v>
      </c>
      <c r="D627" s="1" t="str">
        <f t="shared" ref="D627:D629" si="306">"未缴年费专利权终止"</f>
        <v>未缴年费专利权终止</v>
      </c>
      <c r="E627" s="1" t="str">
        <f>"CN201220089246.7"</f>
        <v>CN201220089246.7</v>
      </c>
      <c r="F627" s="1" t="str">
        <f>"2012-03-12"</f>
        <v>2012-03-12</v>
      </c>
      <c r="G627" s="1" t="str">
        <f>"CN202462147U"</f>
        <v>CN202462147U</v>
      </c>
      <c r="H627" s="1" t="str">
        <f>"2012-10-03"</f>
        <v>2012-10-03</v>
      </c>
      <c r="I627" s="1" t="s">
        <v>4888</v>
      </c>
      <c r="J627" s="1" t="str">
        <f t="shared" si="303"/>
        <v>天津电装电机有限公司</v>
      </c>
    </row>
    <row r="628" spans="1:10">
      <c r="A628" s="1" t="str">
        <f t="shared" si="301"/>
        <v>天津电装电机有限公司</v>
      </c>
      <c r="B628" s="1" t="str">
        <f>"TIG焊接熔点外观自动检查装置"</f>
        <v>TIG焊接熔点外观自动检查装置</v>
      </c>
      <c r="C628" s="1" t="str">
        <f t="shared" si="304"/>
        <v>实用新型</v>
      </c>
      <c r="D628" s="1" t="str">
        <f t="shared" si="306"/>
        <v>未缴年费专利权终止</v>
      </c>
      <c r="E628" s="1" t="str">
        <f>"CN201120282891.6"</f>
        <v>CN201120282891.6</v>
      </c>
      <c r="F628" s="1" t="str">
        <f t="shared" ref="F628:F636" si="307">"2011-08-05"</f>
        <v>2011-08-05</v>
      </c>
      <c r="G628" s="1" t="str">
        <f>"CN202212682U"</f>
        <v>CN202212682U</v>
      </c>
      <c r="H628" s="1" t="str">
        <f>"2012-05-09"</f>
        <v>2012-05-09</v>
      </c>
      <c r="I628" s="1" t="s">
        <v>4889</v>
      </c>
      <c r="J628" s="1" t="str">
        <f t="shared" si="303"/>
        <v>天津电装电机有限公司</v>
      </c>
    </row>
    <row r="629" spans="1:10">
      <c r="A629" s="1" t="str">
        <f t="shared" si="301"/>
        <v>天津电装电机有限公司</v>
      </c>
      <c r="B629" s="1" t="str">
        <f>"具有自动检测压装间隙机构的压装机"</f>
        <v>具有自动检测压装间隙机构的压装机</v>
      </c>
      <c r="C629" s="1" t="str">
        <f t="shared" si="304"/>
        <v>实用新型</v>
      </c>
      <c r="D629" s="1" t="str">
        <f t="shared" si="306"/>
        <v>未缴年费专利权终止</v>
      </c>
      <c r="E629" s="1" t="str">
        <f>"CN201120283059.8"</f>
        <v>CN201120283059.8</v>
      </c>
      <c r="F629" s="1" t="str">
        <f t="shared" si="307"/>
        <v>2011-08-05</v>
      </c>
      <c r="G629" s="1" t="str">
        <f>"CN202200013U"</f>
        <v>CN202200013U</v>
      </c>
      <c r="H629" s="1" t="str">
        <f t="shared" ref="H629:H633" si="308">"2012-04-25"</f>
        <v>2012-04-25</v>
      </c>
      <c r="I629" s="1" t="s">
        <v>4890</v>
      </c>
      <c r="J629" s="1" t="str">
        <f t="shared" si="303"/>
        <v>天津电装电机有限公司</v>
      </c>
    </row>
    <row r="630" spans="1:10">
      <c r="A630" s="1" t="str">
        <f t="shared" si="301"/>
        <v>天津电装电机有限公司</v>
      </c>
      <c r="B630" s="1" t="str">
        <f>"压装机压头"</f>
        <v>压装机压头</v>
      </c>
      <c r="C630" s="1" t="str">
        <f t="shared" si="304"/>
        <v>实用新型</v>
      </c>
      <c r="D630" s="1" t="str">
        <f t="shared" si="305"/>
        <v>期限届满专利权终止</v>
      </c>
      <c r="E630" s="1" t="str">
        <f>"CN201120283056.4"</f>
        <v>CN201120283056.4</v>
      </c>
      <c r="F630" s="1" t="str">
        <f t="shared" si="307"/>
        <v>2011-08-05</v>
      </c>
      <c r="G630" s="1" t="str">
        <f>"CN202200006U"</f>
        <v>CN202200006U</v>
      </c>
      <c r="H630" s="1" t="str">
        <f t="shared" si="308"/>
        <v>2012-04-25</v>
      </c>
      <c r="I630" s="1" t="s">
        <v>4891</v>
      </c>
      <c r="J630" s="1" t="str">
        <f t="shared" si="303"/>
        <v>天津电装电机有限公司</v>
      </c>
    </row>
    <row r="631" spans="1:10">
      <c r="A631" s="1" t="str">
        <f t="shared" si="301"/>
        <v>天津电装电机有限公司</v>
      </c>
      <c r="B631" s="1" t="str">
        <f>"用于多个部件同时压装的工具"</f>
        <v>用于多个部件同时压装的工具</v>
      </c>
      <c r="C631" s="1" t="str">
        <f t="shared" si="304"/>
        <v>实用新型</v>
      </c>
      <c r="D631" s="1" t="str">
        <f t="shared" si="305"/>
        <v>期限届满专利权终止</v>
      </c>
      <c r="E631" s="1" t="str">
        <f>"CN201120282895.4"</f>
        <v>CN201120282895.4</v>
      </c>
      <c r="F631" s="1" t="str">
        <f t="shared" si="307"/>
        <v>2011-08-05</v>
      </c>
      <c r="G631" s="1" t="str">
        <f>"CN202200005U"</f>
        <v>CN202200005U</v>
      </c>
      <c r="H631" s="1" t="str">
        <f t="shared" si="308"/>
        <v>2012-04-25</v>
      </c>
      <c r="I631" s="1" t="s">
        <v>4892</v>
      </c>
      <c r="J631" s="1" t="str">
        <f t="shared" si="303"/>
        <v>天津电装电机有限公司</v>
      </c>
    </row>
    <row r="632" spans="1:10">
      <c r="A632" s="1" t="str">
        <f t="shared" si="301"/>
        <v>天津电装电机有限公司</v>
      </c>
      <c r="B632" s="1" t="str">
        <f>"软线整形装置"</f>
        <v>软线整形装置</v>
      </c>
      <c r="C632" s="1" t="str">
        <f t="shared" si="304"/>
        <v>实用新型</v>
      </c>
      <c r="D632" s="1" t="str">
        <f t="shared" si="305"/>
        <v>期限届满专利权终止</v>
      </c>
      <c r="E632" s="1" t="str">
        <f>"CN201120282893.5"</f>
        <v>CN201120282893.5</v>
      </c>
      <c r="F632" s="1" t="str">
        <f t="shared" si="307"/>
        <v>2011-08-05</v>
      </c>
      <c r="G632" s="1" t="str">
        <f>"CN202199701U"</f>
        <v>CN202199701U</v>
      </c>
      <c r="H632" s="1" t="str">
        <f t="shared" si="308"/>
        <v>2012-04-25</v>
      </c>
      <c r="I632" s="1" t="s">
        <v>4885</v>
      </c>
      <c r="J632" s="1" t="str">
        <f t="shared" si="303"/>
        <v>天津电装电机有限公司</v>
      </c>
    </row>
    <row r="633" spans="1:10">
      <c r="A633" s="1" t="str">
        <f t="shared" si="301"/>
        <v>天津电装电机有限公司</v>
      </c>
      <c r="B633" s="1" t="str">
        <f>"快速切换工装"</f>
        <v>快速切换工装</v>
      </c>
      <c r="C633" s="1" t="str">
        <f t="shared" si="304"/>
        <v>实用新型</v>
      </c>
      <c r="D633" s="1" t="str">
        <f t="shared" si="305"/>
        <v>期限届满专利权终止</v>
      </c>
      <c r="E633" s="1" t="str">
        <f>"CN201120283058.3"</f>
        <v>CN201120283058.3</v>
      </c>
      <c r="F633" s="1" t="str">
        <f t="shared" si="307"/>
        <v>2011-08-05</v>
      </c>
      <c r="G633" s="1" t="str">
        <f>"CN202200054U"</f>
        <v>CN202200054U</v>
      </c>
      <c r="H633" s="1" t="str">
        <f t="shared" si="308"/>
        <v>2012-04-25</v>
      </c>
      <c r="I633" s="1" t="str">
        <f>"李淑苹"</f>
        <v>李淑苹</v>
      </c>
      <c r="J633" s="1" t="str">
        <f t="shared" si="303"/>
        <v>天津电装电机有限公司</v>
      </c>
    </row>
    <row r="634" spans="1:10">
      <c r="A634" s="1" t="str">
        <f t="shared" si="301"/>
        <v>天津电装电机有限公司</v>
      </c>
      <c r="B634" s="1" t="str">
        <f>"用于同时组装工件的工具"</f>
        <v>用于同时组装工件的工具</v>
      </c>
      <c r="C634" s="1" t="str">
        <f t="shared" si="304"/>
        <v>实用新型</v>
      </c>
      <c r="D634" s="1" t="str">
        <f t="shared" si="305"/>
        <v>期限届满专利权终止</v>
      </c>
      <c r="E634" s="1" t="str">
        <f>"CN201120282894.X"</f>
        <v>CN201120282894.X</v>
      </c>
      <c r="F634" s="1" t="str">
        <f t="shared" si="307"/>
        <v>2011-08-05</v>
      </c>
      <c r="G634" s="1" t="str">
        <f>"CN202162757U"</f>
        <v>CN202162757U</v>
      </c>
      <c r="H634" s="1" t="str">
        <f t="shared" ref="H634:H636" si="309">"2012-03-14"</f>
        <v>2012-03-14</v>
      </c>
      <c r="I634" s="1" t="s">
        <v>4892</v>
      </c>
      <c r="J634" s="1" t="str">
        <f t="shared" si="303"/>
        <v>天津电装电机有限公司</v>
      </c>
    </row>
    <row r="635" spans="1:10">
      <c r="A635" s="1" t="str">
        <f t="shared" si="301"/>
        <v>天津电装电机有限公司</v>
      </c>
      <c r="B635" s="1" t="str">
        <f>"垫片上料装置"</f>
        <v>垫片上料装置</v>
      </c>
      <c r="C635" s="1" t="str">
        <f t="shared" si="304"/>
        <v>实用新型</v>
      </c>
      <c r="D635" s="1" t="str">
        <f t="shared" ref="D635:D639" si="310">"未缴年费专利权终止"</f>
        <v>未缴年费专利权终止</v>
      </c>
      <c r="E635" s="1" t="str">
        <f>"CN201120282892.0"</f>
        <v>CN201120282892.0</v>
      </c>
      <c r="F635" s="1" t="str">
        <f t="shared" si="307"/>
        <v>2011-08-05</v>
      </c>
      <c r="G635" s="1" t="str">
        <f>"CN202163892U"</f>
        <v>CN202163892U</v>
      </c>
      <c r="H635" s="1" t="str">
        <f t="shared" si="309"/>
        <v>2012-03-14</v>
      </c>
      <c r="I635" s="1" t="s">
        <v>4891</v>
      </c>
      <c r="J635" s="1" t="str">
        <f t="shared" si="303"/>
        <v>天津电装电机有限公司</v>
      </c>
    </row>
    <row r="636" spans="1:10">
      <c r="A636" s="1" t="str">
        <f t="shared" si="301"/>
        <v>天津电装电机有限公司</v>
      </c>
      <c r="B636" s="1" t="str">
        <f>"工件综合检查机"</f>
        <v>工件综合检查机</v>
      </c>
      <c r="C636" s="1" t="str">
        <f t="shared" si="304"/>
        <v>实用新型</v>
      </c>
      <c r="D636" s="1" t="str">
        <f t="shared" ref="D636:D643" si="311">"期限届满专利权终止"</f>
        <v>期限届满专利权终止</v>
      </c>
      <c r="E636" s="1" t="str">
        <f>"CN201120283060.0"</f>
        <v>CN201120283060.0</v>
      </c>
      <c r="F636" s="1" t="str">
        <f t="shared" si="307"/>
        <v>2011-08-05</v>
      </c>
      <c r="G636" s="1" t="str">
        <f>"CN202166412U"</f>
        <v>CN202166412U</v>
      </c>
      <c r="H636" s="1" t="str">
        <f t="shared" si="309"/>
        <v>2012-03-14</v>
      </c>
      <c r="I636" s="1" t="s">
        <v>4885</v>
      </c>
      <c r="J636" s="1" t="str">
        <f t="shared" si="303"/>
        <v>天津电装电机有限公司</v>
      </c>
    </row>
    <row r="637" spans="1:10">
      <c r="A637" s="1" t="str">
        <f t="shared" si="301"/>
        <v>天津电装电机有限公司</v>
      </c>
      <c r="B637" s="1" t="str">
        <f>"用于万能工具磨床的砂轮接长杆"</f>
        <v>用于万能工具磨床的砂轮接长杆</v>
      </c>
      <c r="C637" s="1" t="str">
        <f t="shared" si="304"/>
        <v>实用新型</v>
      </c>
      <c r="D637" s="1" t="str">
        <f t="shared" si="311"/>
        <v>期限届满专利权终止</v>
      </c>
      <c r="E637" s="1" t="str">
        <f>"CN201020516215.6"</f>
        <v>CN201020516215.6</v>
      </c>
      <c r="F637" s="1" t="str">
        <f t="shared" ref="F637:F640" si="312">"2010-09-03"</f>
        <v>2010-09-03</v>
      </c>
      <c r="G637" s="1" t="str">
        <f>"CN201824223U"</f>
        <v>CN201824223U</v>
      </c>
      <c r="H637" s="1" t="str">
        <f>"2011-05-11"</f>
        <v>2011-05-11</v>
      </c>
      <c r="I637" s="1" t="str">
        <f>"李津"</f>
        <v>李津</v>
      </c>
      <c r="J637" s="1" t="str">
        <f t="shared" si="303"/>
        <v>天津电装电机有限公司</v>
      </c>
    </row>
    <row r="638" spans="1:10">
      <c r="A638" s="1" t="str">
        <f t="shared" si="301"/>
        <v>天津电装电机有限公司</v>
      </c>
      <c r="B638" s="1" t="str">
        <f>"用于过盈配合挡盖工件的组装工具"</f>
        <v>用于过盈配合挡盖工件的组装工具</v>
      </c>
      <c r="C638" s="1" t="str">
        <f t="shared" si="304"/>
        <v>实用新型</v>
      </c>
      <c r="D638" s="1" t="str">
        <f t="shared" si="310"/>
        <v>未缴年费专利权终止</v>
      </c>
      <c r="E638" s="1" t="str">
        <f>"CN201020516229.8"</f>
        <v>CN201020516229.8</v>
      </c>
      <c r="F638" s="1" t="str">
        <f t="shared" si="312"/>
        <v>2010-09-03</v>
      </c>
      <c r="G638" s="1" t="str">
        <f>"CN201808018U"</f>
        <v>CN201808018U</v>
      </c>
      <c r="H638" s="1" t="str">
        <f>"2011-04-27"</f>
        <v>2011-04-27</v>
      </c>
      <c r="I638" s="1" t="s">
        <v>4892</v>
      </c>
      <c r="J638" s="1" t="str">
        <f t="shared" si="303"/>
        <v>天津电装电机有限公司</v>
      </c>
    </row>
    <row r="639" spans="1:10">
      <c r="A639" s="1" t="str">
        <f t="shared" si="301"/>
        <v>天津电装电机有限公司</v>
      </c>
      <c r="B639" s="1" t="str">
        <f>"粉体自动输送及注入装置"</f>
        <v>粉体自动输送及注入装置</v>
      </c>
      <c r="C639" s="1" t="str">
        <f t="shared" si="304"/>
        <v>实用新型</v>
      </c>
      <c r="D639" s="1" t="str">
        <f t="shared" si="310"/>
        <v>未缴年费专利权终止</v>
      </c>
      <c r="E639" s="1" t="str">
        <f>"CN201020516212.2"</f>
        <v>CN201020516212.2</v>
      </c>
      <c r="F639" s="1" t="str">
        <f t="shared" si="312"/>
        <v>2010-09-03</v>
      </c>
      <c r="G639" s="1" t="str">
        <f>"CN201768663U"</f>
        <v>CN201768663U</v>
      </c>
      <c r="H639" s="1" t="str">
        <f>"2011-03-23"</f>
        <v>2011-03-23</v>
      </c>
      <c r="I639" s="1" t="s">
        <v>4892</v>
      </c>
      <c r="J639" s="1" t="str">
        <f t="shared" si="303"/>
        <v>天津电装电机有限公司</v>
      </c>
    </row>
    <row r="640" spans="1:10">
      <c r="A640" s="1" t="str">
        <f t="shared" si="301"/>
        <v>天津电装电机有限公司</v>
      </c>
      <c r="B640" s="1" t="str">
        <f>"一种自动台式工件吹干机"</f>
        <v>一种自动台式工件吹干机</v>
      </c>
      <c r="C640" s="1" t="str">
        <f t="shared" si="304"/>
        <v>实用新型</v>
      </c>
      <c r="D640" s="1" t="str">
        <f t="shared" si="311"/>
        <v>期限届满专利权终止</v>
      </c>
      <c r="E640" s="1" t="str">
        <f>"CN201020516235.3"</f>
        <v>CN201020516235.3</v>
      </c>
      <c r="F640" s="1" t="str">
        <f t="shared" si="312"/>
        <v>2010-09-03</v>
      </c>
      <c r="G640" s="1" t="str">
        <f>"CN201772707U"</f>
        <v>CN201772707U</v>
      </c>
      <c r="H640" s="1" t="str">
        <f>"2011-03-23"</f>
        <v>2011-03-23</v>
      </c>
      <c r="I640" s="1" t="str">
        <f>"邓超"</f>
        <v>邓超</v>
      </c>
      <c r="J640" s="1" t="str">
        <f t="shared" si="303"/>
        <v>天津电装电机有限公司</v>
      </c>
    </row>
    <row r="641" spans="1:10">
      <c r="A641" s="1" t="str">
        <f t="shared" si="301"/>
        <v>天津电装电机有限公司</v>
      </c>
      <c r="B641" s="1" t="str">
        <f>"挡圈横向压装机"</f>
        <v>挡圈横向压装机</v>
      </c>
      <c r="C641" s="1" t="str">
        <f t="shared" si="304"/>
        <v>实用新型</v>
      </c>
      <c r="D641" s="1" t="str">
        <f t="shared" si="311"/>
        <v>期限届满专利权终止</v>
      </c>
      <c r="E641" s="1" t="str">
        <f>"CN200820145081.4"</f>
        <v>CN200820145081.4</v>
      </c>
      <c r="F641" s="1" t="str">
        <f t="shared" ref="F641:F650" si="313">"2008-12-30"</f>
        <v>2008-12-30</v>
      </c>
      <c r="G641" s="1" t="str">
        <f>"CN201329485"</f>
        <v>CN201329485</v>
      </c>
      <c r="H641" s="1" t="str">
        <f t="shared" ref="H641:H645" si="314">"2009-10-21"</f>
        <v>2009-10-21</v>
      </c>
      <c r="I641" s="1" t="str">
        <f t="shared" ref="I641:I643" si="315">"王晶"</f>
        <v>王晶</v>
      </c>
      <c r="J641" s="1" t="str">
        <f t="shared" si="303"/>
        <v>天津电装电机有限公司</v>
      </c>
    </row>
    <row r="642" spans="1:10">
      <c r="A642" s="1" t="str">
        <f t="shared" si="301"/>
        <v>天津电装电机有限公司</v>
      </c>
      <c r="B642" s="1" t="str">
        <f>"弹簧整形机"</f>
        <v>弹簧整形机</v>
      </c>
      <c r="C642" s="1" t="str">
        <f t="shared" si="304"/>
        <v>实用新型</v>
      </c>
      <c r="D642" s="1" t="str">
        <f t="shared" si="311"/>
        <v>期限届满专利权终止</v>
      </c>
      <c r="E642" s="1" t="str">
        <f>"CN200820145084.8"</f>
        <v>CN200820145084.8</v>
      </c>
      <c r="F642" s="1" t="str">
        <f t="shared" si="313"/>
        <v>2008-12-30</v>
      </c>
      <c r="G642" s="1" t="str">
        <f>"CN201332339"</f>
        <v>CN201332339</v>
      </c>
      <c r="H642" s="1" t="str">
        <f t="shared" si="314"/>
        <v>2009-10-21</v>
      </c>
      <c r="I642" s="1" t="str">
        <f t="shared" si="315"/>
        <v>王晶</v>
      </c>
      <c r="J642" s="1" t="str">
        <f t="shared" si="303"/>
        <v>天津电装电机有限公司</v>
      </c>
    </row>
    <row r="643" spans="1:10">
      <c r="A643" s="1" t="str">
        <f t="shared" si="301"/>
        <v>天津电装电机有限公司</v>
      </c>
      <c r="B643" s="1" t="str">
        <f>"传动轴涂油及安装垫片机"</f>
        <v>传动轴涂油及安装垫片机</v>
      </c>
      <c r="C643" s="1" t="str">
        <f t="shared" si="304"/>
        <v>实用新型</v>
      </c>
      <c r="D643" s="1" t="str">
        <f t="shared" si="311"/>
        <v>期限届满专利权终止</v>
      </c>
      <c r="E643" s="1" t="str">
        <f>"CN200820145083.3"</f>
        <v>CN200820145083.3</v>
      </c>
      <c r="F643" s="1" t="str">
        <f t="shared" si="313"/>
        <v>2008-12-30</v>
      </c>
      <c r="G643" s="1" t="str">
        <f>"CN201329495"</f>
        <v>CN201329495</v>
      </c>
      <c r="H643" s="1" t="str">
        <f t="shared" si="314"/>
        <v>2009-10-21</v>
      </c>
      <c r="I643" s="1" t="str">
        <f t="shared" si="315"/>
        <v>王晶</v>
      </c>
      <c r="J643" s="1" t="str">
        <f t="shared" si="303"/>
        <v>天津电装电机有限公司</v>
      </c>
    </row>
    <row r="644" spans="1:10">
      <c r="A644" s="1" t="str">
        <f t="shared" si="301"/>
        <v>天津电装电机有限公司</v>
      </c>
      <c r="B644" s="1" t="str">
        <f>"启动机传动机构总成传动轴挡圈回打装置"</f>
        <v>启动机传动机构总成传动轴挡圈回打装置</v>
      </c>
      <c r="C644" s="1" t="str">
        <f t="shared" si="304"/>
        <v>实用新型</v>
      </c>
      <c r="D644" s="1" t="str">
        <f>"未缴年费专利权终止"</f>
        <v>未缴年费专利权终止</v>
      </c>
      <c r="E644" s="1" t="str">
        <f>"CN200820145080.X"</f>
        <v>CN200820145080.X</v>
      </c>
      <c r="F644" s="1" t="str">
        <f t="shared" si="313"/>
        <v>2008-12-30</v>
      </c>
      <c r="G644" s="1" t="str">
        <f>"CN201329484"</f>
        <v>CN201329484</v>
      </c>
      <c r="H644" s="1" t="str">
        <f t="shared" si="314"/>
        <v>2009-10-21</v>
      </c>
      <c r="I644" s="1" t="str">
        <f t="shared" ref="I644:I648" si="316">"李红利"</f>
        <v>李红利</v>
      </c>
      <c r="J644" s="1" t="str">
        <f t="shared" si="303"/>
        <v>天津电装电机有限公司</v>
      </c>
    </row>
    <row r="645" spans="1:10">
      <c r="A645" s="1" t="str">
        <f t="shared" si="301"/>
        <v>天津电装电机有限公司</v>
      </c>
      <c r="B645" s="1" t="str">
        <f>"电枢刷盖组装机"</f>
        <v>电枢刷盖组装机</v>
      </c>
      <c r="C645" s="1" t="str">
        <f t="shared" si="304"/>
        <v>实用新型</v>
      </c>
      <c r="D645" s="1" t="str">
        <f t="shared" ref="D645:D650" si="317">"期限届满专利权终止"</f>
        <v>期限届满专利权终止</v>
      </c>
      <c r="E645" s="1" t="str">
        <f>"CN200820145079.7"</f>
        <v>CN200820145079.7</v>
      </c>
      <c r="F645" s="1" t="str">
        <f t="shared" si="313"/>
        <v>2008-12-30</v>
      </c>
      <c r="G645" s="1" t="str">
        <f>"CN201332335"</f>
        <v>CN201332335</v>
      </c>
      <c r="H645" s="1" t="str">
        <f t="shared" si="314"/>
        <v>2009-10-21</v>
      </c>
      <c r="I645" s="1" t="str">
        <f t="shared" ref="I645:I650" si="318">"王晶"</f>
        <v>王晶</v>
      </c>
      <c r="J645" s="1" t="str">
        <f t="shared" si="303"/>
        <v>天津电装电机有限公司</v>
      </c>
    </row>
    <row r="646" spans="1:10">
      <c r="A646" s="1" t="str">
        <f t="shared" si="301"/>
        <v>天津电装电机有限公司</v>
      </c>
      <c r="B646" s="1" t="str">
        <f>"螺钉拧装机"</f>
        <v>螺钉拧装机</v>
      </c>
      <c r="C646" s="1" t="str">
        <f t="shared" si="304"/>
        <v>实用新型</v>
      </c>
      <c r="D646" s="1" t="str">
        <f t="shared" si="317"/>
        <v>期限届满专利权终止</v>
      </c>
      <c r="E646" s="1" t="str">
        <f>"CN200820145086.7"</f>
        <v>CN200820145086.7</v>
      </c>
      <c r="F646" s="1" t="str">
        <f t="shared" si="313"/>
        <v>2008-12-30</v>
      </c>
      <c r="G646" s="1" t="str">
        <f>"CN201324936"</f>
        <v>CN201324936</v>
      </c>
      <c r="H646" s="1" t="str">
        <f>"2009-10-14"</f>
        <v>2009-10-14</v>
      </c>
      <c r="I646" s="1" t="str">
        <f t="shared" si="318"/>
        <v>王晶</v>
      </c>
      <c r="J646" s="1" t="str">
        <f t="shared" si="303"/>
        <v>天津电装电机有限公司</v>
      </c>
    </row>
    <row r="647" spans="1:10">
      <c r="A647" s="1" t="str">
        <f t="shared" si="301"/>
        <v>天津电装电机有限公司</v>
      </c>
      <c r="B647" s="1" t="str">
        <f>"起动机定子压印工装"</f>
        <v>起动机定子压印工装</v>
      </c>
      <c r="C647" s="1" t="str">
        <f t="shared" si="304"/>
        <v>实用新型</v>
      </c>
      <c r="D647" s="1" t="str">
        <f t="shared" ref="D647:D652" si="319">"未缴年费专利权终止"</f>
        <v>未缴年费专利权终止</v>
      </c>
      <c r="E647" s="1" t="str">
        <f>"CN200820145078.2"</f>
        <v>CN200820145078.2</v>
      </c>
      <c r="F647" s="1" t="str">
        <f t="shared" si="313"/>
        <v>2008-12-30</v>
      </c>
      <c r="G647" s="1" t="str">
        <f>"CN201323508"</f>
        <v>CN201323508</v>
      </c>
      <c r="H647" s="1" t="str">
        <f>"2009-10-07"</f>
        <v>2009-10-07</v>
      </c>
      <c r="I647" s="1" t="str">
        <f t="shared" si="316"/>
        <v>李红利</v>
      </c>
      <c r="J647" s="1" t="str">
        <f t="shared" si="303"/>
        <v>天津电装电机有限公司</v>
      </c>
    </row>
    <row r="648" spans="1:10">
      <c r="A648" s="1" t="str">
        <f t="shared" si="301"/>
        <v>天津电装电机有限公司</v>
      </c>
      <c r="B648" s="1" t="str">
        <f>"起动机定子绝缘衬垫组装机"</f>
        <v>起动机定子绝缘衬垫组装机</v>
      </c>
      <c r="C648" s="1" t="str">
        <f t="shared" si="304"/>
        <v>实用新型</v>
      </c>
      <c r="D648" s="1" t="str">
        <f t="shared" si="317"/>
        <v>期限届满专利权终止</v>
      </c>
      <c r="E648" s="1" t="str">
        <f>"CN200820145059.X"</f>
        <v>CN200820145059.X</v>
      </c>
      <c r="F648" s="1" t="str">
        <f t="shared" si="313"/>
        <v>2008-12-30</v>
      </c>
      <c r="G648" s="1" t="str">
        <f>"CN201307817"</f>
        <v>CN201307817</v>
      </c>
      <c r="H648" s="1" t="str">
        <f>"2009-09-09"</f>
        <v>2009-09-09</v>
      </c>
      <c r="I648" s="1" t="str">
        <f t="shared" si="316"/>
        <v>李红利</v>
      </c>
      <c r="J648" s="1" t="str">
        <f t="shared" si="303"/>
        <v>天津电装电机有限公司</v>
      </c>
    </row>
    <row r="649" spans="1:10">
      <c r="A649" s="1" t="str">
        <f t="shared" si="301"/>
        <v>天津电装电机有限公司</v>
      </c>
      <c r="B649" s="1" t="str">
        <f>"垫片自动推出装置"</f>
        <v>垫片自动推出装置</v>
      </c>
      <c r="C649" s="1" t="str">
        <f t="shared" si="304"/>
        <v>实用新型</v>
      </c>
      <c r="D649" s="1" t="str">
        <f t="shared" si="317"/>
        <v>期限届满专利权终止</v>
      </c>
      <c r="E649" s="1" t="str">
        <f>"CN200820145085.2"</f>
        <v>CN200820145085.2</v>
      </c>
      <c r="F649" s="1" t="str">
        <f t="shared" si="313"/>
        <v>2008-12-30</v>
      </c>
      <c r="G649" s="1" t="str">
        <f>"CN201296539"</f>
        <v>CN201296539</v>
      </c>
      <c r="H649" s="1" t="str">
        <f>"2009-08-26"</f>
        <v>2009-08-26</v>
      </c>
      <c r="I649" s="1" t="str">
        <f>"李淑苹"</f>
        <v>李淑苹</v>
      </c>
      <c r="J649" s="1" t="str">
        <f t="shared" si="303"/>
        <v>天津电装电机有限公司</v>
      </c>
    </row>
    <row r="650" spans="1:10">
      <c r="A650" s="1" t="str">
        <f t="shared" si="301"/>
        <v>天津电装电机有限公司</v>
      </c>
      <c r="B650" s="1" t="str">
        <f>"C型卡圈压入机"</f>
        <v>C型卡圈压入机</v>
      </c>
      <c r="C650" s="1" t="str">
        <f t="shared" si="304"/>
        <v>实用新型</v>
      </c>
      <c r="D650" s="1" t="str">
        <f t="shared" si="317"/>
        <v>期限届满专利权终止</v>
      </c>
      <c r="E650" s="1" t="str">
        <f>"CN200820145082.9"</f>
        <v>CN200820145082.9</v>
      </c>
      <c r="F650" s="1" t="str">
        <f t="shared" si="313"/>
        <v>2008-12-30</v>
      </c>
      <c r="G650" s="1" t="str">
        <f>"CN201279669"</f>
        <v>CN201279669</v>
      </c>
      <c r="H650" s="1" t="str">
        <f>"2009-07-29"</f>
        <v>2009-07-29</v>
      </c>
      <c r="I650" s="1" t="str">
        <f t="shared" si="318"/>
        <v>王晶</v>
      </c>
      <c r="J650" s="1" t="str">
        <f t="shared" si="303"/>
        <v>天津电装电机有限公司</v>
      </c>
    </row>
    <row r="651" spans="1:10">
      <c r="A651" s="1" t="str">
        <f t="shared" si="301"/>
        <v>天津电装电机有限公司</v>
      </c>
      <c r="B651" s="1" t="str">
        <f>"嵌线机"</f>
        <v>嵌线机</v>
      </c>
      <c r="C651" s="1" t="str">
        <f t="shared" si="304"/>
        <v>实用新型</v>
      </c>
      <c r="D651" s="1" t="str">
        <f t="shared" si="319"/>
        <v>未缴年费专利权终止</v>
      </c>
      <c r="E651" s="1" t="str">
        <f>"CN200720098933.4"</f>
        <v>CN200720098933.4</v>
      </c>
      <c r="F651" s="1" t="str">
        <f>"2007-12-14"</f>
        <v>2007-12-14</v>
      </c>
      <c r="G651" s="1" t="str">
        <f>"CN201138774"</f>
        <v>CN201138774</v>
      </c>
      <c r="H651" s="1" t="str">
        <f>"2008-10-22"</f>
        <v>2008-10-22</v>
      </c>
      <c r="I651" s="1" t="str">
        <f>"于扬"</f>
        <v>于扬</v>
      </c>
      <c r="J651" s="1" t="str">
        <f t="shared" si="303"/>
        <v>天津电装电机有限公司</v>
      </c>
    </row>
    <row r="652" spans="1:10">
      <c r="A652" s="1" t="str">
        <f t="shared" si="301"/>
        <v>天津电装电机有限公司</v>
      </c>
      <c r="B652" s="1" t="str">
        <f>"自动剪线机"</f>
        <v>自动剪线机</v>
      </c>
      <c r="C652" s="1" t="str">
        <f t="shared" si="304"/>
        <v>实用新型</v>
      </c>
      <c r="D652" s="1" t="str">
        <f t="shared" si="319"/>
        <v>未缴年费专利权终止</v>
      </c>
      <c r="E652" s="1" t="str">
        <f>"CN200720098932.X"</f>
        <v>CN200720098932.X</v>
      </c>
      <c r="F652" s="1" t="str">
        <f>"2007-12-14"</f>
        <v>2007-12-14</v>
      </c>
      <c r="G652" s="1" t="str">
        <f>"CN201136032"</f>
        <v>CN201136032</v>
      </c>
      <c r="H652" s="1" t="str">
        <f>"2008-10-22"</f>
        <v>2008-10-22</v>
      </c>
      <c r="I652" s="1" t="str">
        <f>"李红利"</f>
        <v>李红利</v>
      </c>
      <c r="J652" s="1" t="str">
        <f t="shared" si="303"/>
        <v>天津电装电机有限公司</v>
      </c>
    </row>
    <row r="653" spans="1:10">
      <c r="A653" s="1" t="str">
        <f>"利富高（天津）精密树脂制品有限公司"</f>
        <v>利富高（天津）精密树脂制品有限公司</v>
      </c>
      <c r="B653" s="1" t="str">
        <f>"覆盖物卡定用夹具"</f>
        <v>覆盖物卡定用夹具</v>
      </c>
      <c r="C653" s="1" t="str">
        <f>"发明授权"</f>
        <v>发明授权</v>
      </c>
      <c r="D653" s="1" t="str">
        <f t="shared" ref="D653:D657" si="320">"授权"</f>
        <v>授权</v>
      </c>
      <c r="E653" s="1" t="str">
        <f>"CN201810150789.7"</f>
        <v>CN201810150789.7</v>
      </c>
      <c r="F653" s="1" t="str">
        <f>"2018-02-13"</f>
        <v>2018-02-13</v>
      </c>
      <c r="G653" s="1" t="str">
        <f>"CN110154843B"</f>
        <v>CN110154843B</v>
      </c>
      <c r="H653" s="1" t="str">
        <f>"2023-02-21"</f>
        <v>2023-02-21</v>
      </c>
      <c r="I653" s="1" t="s">
        <v>4893</v>
      </c>
      <c r="J653" s="1" t="s">
        <v>4894</v>
      </c>
    </row>
    <row r="654" spans="1:10">
      <c r="A654" s="1" t="str">
        <f t="shared" ref="A654:A660" si="321">"天津丰津汽车传动部件有限公司"</f>
        <v>天津丰津汽车传动部件有限公司</v>
      </c>
      <c r="B654" s="1" t="str">
        <f>"一种油液回收机构及排屑设备"</f>
        <v>一种油液回收机构及排屑设备</v>
      </c>
      <c r="C654" s="1" t="str">
        <f>"发明公布"</f>
        <v>发明公布</v>
      </c>
      <c r="D654" s="1" t="str">
        <f>"实质审查"</f>
        <v>实质审查</v>
      </c>
      <c r="E654" s="1" t="str">
        <f>"CN202510846629.6"</f>
        <v>CN202510846629.6</v>
      </c>
      <c r="F654" s="1" t="str">
        <f>"2025-06-24"</f>
        <v>2025-06-24</v>
      </c>
      <c r="G654" s="1" t="str">
        <f>"CN120439102A"</f>
        <v>CN120439102A</v>
      </c>
      <c r="H654" s="1" t="str">
        <f>"2025-08-08"</f>
        <v>2025-08-08</v>
      </c>
      <c r="I654" s="1" t="s">
        <v>4895</v>
      </c>
      <c r="J654" s="1" t="str">
        <f t="shared" ref="J654:J660" si="322">"天津丰津汽车传动部件有限公司"</f>
        <v>天津丰津汽车传动部件有限公司</v>
      </c>
    </row>
    <row r="655" spans="1:10">
      <c r="A655" s="1" t="str">
        <f t="shared" si="321"/>
        <v>天津丰津汽车传动部件有限公司</v>
      </c>
      <c r="B655" s="1" t="str">
        <f>"一种内星轮上料装置"</f>
        <v>一种内星轮上料装置</v>
      </c>
      <c r="C655" s="1" t="str">
        <f>"发明授权"</f>
        <v>发明授权</v>
      </c>
      <c r="D655" s="1" t="str">
        <f t="shared" si="320"/>
        <v>授权</v>
      </c>
      <c r="E655" s="1" t="str">
        <f>"CN202110382993.3"</f>
        <v>CN202110382993.3</v>
      </c>
      <c r="F655" s="1" t="str">
        <f>"2021-04-09"</f>
        <v>2021-04-09</v>
      </c>
      <c r="G655" s="1" t="str">
        <f>"CN112919074B"</f>
        <v>CN112919074B</v>
      </c>
      <c r="H655" s="1" t="str">
        <f>"2025-02-25"</f>
        <v>2025-02-25</v>
      </c>
      <c r="I655" s="1" t="s">
        <v>4896</v>
      </c>
      <c r="J655" s="1" t="str">
        <f t="shared" si="322"/>
        <v>天津丰津汽车传动部件有限公司</v>
      </c>
    </row>
    <row r="656" spans="1:10">
      <c r="A656" s="1" t="str">
        <f t="shared" si="321"/>
        <v>天津丰津汽车传动部件有限公司</v>
      </c>
      <c r="B656" s="1" t="str">
        <f>"一种零件清洁装置"</f>
        <v>一种零件清洁装置</v>
      </c>
      <c r="C656" s="1" t="str">
        <f t="shared" ref="C656:C686" si="323">"实用新型"</f>
        <v>实用新型</v>
      </c>
      <c r="D656" s="1" t="str">
        <f t="shared" si="320"/>
        <v>授权</v>
      </c>
      <c r="E656" s="1" t="str">
        <f>"CN202323598014.1"</f>
        <v>CN202323598014.1</v>
      </c>
      <c r="F656" s="1" t="str">
        <f>"2023-12-28"</f>
        <v>2023-12-28</v>
      </c>
      <c r="G656" s="1" t="str">
        <f>"CN221908787U"</f>
        <v>CN221908787U</v>
      </c>
      <c r="H656" s="1" t="str">
        <f>"2024-10-29"</f>
        <v>2024-10-29</v>
      </c>
      <c r="I656" s="1" t="s">
        <v>4897</v>
      </c>
      <c r="J656" s="1" t="str">
        <f t="shared" si="322"/>
        <v>天津丰津汽车传动部件有限公司</v>
      </c>
    </row>
    <row r="657" spans="1:10">
      <c r="A657" s="1" t="str">
        <f t="shared" si="321"/>
        <v>天津丰津汽车传动部件有限公司</v>
      </c>
      <c r="B657" s="1" t="str">
        <f>"搬送驱动轴的夹持工具"</f>
        <v>搬送驱动轴的夹持工具</v>
      </c>
      <c r="C657" s="1" t="str">
        <f t="shared" si="323"/>
        <v>实用新型</v>
      </c>
      <c r="D657" s="1" t="str">
        <f t="shared" si="320"/>
        <v>授权</v>
      </c>
      <c r="E657" s="1" t="str">
        <f>"CN202322922027.3"</f>
        <v>CN202322922027.3</v>
      </c>
      <c r="F657" s="1" t="str">
        <f>"2023-10-31"</f>
        <v>2023-10-31</v>
      </c>
      <c r="G657" s="1" t="str">
        <f>"CN221216861U"</f>
        <v>CN221216861U</v>
      </c>
      <c r="H657" s="1" t="str">
        <f>"2024-06-25"</f>
        <v>2024-06-25</v>
      </c>
      <c r="I657" s="1" t="s">
        <v>4898</v>
      </c>
      <c r="J657" s="1" t="str">
        <f t="shared" si="322"/>
        <v>天津丰津汽车传动部件有限公司</v>
      </c>
    </row>
    <row r="658" spans="1:10">
      <c r="A658" s="1" t="str">
        <f t="shared" si="321"/>
        <v>天津丰津汽车传动部件有限公司</v>
      </c>
      <c r="B658" s="1" t="str">
        <f>"一种零件清洁装置"</f>
        <v>一种零件清洁装置</v>
      </c>
      <c r="C658" s="1" t="str">
        <f>"发明公布"</f>
        <v>发明公布</v>
      </c>
      <c r="D658" s="1" t="str">
        <f>"实质审查"</f>
        <v>实质审查</v>
      </c>
      <c r="E658" s="1" t="str">
        <f>"CN202311827778.5"</f>
        <v>CN202311827778.5</v>
      </c>
      <c r="F658" s="1" t="str">
        <f>"2023-12-28"</f>
        <v>2023-12-28</v>
      </c>
      <c r="G658" s="1" t="str">
        <f>"CN117644084A"</f>
        <v>CN117644084A</v>
      </c>
      <c r="H658" s="1" t="str">
        <f>"2024-03-05"</f>
        <v>2024-03-05</v>
      </c>
      <c r="I658" s="1" t="s">
        <v>4897</v>
      </c>
      <c r="J658" s="1" t="str">
        <f t="shared" si="322"/>
        <v>天津丰津汽车传动部件有限公司</v>
      </c>
    </row>
    <row r="659" spans="1:10">
      <c r="A659" s="1" t="str">
        <f t="shared" si="321"/>
        <v>天津丰津汽车传动部件有限公司</v>
      </c>
      <c r="B659" s="1" t="str">
        <f>"一种内星轮上料装置"</f>
        <v>一种内星轮上料装置</v>
      </c>
      <c r="C659" s="1" t="str">
        <f t="shared" si="323"/>
        <v>实用新型</v>
      </c>
      <c r="D659" s="1" t="str">
        <f t="shared" ref="D659:D664" si="324">"授权"</f>
        <v>授权</v>
      </c>
      <c r="E659" s="1" t="str">
        <f>"CN202120723317.3"</f>
        <v>CN202120723317.3</v>
      </c>
      <c r="F659" s="1" t="str">
        <f>"2021-04-09"</f>
        <v>2021-04-09</v>
      </c>
      <c r="G659" s="1" t="str">
        <f>"CN215885328U"</f>
        <v>CN215885328U</v>
      </c>
      <c r="H659" s="1" t="str">
        <f>"2022-02-22"</f>
        <v>2022-02-22</v>
      </c>
      <c r="I659" s="1" t="s">
        <v>4896</v>
      </c>
      <c r="J659" s="1" t="str">
        <f t="shared" si="322"/>
        <v>天津丰津汽车传动部件有限公司</v>
      </c>
    </row>
    <row r="660" spans="1:10">
      <c r="A660" s="1" t="str">
        <f t="shared" si="321"/>
        <v>天津丰津汽车传动部件有限公司</v>
      </c>
      <c r="B660" s="1" t="str">
        <f>"钟形壳卡环分解钳"</f>
        <v>钟形壳卡环分解钳</v>
      </c>
      <c r="C660" s="1" t="str">
        <f t="shared" si="323"/>
        <v>实用新型</v>
      </c>
      <c r="D660" s="1" t="str">
        <f t="shared" si="324"/>
        <v>授权</v>
      </c>
      <c r="E660" s="1" t="str">
        <f>"CN202022708018.0"</f>
        <v>CN202022708018.0</v>
      </c>
      <c r="F660" s="1" t="str">
        <f>"2020-11-20"</f>
        <v>2020-11-20</v>
      </c>
      <c r="G660" s="1" t="str">
        <f>"CN214352184U"</f>
        <v>CN214352184U</v>
      </c>
      <c r="H660" s="1" t="str">
        <f>"2021-10-08"</f>
        <v>2021-10-08</v>
      </c>
      <c r="I660" s="1" t="str">
        <f>"崔志勇"</f>
        <v>崔志勇</v>
      </c>
      <c r="J660" s="1" t="str">
        <f t="shared" si="322"/>
        <v>天津丰津汽车传动部件有限公司</v>
      </c>
    </row>
    <row r="661" spans="1:10">
      <c r="A661" s="1" t="str">
        <f t="shared" ref="A661:A686" si="325">"天津三五汽车部件有限公司"</f>
        <v>天津三五汽车部件有限公司</v>
      </c>
      <c r="B661" s="1" t="str">
        <f>"一种汽车管材焊接工装"</f>
        <v>一种汽车管材焊接工装</v>
      </c>
      <c r="C661" s="1" t="str">
        <f t="shared" si="323"/>
        <v>实用新型</v>
      </c>
      <c r="D661" s="1" t="str">
        <f t="shared" ref="D661:D686" si="326">"未缴年费专利权终止"</f>
        <v>未缴年费专利权终止</v>
      </c>
      <c r="E661" s="1" t="str">
        <f>"CN202320880864.1"</f>
        <v>CN202320880864.1</v>
      </c>
      <c r="F661" s="1" t="str">
        <f>"2023-04-19"</f>
        <v>2023-04-19</v>
      </c>
      <c r="G661" s="1" t="str">
        <f>"CN220260039U"</f>
        <v>CN220260039U</v>
      </c>
      <c r="H661" s="1" t="str">
        <f>"2023-12-29"</f>
        <v>2023-12-29</v>
      </c>
      <c r="I661" s="1" t="str">
        <f>"潘学武"</f>
        <v>潘学武</v>
      </c>
      <c r="J661" s="1" t="str">
        <f t="shared" ref="J661:J686" si="327">"天津三五汽车部件有限公司"</f>
        <v>天津三五汽车部件有限公司</v>
      </c>
    </row>
    <row r="662" spans="1:10">
      <c r="A662" s="1" t="str">
        <f t="shared" si="325"/>
        <v>天津三五汽车部件有限公司</v>
      </c>
      <c r="B662" s="1" t="str">
        <f>"一种改进型排气歧管"</f>
        <v>一种改进型排气歧管</v>
      </c>
      <c r="C662" s="1" t="str">
        <f t="shared" si="323"/>
        <v>实用新型</v>
      </c>
      <c r="D662" s="1" t="str">
        <f t="shared" si="324"/>
        <v>授权</v>
      </c>
      <c r="E662" s="1" t="str">
        <f>"CN202320691037.8"</f>
        <v>CN202320691037.8</v>
      </c>
      <c r="F662" s="1" t="str">
        <f t="shared" ref="F662:F664" si="328">"2023-03-31"</f>
        <v>2023-03-31</v>
      </c>
      <c r="G662" s="1" t="str">
        <f>"CN219654766U"</f>
        <v>CN219654766U</v>
      </c>
      <c r="H662" s="1" t="str">
        <f t="shared" ref="H662:H664" si="329">"2023-09-08"</f>
        <v>2023-09-08</v>
      </c>
      <c r="I662" s="1" t="str">
        <f>"李玉章"</f>
        <v>李玉章</v>
      </c>
      <c r="J662" s="1" t="str">
        <f t="shared" si="327"/>
        <v>天津三五汽车部件有限公司</v>
      </c>
    </row>
    <row r="663" spans="1:10">
      <c r="A663" s="1" t="str">
        <f t="shared" si="325"/>
        <v>天津三五汽车部件有限公司</v>
      </c>
      <c r="B663" s="1" t="str">
        <f>"一种焊接工件固定夹具"</f>
        <v>一种焊接工件固定夹具</v>
      </c>
      <c r="C663" s="1" t="str">
        <f t="shared" si="323"/>
        <v>实用新型</v>
      </c>
      <c r="D663" s="1" t="str">
        <f t="shared" si="324"/>
        <v>授权</v>
      </c>
      <c r="E663" s="1" t="str">
        <f>"CN202320691028.9"</f>
        <v>CN202320691028.9</v>
      </c>
      <c r="F663" s="1" t="str">
        <f t="shared" si="328"/>
        <v>2023-03-31</v>
      </c>
      <c r="G663" s="1" t="str">
        <f>"CN219649014U"</f>
        <v>CN219649014U</v>
      </c>
      <c r="H663" s="1" t="str">
        <f t="shared" si="329"/>
        <v>2023-09-08</v>
      </c>
      <c r="I663" s="1" t="str">
        <f>"乔智明"</f>
        <v>乔智明</v>
      </c>
      <c r="J663" s="1" t="str">
        <f t="shared" si="327"/>
        <v>天津三五汽车部件有限公司</v>
      </c>
    </row>
    <row r="664" spans="1:10">
      <c r="A664" s="1" t="str">
        <f t="shared" si="325"/>
        <v>天津三五汽车部件有限公司</v>
      </c>
      <c r="B664" s="1" t="str">
        <f>"一种汽车车门防撞横梁结构"</f>
        <v>一种汽车车门防撞横梁结构</v>
      </c>
      <c r="C664" s="1" t="str">
        <f t="shared" si="323"/>
        <v>实用新型</v>
      </c>
      <c r="D664" s="1" t="str">
        <f t="shared" si="324"/>
        <v>授权</v>
      </c>
      <c r="E664" s="1" t="str">
        <f>"CN202320691022.1"</f>
        <v>CN202320691022.1</v>
      </c>
      <c r="F664" s="1" t="str">
        <f t="shared" si="328"/>
        <v>2023-03-31</v>
      </c>
      <c r="G664" s="1" t="str">
        <f>"CN219650977U"</f>
        <v>CN219650977U</v>
      </c>
      <c r="H664" s="1" t="str">
        <f t="shared" si="329"/>
        <v>2023-09-08</v>
      </c>
      <c r="I664" s="1" t="str">
        <f>"黄达文"</f>
        <v>黄达文</v>
      </c>
      <c r="J664" s="1" t="str">
        <f t="shared" si="327"/>
        <v>天津三五汽车部件有限公司</v>
      </c>
    </row>
    <row r="665" spans="1:10">
      <c r="A665" s="1" t="str">
        <f t="shared" si="325"/>
        <v>天津三五汽车部件有限公司</v>
      </c>
      <c r="B665" s="1" t="str">
        <f>"一种防撞杆挤压试验装置"</f>
        <v>一种防撞杆挤压试验装置</v>
      </c>
      <c r="C665" s="1" t="str">
        <f t="shared" si="323"/>
        <v>实用新型</v>
      </c>
      <c r="D665" s="1" t="str">
        <f t="shared" si="326"/>
        <v>未缴年费专利权终止</v>
      </c>
      <c r="E665" s="1" t="str">
        <f>"CN202022661717.4"</f>
        <v>CN202022661717.4</v>
      </c>
      <c r="F665" s="1" t="str">
        <f t="shared" ref="F665:F678" si="330">"2020-11-17"</f>
        <v>2020-11-17</v>
      </c>
      <c r="G665" s="1" t="str">
        <f>"CN214539044U"</f>
        <v>CN214539044U</v>
      </c>
      <c r="H665" s="1" t="str">
        <f t="shared" ref="H665:H671" si="331">"2021-10-29"</f>
        <v>2021-10-29</v>
      </c>
      <c r="I665" s="1" t="s">
        <v>4899</v>
      </c>
      <c r="J665" s="1" t="str">
        <f t="shared" si="327"/>
        <v>天津三五汽车部件有限公司</v>
      </c>
    </row>
    <row r="666" spans="1:10">
      <c r="A666" s="1" t="str">
        <f t="shared" si="325"/>
        <v>天津三五汽车部件有限公司</v>
      </c>
      <c r="B666" s="1" t="str">
        <f>"一种汽车车门防撞杆"</f>
        <v>一种汽车车门防撞杆</v>
      </c>
      <c r="C666" s="1" t="str">
        <f t="shared" si="323"/>
        <v>实用新型</v>
      </c>
      <c r="D666" s="1" t="str">
        <f t="shared" si="326"/>
        <v>未缴年费专利权终止</v>
      </c>
      <c r="E666" s="1" t="str">
        <f>"CN202022658866.5"</f>
        <v>CN202022658866.5</v>
      </c>
      <c r="F666" s="1" t="str">
        <f t="shared" si="330"/>
        <v>2020-11-17</v>
      </c>
      <c r="G666" s="1" t="str">
        <f>"CN214523298U"</f>
        <v>CN214523298U</v>
      </c>
      <c r="H666" s="1" t="str">
        <f t="shared" si="331"/>
        <v>2021-10-29</v>
      </c>
      <c r="I666" s="1" t="s">
        <v>4899</v>
      </c>
      <c r="J666" s="1" t="str">
        <f t="shared" si="327"/>
        <v>天津三五汽车部件有限公司</v>
      </c>
    </row>
    <row r="667" spans="1:10">
      <c r="A667" s="1" t="str">
        <f t="shared" si="325"/>
        <v>天津三五汽车部件有限公司</v>
      </c>
      <c r="B667" s="1" t="str">
        <f>"一种可减震隔热的环保汽车排气管"</f>
        <v>一种可减震隔热的环保汽车排气管</v>
      </c>
      <c r="C667" s="1" t="str">
        <f t="shared" si="323"/>
        <v>实用新型</v>
      </c>
      <c r="D667" s="1" t="str">
        <f t="shared" si="326"/>
        <v>未缴年费专利权终止</v>
      </c>
      <c r="E667" s="1" t="str">
        <f>"CN202022658864.6"</f>
        <v>CN202022658864.6</v>
      </c>
      <c r="F667" s="1" t="str">
        <f t="shared" si="330"/>
        <v>2020-11-17</v>
      </c>
      <c r="G667" s="1" t="str">
        <f>"CN214533170U"</f>
        <v>CN214533170U</v>
      </c>
      <c r="H667" s="1" t="str">
        <f t="shared" si="331"/>
        <v>2021-10-29</v>
      </c>
      <c r="I667" s="1" t="s">
        <v>4899</v>
      </c>
      <c r="J667" s="1" t="str">
        <f t="shared" si="327"/>
        <v>天津三五汽车部件有限公司</v>
      </c>
    </row>
    <row r="668" spans="1:10">
      <c r="A668" s="1" t="str">
        <f t="shared" si="325"/>
        <v>天津三五汽车部件有限公司</v>
      </c>
      <c r="B668" s="1" t="str">
        <f>"一种便于装卸的产品运输器量箱"</f>
        <v>一种便于装卸的产品运输器量箱</v>
      </c>
      <c r="C668" s="1" t="str">
        <f t="shared" si="323"/>
        <v>实用新型</v>
      </c>
      <c r="D668" s="1" t="str">
        <f t="shared" si="326"/>
        <v>未缴年费专利权终止</v>
      </c>
      <c r="E668" s="1" t="str">
        <f>"CN202022658894.7"</f>
        <v>CN202022658894.7</v>
      </c>
      <c r="F668" s="1" t="str">
        <f t="shared" si="330"/>
        <v>2020-11-17</v>
      </c>
      <c r="G668" s="1" t="str">
        <f>"CN214525136U"</f>
        <v>CN214525136U</v>
      </c>
      <c r="H668" s="1" t="str">
        <f t="shared" si="331"/>
        <v>2021-10-29</v>
      </c>
      <c r="I668" s="1" t="s">
        <v>4899</v>
      </c>
      <c r="J668" s="1" t="str">
        <f t="shared" si="327"/>
        <v>天津三五汽车部件有限公司</v>
      </c>
    </row>
    <row r="669" spans="1:10">
      <c r="A669" s="1" t="str">
        <f t="shared" si="325"/>
        <v>天津三五汽车部件有限公司</v>
      </c>
      <c r="B669" s="1" t="str">
        <f>"一种汽车排气管激光切割装置"</f>
        <v>一种汽车排气管激光切割装置</v>
      </c>
      <c r="C669" s="1" t="str">
        <f t="shared" si="323"/>
        <v>实用新型</v>
      </c>
      <c r="D669" s="1" t="str">
        <f t="shared" si="326"/>
        <v>未缴年费专利权终止</v>
      </c>
      <c r="E669" s="1" t="str">
        <f>"CN202022658899.X"</f>
        <v>CN202022658899.X</v>
      </c>
      <c r="F669" s="1" t="str">
        <f t="shared" si="330"/>
        <v>2020-11-17</v>
      </c>
      <c r="G669" s="1" t="str">
        <f>"CN214518233U"</f>
        <v>CN214518233U</v>
      </c>
      <c r="H669" s="1" t="str">
        <f t="shared" si="331"/>
        <v>2021-10-29</v>
      </c>
      <c r="I669" s="1" t="s">
        <v>4899</v>
      </c>
      <c r="J669" s="1" t="str">
        <f t="shared" si="327"/>
        <v>天津三五汽车部件有限公司</v>
      </c>
    </row>
    <row r="670" spans="1:10">
      <c r="A670" s="1" t="str">
        <f t="shared" si="325"/>
        <v>天津三五汽车部件有限公司</v>
      </c>
      <c r="B670" s="1" t="str">
        <f>"防撞杆运输装置"</f>
        <v>防撞杆运输装置</v>
      </c>
      <c r="C670" s="1" t="str">
        <f t="shared" si="323"/>
        <v>实用新型</v>
      </c>
      <c r="D670" s="1" t="str">
        <f t="shared" si="326"/>
        <v>未缴年费专利权终止</v>
      </c>
      <c r="E670" s="1" t="str">
        <f>"CN202022658971.9"</f>
        <v>CN202022658971.9</v>
      </c>
      <c r="F670" s="1" t="str">
        <f t="shared" si="330"/>
        <v>2020-11-17</v>
      </c>
      <c r="G670" s="1" t="str">
        <f>"CN214525137U"</f>
        <v>CN214525137U</v>
      </c>
      <c r="H670" s="1" t="str">
        <f t="shared" si="331"/>
        <v>2021-10-29</v>
      </c>
      <c r="I670" s="1" t="s">
        <v>4899</v>
      </c>
      <c r="J670" s="1" t="str">
        <f t="shared" si="327"/>
        <v>天津三五汽车部件有限公司</v>
      </c>
    </row>
    <row r="671" spans="1:10">
      <c r="A671" s="1" t="str">
        <f t="shared" si="325"/>
        <v>天津三五汽车部件有限公司</v>
      </c>
      <c r="B671" s="1" t="str">
        <f>"一种无动力物料运输架"</f>
        <v>一种无动力物料运输架</v>
      </c>
      <c r="C671" s="1" t="str">
        <f t="shared" si="323"/>
        <v>实用新型</v>
      </c>
      <c r="D671" s="1" t="str">
        <f t="shared" si="326"/>
        <v>未缴年费专利权终止</v>
      </c>
      <c r="E671" s="1" t="str">
        <f>"CN202022658867.X"</f>
        <v>CN202022658867.X</v>
      </c>
      <c r="F671" s="1" t="str">
        <f t="shared" si="330"/>
        <v>2020-11-17</v>
      </c>
      <c r="G671" s="1" t="str">
        <f>"CN214526094U"</f>
        <v>CN214526094U</v>
      </c>
      <c r="H671" s="1" t="str">
        <f t="shared" si="331"/>
        <v>2021-10-29</v>
      </c>
      <c r="I671" s="1" t="s">
        <v>4899</v>
      </c>
      <c r="J671" s="1" t="str">
        <f t="shared" si="327"/>
        <v>天津三五汽车部件有限公司</v>
      </c>
    </row>
    <row r="672" spans="1:10">
      <c r="A672" s="1" t="str">
        <f t="shared" si="325"/>
        <v>天津三五汽车部件有限公司</v>
      </c>
      <c r="B672" s="1" t="str">
        <f>"一种具有防堵塞功能的送料器"</f>
        <v>一种具有防堵塞功能的送料器</v>
      </c>
      <c r="C672" s="1" t="str">
        <f t="shared" si="323"/>
        <v>实用新型</v>
      </c>
      <c r="D672" s="1" t="str">
        <f t="shared" si="326"/>
        <v>未缴年费专利权终止</v>
      </c>
      <c r="E672" s="1" t="str">
        <f>"CN202022658868.4"</f>
        <v>CN202022658868.4</v>
      </c>
      <c r="F672" s="1" t="str">
        <f t="shared" si="330"/>
        <v>2020-11-17</v>
      </c>
      <c r="G672" s="1" t="str">
        <f>"CN213949850U"</f>
        <v>CN213949850U</v>
      </c>
      <c r="H672" s="1" t="str">
        <f t="shared" ref="H672:H678" si="332">"2021-08-13"</f>
        <v>2021-08-13</v>
      </c>
      <c r="I672" s="1" t="s">
        <v>4899</v>
      </c>
      <c r="J672" s="1" t="str">
        <f t="shared" si="327"/>
        <v>天津三五汽车部件有限公司</v>
      </c>
    </row>
    <row r="673" spans="1:10">
      <c r="A673" s="1" t="str">
        <f t="shared" si="325"/>
        <v>天津三五汽车部件有限公司</v>
      </c>
      <c r="B673" s="1" t="str">
        <f>"一种节能防水汽车排气管"</f>
        <v>一种节能防水汽车排气管</v>
      </c>
      <c r="C673" s="1" t="str">
        <f t="shared" si="323"/>
        <v>实用新型</v>
      </c>
      <c r="D673" s="1" t="str">
        <f t="shared" si="326"/>
        <v>未缴年费专利权终止</v>
      </c>
      <c r="E673" s="1" t="str">
        <f>"CN202022658918.9"</f>
        <v>CN202022658918.9</v>
      </c>
      <c r="F673" s="1" t="str">
        <f t="shared" si="330"/>
        <v>2020-11-17</v>
      </c>
      <c r="G673" s="1" t="str">
        <f>"CN213953723U"</f>
        <v>CN213953723U</v>
      </c>
      <c r="H673" s="1" t="str">
        <f t="shared" si="332"/>
        <v>2021-08-13</v>
      </c>
      <c r="I673" s="1" t="s">
        <v>4899</v>
      </c>
      <c r="J673" s="1" t="str">
        <f t="shared" si="327"/>
        <v>天津三五汽车部件有限公司</v>
      </c>
    </row>
    <row r="674" spans="1:10">
      <c r="A674" s="1" t="str">
        <f t="shared" si="325"/>
        <v>天津三五汽车部件有限公司</v>
      </c>
      <c r="B674" s="1" t="str">
        <f>"一种汽车排气管切毛刺装置"</f>
        <v>一种汽车排气管切毛刺装置</v>
      </c>
      <c r="C674" s="1" t="str">
        <f t="shared" si="323"/>
        <v>实用新型</v>
      </c>
      <c r="D674" s="1" t="str">
        <f t="shared" si="326"/>
        <v>未缴年费专利权终止</v>
      </c>
      <c r="E674" s="1" t="str">
        <f>"CN202022658872.0"</f>
        <v>CN202022658872.0</v>
      </c>
      <c r="F674" s="1" t="str">
        <f t="shared" si="330"/>
        <v>2020-11-17</v>
      </c>
      <c r="G674" s="1" t="str">
        <f>"CN213945875U"</f>
        <v>CN213945875U</v>
      </c>
      <c r="H674" s="1" t="str">
        <f t="shared" si="332"/>
        <v>2021-08-13</v>
      </c>
      <c r="I674" s="1" t="s">
        <v>4899</v>
      </c>
      <c r="J674" s="1" t="str">
        <f t="shared" si="327"/>
        <v>天津三五汽车部件有限公司</v>
      </c>
    </row>
    <row r="675" spans="1:10">
      <c r="A675" s="1" t="str">
        <f t="shared" si="325"/>
        <v>天津三五汽车部件有限公司</v>
      </c>
      <c r="B675" s="1" t="str">
        <f>"一种汽车排气管生产用定位固定装置"</f>
        <v>一种汽车排气管生产用定位固定装置</v>
      </c>
      <c r="C675" s="1" t="str">
        <f t="shared" si="323"/>
        <v>实用新型</v>
      </c>
      <c r="D675" s="1" t="str">
        <f t="shared" si="326"/>
        <v>未缴年费专利权终止</v>
      </c>
      <c r="E675" s="1" t="str">
        <f>"CN202022661654.2"</f>
        <v>CN202022661654.2</v>
      </c>
      <c r="F675" s="1" t="str">
        <f t="shared" si="330"/>
        <v>2020-11-17</v>
      </c>
      <c r="G675" s="1" t="str">
        <f>"CN213946161U"</f>
        <v>CN213946161U</v>
      </c>
      <c r="H675" s="1" t="str">
        <f t="shared" si="332"/>
        <v>2021-08-13</v>
      </c>
      <c r="I675" s="1" t="s">
        <v>4899</v>
      </c>
      <c r="J675" s="1" t="str">
        <f t="shared" si="327"/>
        <v>天津三五汽车部件有限公司</v>
      </c>
    </row>
    <row r="676" spans="1:10">
      <c r="A676" s="1" t="str">
        <f t="shared" si="325"/>
        <v>天津三五汽车部件有限公司</v>
      </c>
      <c r="B676" s="1" t="str">
        <f>"一种具有安全防护的产品料道"</f>
        <v>一种具有安全防护的产品料道</v>
      </c>
      <c r="C676" s="1" t="str">
        <f t="shared" si="323"/>
        <v>实用新型</v>
      </c>
      <c r="D676" s="1" t="str">
        <f t="shared" si="326"/>
        <v>未缴年费专利权终止</v>
      </c>
      <c r="E676" s="1" t="str">
        <f>"CN202022661670.1"</f>
        <v>CN202022661670.1</v>
      </c>
      <c r="F676" s="1" t="str">
        <f t="shared" si="330"/>
        <v>2020-11-17</v>
      </c>
      <c r="G676" s="1" t="str">
        <f>"CN213949712U"</f>
        <v>CN213949712U</v>
      </c>
      <c r="H676" s="1" t="str">
        <f t="shared" si="332"/>
        <v>2021-08-13</v>
      </c>
      <c r="I676" s="1" t="s">
        <v>4899</v>
      </c>
      <c r="J676" s="1" t="str">
        <f t="shared" si="327"/>
        <v>天津三五汽车部件有限公司</v>
      </c>
    </row>
    <row r="677" spans="1:10">
      <c r="A677" s="1" t="str">
        <f t="shared" si="325"/>
        <v>天津三五汽车部件有限公司</v>
      </c>
      <c r="B677" s="1" t="str">
        <f>"一种汽车防撞杆测试装置"</f>
        <v>一种汽车防撞杆测试装置</v>
      </c>
      <c r="C677" s="1" t="str">
        <f t="shared" si="323"/>
        <v>实用新型</v>
      </c>
      <c r="D677" s="1" t="str">
        <f t="shared" si="326"/>
        <v>未缴年费专利权终止</v>
      </c>
      <c r="E677" s="1" t="str">
        <f>"CN202022661685.8"</f>
        <v>CN202022661685.8</v>
      </c>
      <c r="F677" s="1" t="str">
        <f t="shared" si="330"/>
        <v>2020-11-17</v>
      </c>
      <c r="G677" s="1" t="str">
        <f>"CN213956790U"</f>
        <v>CN213956790U</v>
      </c>
      <c r="H677" s="1" t="str">
        <f t="shared" si="332"/>
        <v>2021-08-13</v>
      </c>
      <c r="I677" s="1" t="s">
        <v>4899</v>
      </c>
      <c r="J677" s="1" t="str">
        <f t="shared" si="327"/>
        <v>天津三五汽车部件有限公司</v>
      </c>
    </row>
    <row r="678" spans="1:10">
      <c r="A678" s="1" t="str">
        <f t="shared" si="325"/>
        <v>天津三五汽车部件有限公司</v>
      </c>
      <c r="B678" s="1" t="str">
        <f>"一种金属板材分离器"</f>
        <v>一种金属板材分离器</v>
      </c>
      <c r="C678" s="1" t="str">
        <f t="shared" si="323"/>
        <v>实用新型</v>
      </c>
      <c r="D678" s="1" t="str">
        <f t="shared" si="326"/>
        <v>未缴年费专利权终止</v>
      </c>
      <c r="E678" s="1" t="str">
        <f>"CN202022658915.5"</f>
        <v>CN202022658915.5</v>
      </c>
      <c r="F678" s="1" t="str">
        <f t="shared" si="330"/>
        <v>2020-11-17</v>
      </c>
      <c r="G678" s="1" t="str">
        <f>"CN213949935U"</f>
        <v>CN213949935U</v>
      </c>
      <c r="H678" s="1" t="str">
        <f t="shared" si="332"/>
        <v>2021-08-13</v>
      </c>
      <c r="I678" s="1" t="s">
        <v>4899</v>
      </c>
      <c r="J678" s="1" t="str">
        <f t="shared" si="327"/>
        <v>天津三五汽车部件有限公司</v>
      </c>
    </row>
    <row r="679" spans="1:10">
      <c r="A679" s="1" t="str">
        <f t="shared" si="325"/>
        <v>天津三五汽车部件有限公司</v>
      </c>
      <c r="B679" s="1" t="str">
        <f>"用于汽车排气管生产的上下料装置"</f>
        <v>用于汽车排气管生产的上下料装置</v>
      </c>
      <c r="C679" s="1" t="str">
        <f t="shared" si="323"/>
        <v>实用新型</v>
      </c>
      <c r="D679" s="1" t="str">
        <f t="shared" si="326"/>
        <v>未缴年费专利权终止</v>
      </c>
      <c r="E679" s="1" t="str">
        <f>"CN201820873557.X"</f>
        <v>CN201820873557.X</v>
      </c>
      <c r="F679" s="1" t="str">
        <f t="shared" ref="F679:F681" si="333">"2018-06-07"</f>
        <v>2018-06-07</v>
      </c>
      <c r="G679" s="1" t="str">
        <f>"CN208746888U"</f>
        <v>CN208746888U</v>
      </c>
      <c r="H679" s="1" t="str">
        <f>"2019-04-16"</f>
        <v>2019-04-16</v>
      </c>
      <c r="I679" s="1" t="s">
        <v>4899</v>
      </c>
      <c r="J679" s="1" t="str">
        <f t="shared" si="327"/>
        <v>天津三五汽车部件有限公司</v>
      </c>
    </row>
    <row r="680" spans="1:10">
      <c r="A680" s="1" t="str">
        <f t="shared" si="325"/>
        <v>天津三五汽车部件有限公司</v>
      </c>
      <c r="B680" s="1" t="str">
        <f>"一种汽车尾端排气管总成放置架"</f>
        <v>一种汽车尾端排气管总成放置架</v>
      </c>
      <c r="C680" s="1" t="str">
        <f t="shared" si="323"/>
        <v>实用新型</v>
      </c>
      <c r="D680" s="1" t="str">
        <f t="shared" si="326"/>
        <v>未缴年费专利权终止</v>
      </c>
      <c r="E680" s="1" t="str">
        <f>"CN201820873134.8"</f>
        <v>CN201820873134.8</v>
      </c>
      <c r="F680" s="1" t="str">
        <f t="shared" si="333"/>
        <v>2018-06-07</v>
      </c>
      <c r="G680" s="1" t="str">
        <f>"CN208744789U"</f>
        <v>CN208744789U</v>
      </c>
      <c r="H680" s="1" t="str">
        <f>"2019-04-16"</f>
        <v>2019-04-16</v>
      </c>
      <c r="I680" s="1" t="s">
        <v>4899</v>
      </c>
      <c r="J680" s="1" t="str">
        <f t="shared" si="327"/>
        <v>天津三五汽车部件有限公司</v>
      </c>
    </row>
    <row r="681" spans="1:10">
      <c r="A681" s="1" t="str">
        <f t="shared" si="325"/>
        <v>天津三五汽车部件有限公司</v>
      </c>
      <c r="B681" s="1" t="str">
        <f>"用于汽车排气管品质检测的支架"</f>
        <v>用于汽车排气管品质检测的支架</v>
      </c>
      <c r="C681" s="1" t="str">
        <f t="shared" si="323"/>
        <v>实用新型</v>
      </c>
      <c r="D681" s="1" t="str">
        <f t="shared" si="326"/>
        <v>未缴年费专利权终止</v>
      </c>
      <c r="E681" s="1" t="str">
        <f>"CN201820873147.5"</f>
        <v>CN201820873147.5</v>
      </c>
      <c r="F681" s="1" t="str">
        <f t="shared" si="333"/>
        <v>2018-06-07</v>
      </c>
      <c r="G681" s="1" t="str">
        <f>"CN208557395U"</f>
        <v>CN208557395U</v>
      </c>
      <c r="H681" s="1" t="str">
        <f t="shared" ref="H681:H686" si="334">"2019-03-01"</f>
        <v>2019-03-01</v>
      </c>
      <c r="I681" s="1" t="s">
        <v>4899</v>
      </c>
      <c r="J681" s="1" t="str">
        <f t="shared" si="327"/>
        <v>天津三五汽车部件有限公司</v>
      </c>
    </row>
    <row r="682" spans="1:10">
      <c r="A682" s="1" t="str">
        <f t="shared" si="325"/>
        <v>天津三五汽车部件有限公司</v>
      </c>
      <c r="B682" s="1" t="str">
        <f>"汽车排气管模具运输装置"</f>
        <v>汽车排气管模具运输装置</v>
      </c>
      <c r="C682" s="1" t="str">
        <f t="shared" si="323"/>
        <v>实用新型</v>
      </c>
      <c r="D682" s="1" t="str">
        <f t="shared" si="326"/>
        <v>未缴年费专利权终止</v>
      </c>
      <c r="E682" s="1" t="str">
        <f>"CN201820868671.3"</f>
        <v>CN201820868671.3</v>
      </c>
      <c r="F682" s="1" t="str">
        <f t="shared" ref="F682:F686" si="335">"2018-06-06"</f>
        <v>2018-06-06</v>
      </c>
      <c r="G682" s="1" t="str">
        <f>"CN208560725U"</f>
        <v>CN208560725U</v>
      </c>
      <c r="H682" s="1" t="str">
        <f t="shared" si="334"/>
        <v>2019-03-01</v>
      </c>
      <c r="I682" s="1" t="s">
        <v>4899</v>
      </c>
      <c r="J682" s="1" t="str">
        <f t="shared" si="327"/>
        <v>天津三五汽车部件有限公司</v>
      </c>
    </row>
    <row r="683" spans="1:10">
      <c r="A683" s="1" t="str">
        <f t="shared" si="325"/>
        <v>天津三五汽车部件有限公司</v>
      </c>
      <c r="B683" s="1" t="str">
        <f>"汽车排气管备用模治具放置台"</f>
        <v>汽车排气管备用模治具放置台</v>
      </c>
      <c r="C683" s="1" t="str">
        <f t="shared" si="323"/>
        <v>实用新型</v>
      </c>
      <c r="D683" s="1" t="str">
        <f t="shared" si="326"/>
        <v>未缴年费专利权终止</v>
      </c>
      <c r="E683" s="1" t="str">
        <f>"CN201820869099.2"</f>
        <v>CN201820869099.2</v>
      </c>
      <c r="F683" s="1" t="str">
        <f t="shared" si="335"/>
        <v>2018-06-06</v>
      </c>
      <c r="G683" s="1" t="str">
        <f>"CN208557413U"</f>
        <v>CN208557413U</v>
      </c>
      <c r="H683" s="1" t="str">
        <f t="shared" si="334"/>
        <v>2019-03-01</v>
      </c>
      <c r="I683" s="1" t="s">
        <v>4899</v>
      </c>
      <c r="J683" s="1" t="str">
        <f t="shared" si="327"/>
        <v>天津三五汽车部件有限公司</v>
      </c>
    </row>
    <row r="684" spans="1:10">
      <c r="A684" s="1" t="str">
        <f t="shared" si="325"/>
        <v>天津三五汽车部件有限公司</v>
      </c>
      <c r="B684" s="1" t="str">
        <f>"汽车排气歧管送料装置"</f>
        <v>汽车排气歧管送料装置</v>
      </c>
      <c r="C684" s="1" t="str">
        <f t="shared" si="323"/>
        <v>实用新型</v>
      </c>
      <c r="D684" s="1" t="str">
        <f t="shared" si="326"/>
        <v>未缴年费专利权终止</v>
      </c>
      <c r="E684" s="1" t="str">
        <f>"CN201820869530.3"</f>
        <v>CN201820869530.3</v>
      </c>
      <c r="F684" s="1" t="str">
        <f t="shared" si="335"/>
        <v>2018-06-06</v>
      </c>
      <c r="G684" s="1" t="str">
        <f>"CN208560665U"</f>
        <v>CN208560665U</v>
      </c>
      <c r="H684" s="1" t="str">
        <f t="shared" si="334"/>
        <v>2019-03-01</v>
      </c>
      <c r="I684" s="1" t="s">
        <v>4899</v>
      </c>
      <c r="J684" s="1" t="str">
        <f t="shared" si="327"/>
        <v>天津三五汽车部件有限公司</v>
      </c>
    </row>
    <row r="685" spans="1:10">
      <c r="A685" s="1" t="str">
        <f t="shared" si="325"/>
        <v>天津三五汽车部件有限公司</v>
      </c>
      <c r="B685" s="1" t="str">
        <f>"汽车排气管人工检修台"</f>
        <v>汽车排气管人工检修台</v>
      </c>
      <c r="C685" s="1" t="str">
        <f t="shared" si="323"/>
        <v>实用新型</v>
      </c>
      <c r="D685" s="1" t="str">
        <f t="shared" si="326"/>
        <v>未缴年费专利权终止</v>
      </c>
      <c r="E685" s="1" t="str">
        <f>"CN201820869529.0"</f>
        <v>CN201820869529.0</v>
      </c>
      <c r="F685" s="1" t="str">
        <f t="shared" si="335"/>
        <v>2018-06-06</v>
      </c>
      <c r="G685" s="1" t="str">
        <f>"CN208567674U"</f>
        <v>CN208567674U</v>
      </c>
      <c r="H685" s="1" t="str">
        <f t="shared" si="334"/>
        <v>2019-03-01</v>
      </c>
      <c r="I685" s="1" t="s">
        <v>4899</v>
      </c>
      <c r="J685" s="1" t="str">
        <f t="shared" si="327"/>
        <v>天津三五汽车部件有限公司</v>
      </c>
    </row>
    <row r="686" spans="1:10">
      <c r="A686" s="1" t="str">
        <f t="shared" si="325"/>
        <v>天津三五汽车部件有限公司</v>
      </c>
      <c r="B686" s="1" t="str">
        <f>"汽车排气管焊接固定装置"</f>
        <v>汽车排气管焊接固定装置</v>
      </c>
      <c r="C686" s="1" t="str">
        <f t="shared" si="323"/>
        <v>实用新型</v>
      </c>
      <c r="D686" s="1" t="str">
        <f t="shared" si="326"/>
        <v>未缴年费专利权终止</v>
      </c>
      <c r="E686" s="1" t="str">
        <f>"CN201820869561.9"</f>
        <v>CN201820869561.9</v>
      </c>
      <c r="F686" s="1" t="str">
        <f t="shared" si="335"/>
        <v>2018-06-06</v>
      </c>
      <c r="G686" s="1" t="str">
        <f>"CN208556504U"</f>
        <v>CN208556504U</v>
      </c>
      <c r="H686" s="1" t="str">
        <f t="shared" si="334"/>
        <v>2019-03-01</v>
      </c>
      <c r="I686" s="1" t="s">
        <v>4899</v>
      </c>
      <c r="J686" s="1" t="str">
        <f t="shared" si="327"/>
        <v>天津三五汽车部件有限公司</v>
      </c>
    </row>
    <row r="687" spans="1:10">
      <c r="A687" s="1" t="str">
        <f t="shared" ref="A687:A721" si="336">"一汽丰田发动机（天津）有限公司"</f>
        <v>一汽丰田发动机（天津）有限公司</v>
      </c>
      <c r="B687" s="1" t="str">
        <f>"一种发动机减震器安装装置、安装方法及应用"</f>
        <v>一种发动机减震器安装装置、安装方法及应用</v>
      </c>
      <c r="C687" s="1" t="str">
        <f>"发明授权"</f>
        <v>发明授权</v>
      </c>
      <c r="D687" s="1" t="str">
        <f t="shared" ref="D687:D690" si="337">"授权"</f>
        <v>授权</v>
      </c>
      <c r="E687" s="1" t="str">
        <f>"CN202211037063.5"</f>
        <v>CN202211037063.5</v>
      </c>
      <c r="F687" s="1" t="str">
        <f>"2022-08-26"</f>
        <v>2022-08-26</v>
      </c>
      <c r="G687" s="1" t="str">
        <f>"CN115507147B"</f>
        <v>CN115507147B</v>
      </c>
      <c r="H687" s="1" t="str">
        <f>"2025-08-26"</f>
        <v>2025-08-26</v>
      </c>
      <c r="I687" s="1" t="str">
        <f>"袁方"</f>
        <v>袁方</v>
      </c>
      <c r="J687" s="1" t="str">
        <f t="shared" ref="J687:J714" si="338">"一汽丰田发动机(天津)有限公司"</f>
        <v>一汽丰田发动机(天津)有限公司</v>
      </c>
    </row>
    <row r="688" spans="1:10">
      <c r="A688" s="1" t="str">
        <f t="shared" si="336"/>
        <v>一汽丰田发动机（天津）有限公司</v>
      </c>
      <c r="B688" s="1" t="str">
        <f>"一种TNGA制芯机芯头托盘翻转装置"</f>
        <v>一种TNGA制芯机芯头托盘翻转装置</v>
      </c>
      <c r="C688" s="1" t="str">
        <f>"实用新型"</f>
        <v>实用新型</v>
      </c>
      <c r="D688" s="1" t="str">
        <f t="shared" si="337"/>
        <v>授权</v>
      </c>
      <c r="E688" s="1" t="str">
        <f>"CN202421935474.0"</f>
        <v>CN202421935474.0</v>
      </c>
      <c r="F688" s="1" t="str">
        <f>"2024-08-12"</f>
        <v>2024-08-12</v>
      </c>
      <c r="G688" s="1" t="str">
        <f>"CN223198017U"</f>
        <v>CN223198017U</v>
      </c>
      <c r="H688" s="1" t="str">
        <f>"2025-08-08"</f>
        <v>2025-08-08</v>
      </c>
      <c r="I688" s="1" t="str">
        <f>"王自强"</f>
        <v>王自强</v>
      </c>
      <c r="J688" s="1" t="str">
        <f t="shared" si="338"/>
        <v>一汽丰田发动机(天津)有限公司</v>
      </c>
    </row>
    <row r="689" spans="1:10">
      <c r="A689" s="1" t="str">
        <f t="shared" si="336"/>
        <v>一汽丰田发动机（天津）有限公司</v>
      </c>
      <c r="B689" s="1" t="str">
        <f>"一种EGR阀试漏治具结构、试漏检测方法以及应用"</f>
        <v>一种EGR阀试漏治具结构、试漏检测方法以及应用</v>
      </c>
      <c r="C689" s="1" t="str">
        <f t="shared" ref="C689:C693" si="339">"发明公布"</f>
        <v>发明公布</v>
      </c>
      <c r="D689" s="1" t="str">
        <f>"公布"</f>
        <v>公布</v>
      </c>
      <c r="E689" s="1" t="str">
        <f>"CN202411791485.0"</f>
        <v>CN202411791485.0</v>
      </c>
      <c r="F689" s="1" t="str">
        <f>"2024-12-06"</f>
        <v>2024-12-06</v>
      </c>
      <c r="G689" s="1" t="str">
        <f>"CN120333724A"</f>
        <v>CN120333724A</v>
      </c>
      <c r="H689" s="1" t="str">
        <f>"2025-07-18"</f>
        <v>2025-07-18</v>
      </c>
      <c r="I689" s="1" t="str">
        <f>"刘洋"</f>
        <v>刘洋</v>
      </c>
      <c r="J689" s="1" t="str">
        <f t="shared" si="338"/>
        <v>一汽丰田发动机(天津)有限公司</v>
      </c>
    </row>
    <row r="690" spans="1:10">
      <c r="A690" s="1" t="str">
        <f t="shared" si="336"/>
        <v>一汽丰田发动机（天津）有限公司</v>
      </c>
      <c r="B690" s="1" t="str">
        <f>"一种手珩磨刀具柄部支撑治具"</f>
        <v>一种手珩磨刀具柄部支撑治具</v>
      </c>
      <c r="C690" s="1" t="str">
        <f>"实用新型"</f>
        <v>实用新型</v>
      </c>
      <c r="D690" s="1" t="str">
        <f t="shared" si="337"/>
        <v>授权</v>
      </c>
      <c r="E690" s="1" t="str">
        <f>"CN202421325452.2"</f>
        <v>CN202421325452.2</v>
      </c>
      <c r="F690" s="1" t="str">
        <f>"2024-06-12"</f>
        <v>2024-06-12</v>
      </c>
      <c r="G690" s="1" t="str">
        <f>"CN222874199U"</f>
        <v>CN222874199U</v>
      </c>
      <c r="H690" s="1" t="str">
        <f>"2025-05-16"</f>
        <v>2025-05-16</v>
      </c>
      <c r="I690" s="1" t="str">
        <f>"屈亚光"</f>
        <v>屈亚光</v>
      </c>
      <c r="J690" s="1" t="str">
        <f t="shared" si="338"/>
        <v>一汽丰田发动机(天津)有限公司</v>
      </c>
    </row>
    <row r="691" spans="1:10">
      <c r="A691" s="1" t="str">
        <f t="shared" si="336"/>
        <v>一汽丰田发动机（天津）有限公司</v>
      </c>
      <c r="B691" s="1" t="str">
        <f>"一种室外冷却水塔的电加热防冻系统及方法"</f>
        <v>一种室外冷却水塔的电加热防冻系统及方法</v>
      </c>
      <c r="C691" s="1" t="str">
        <f t="shared" si="339"/>
        <v>发明公布</v>
      </c>
      <c r="D691" s="1" t="str">
        <f>"公布"</f>
        <v>公布</v>
      </c>
      <c r="E691" s="1" t="str">
        <f>"CN202411728914.X"</f>
        <v>CN202411728914.X</v>
      </c>
      <c r="F691" s="1" t="str">
        <f>"2024-11-28"</f>
        <v>2024-11-28</v>
      </c>
      <c r="G691" s="1" t="str">
        <f>"CN119642634A"</f>
        <v>CN119642634A</v>
      </c>
      <c r="H691" s="1" t="str">
        <f>"2025-03-18"</f>
        <v>2025-03-18</v>
      </c>
      <c r="I691" s="1" t="s">
        <v>4900</v>
      </c>
      <c r="J691" s="1" t="str">
        <f t="shared" si="338"/>
        <v>一汽丰田发动机(天津)有限公司</v>
      </c>
    </row>
    <row r="692" spans="1:10">
      <c r="A692" s="1" t="str">
        <f t="shared" si="336"/>
        <v>一汽丰田发动机（天津）有限公司</v>
      </c>
      <c r="B692" s="1" t="str">
        <f>"一种FIPG挤胶治具及挤胶袋挤胶方法"</f>
        <v>一种FIPG挤胶治具及挤胶袋挤胶方法</v>
      </c>
      <c r="C692" s="1" t="str">
        <f t="shared" si="339"/>
        <v>发明公布</v>
      </c>
      <c r="D692" s="1" t="str">
        <f t="shared" ref="D692:D699" si="340">"实质审查"</f>
        <v>实质审查</v>
      </c>
      <c r="E692" s="1" t="str">
        <f>"CN202411338014.4"</f>
        <v>CN202411338014.4</v>
      </c>
      <c r="F692" s="1" t="str">
        <f>"2024-09-25"</f>
        <v>2024-09-25</v>
      </c>
      <c r="G692" s="1" t="str">
        <f>"CN119327701A"</f>
        <v>CN119327701A</v>
      </c>
      <c r="H692" s="1" t="str">
        <f>"2025-01-21"</f>
        <v>2025-01-21</v>
      </c>
      <c r="I692" s="1" t="s">
        <v>4901</v>
      </c>
      <c r="J692" s="1" t="str">
        <f t="shared" si="338"/>
        <v>一汽丰田发动机(天津)有限公司</v>
      </c>
    </row>
    <row r="693" spans="1:10">
      <c r="A693" s="1" t="str">
        <f t="shared" si="336"/>
        <v>一汽丰田发动机（天津）有限公司</v>
      </c>
      <c r="B693" s="1" t="str">
        <f>"一种加工中心踏台及其操作方法"</f>
        <v>一种加工中心踏台及其操作方法</v>
      </c>
      <c r="C693" s="1" t="str">
        <f t="shared" si="339"/>
        <v>发明公布</v>
      </c>
      <c r="D693" s="1" t="str">
        <f t="shared" si="340"/>
        <v>实质审查</v>
      </c>
      <c r="E693" s="1" t="str">
        <f>"CN202411238599.2"</f>
        <v>CN202411238599.2</v>
      </c>
      <c r="F693" s="1" t="str">
        <f>"2024-09-05"</f>
        <v>2024-09-05</v>
      </c>
      <c r="G693" s="1" t="str">
        <f>"CN119077382A"</f>
        <v>CN119077382A</v>
      </c>
      <c r="H693" s="1" t="str">
        <f>"2024-12-06"</f>
        <v>2024-12-06</v>
      </c>
      <c r="I693" s="1" t="str">
        <f>"纪彧"</f>
        <v>纪彧</v>
      </c>
      <c r="J693" s="1" t="str">
        <f t="shared" si="338"/>
        <v>一汽丰田发动机(天津)有限公司</v>
      </c>
    </row>
    <row r="694" spans="1:10">
      <c r="A694" s="1" t="str">
        <f t="shared" si="336"/>
        <v>一汽丰田发动机（天津）有限公司</v>
      </c>
      <c r="B694" s="1" t="str">
        <f>"一种用于油桶水龙头的防脱落结构"</f>
        <v>一种用于油桶水龙头的防脱落结构</v>
      </c>
      <c r="C694" s="1" t="str">
        <f>"实用新型"</f>
        <v>实用新型</v>
      </c>
      <c r="D694" s="1" t="str">
        <f>"授权"</f>
        <v>授权</v>
      </c>
      <c r="E694" s="1" t="str">
        <f>"CN202322965597.0"</f>
        <v>CN202322965597.0</v>
      </c>
      <c r="F694" s="1" t="str">
        <f>"2023-11-03"</f>
        <v>2023-11-03</v>
      </c>
      <c r="G694" s="1" t="str">
        <f>"CN222062768U"</f>
        <v>CN222062768U</v>
      </c>
      <c r="H694" s="1" t="str">
        <f>"2024-11-26"</f>
        <v>2024-11-26</v>
      </c>
      <c r="I694" s="1" t="str">
        <f>"贾国明"</f>
        <v>贾国明</v>
      </c>
      <c r="J694" s="1" t="str">
        <f t="shared" si="338"/>
        <v>一汽丰田发动机(天津)有限公司</v>
      </c>
    </row>
    <row r="695" spans="1:10">
      <c r="A695" s="1" t="str">
        <f t="shared" si="336"/>
        <v>一汽丰田发动机（天津）有限公司</v>
      </c>
      <c r="B695" s="1" t="str">
        <f>"TNGA缸盖生产线TV机资材添加自动化装置及方法"</f>
        <v>TNGA缸盖生产线TV机资材添加自动化装置及方法</v>
      </c>
      <c r="C695" s="1" t="str">
        <f t="shared" ref="C695:C699" si="341">"发明公布"</f>
        <v>发明公布</v>
      </c>
      <c r="D695" s="1" t="str">
        <f t="shared" si="340"/>
        <v>实质审查</v>
      </c>
      <c r="E695" s="1" t="str">
        <f>"CN202410943732.8"</f>
        <v>CN202410943732.8</v>
      </c>
      <c r="F695" s="1" t="str">
        <f>"2024-07-15"</f>
        <v>2024-07-15</v>
      </c>
      <c r="G695" s="1" t="str">
        <f>"CN118998628A"</f>
        <v>CN118998628A</v>
      </c>
      <c r="H695" s="1" t="str">
        <f>"2024-11-22"</f>
        <v>2024-11-22</v>
      </c>
      <c r="I695" s="1" t="str">
        <f>"牛兴民"</f>
        <v>牛兴民</v>
      </c>
      <c r="J695" s="1" t="str">
        <f t="shared" si="338"/>
        <v>一汽丰田发动机(天津)有限公司</v>
      </c>
    </row>
    <row r="696" spans="1:10">
      <c r="A696" s="1" t="str">
        <f t="shared" si="336"/>
        <v>一汽丰田发动机（天津）有限公司</v>
      </c>
      <c r="B696" s="1" t="str">
        <f>"一种发动机爆震传感器安装治具及旋拧力度检测方法"</f>
        <v>一种发动机爆震传感器安装治具及旋拧力度检测方法</v>
      </c>
      <c r="C696" s="1" t="str">
        <f t="shared" si="341"/>
        <v>发明公布</v>
      </c>
      <c r="D696" s="1" t="str">
        <f t="shared" si="340"/>
        <v>实质审查</v>
      </c>
      <c r="E696" s="1" t="str">
        <f>"CN202410850970.4"</f>
        <v>CN202410850970.4</v>
      </c>
      <c r="F696" s="1" t="str">
        <f>"2024-06-28"</f>
        <v>2024-06-28</v>
      </c>
      <c r="G696" s="1" t="str">
        <f>"CN118905999A"</f>
        <v>CN118905999A</v>
      </c>
      <c r="H696" s="1" t="str">
        <f>"2024-11-08"</f>
        <v>2024-11-08</v>
      </c>
      <c r="I696" s="1" t="str">
        <f>"赵会武"</f>
        <v>赵会武</v>
      </c>
      <c r="J696" s="1" t="str">
        <f t="shared" si="338"/>
        <v>一汽丰田发动机(天津)有限公司</v>
      </c>
    </row>
    <row r="697" spans="1:10">
      <c r="A697" s="1" t="str">
        <f t="shared" si="336"/>
        <v>一汽丰田发动机（天津）有限公司</v>
      </c>
      <c r="B697" s="1" t="str">
        <f>"一种发动机完成品部件自动检测装置及方法"</f>
        <v>一种发动机完成品部件自动检测装置及方法</v>
      </c>
      <c r="C697" s="1" t="str">
        <f t="shared" si="341"/>
        <v>发明公布</v>
      </c>
      <c r="D697" s="1" t="str">
        <f t="shared" si="340"/>
        <v>实质审查</v>
      </c>
      <c r="E697" s="1" t="str">
        <f>"CN202410843102.3"</f>
        <v>CN202410843102.3</v>
      </c>
      <c r="F697" s="1" t="str">
        <f>"2024-06-27"</f>
        <v>2024-06-27</v>
      </c>
      <c r="G697" s="1" t="str">
        <f>"CN118918346A"</f>
        <v>CN118918346A</v>
      </c>
      <c r="H697" s="1" t="str">
        <f>"2024-11-08"</f>
        <v>2024-11-08</v>
      </c>
      <c r="I697" s="1" t="s">
        <v>4902</v>
      </c>
      <c r="J697" s="1" t="str">
        <f t="shared" si="338"/>
        <v>一汽丰田发动机(天津)有限公司</v>
      </c>
    </row>
    <row r="698" spans="1:10">
      <c r="A698" s="1" t="str">
        <f t="shared" si="336"/>
        <v>一汽丰田发动机（天津）有限公司</v>
      </c>
      <c r="B698" s="1" t="str">
        <f>"一种改进的夹具举升下降托架及设计方法"</f>
        <v>一种改进的夹具举升下降托架及设计方法</v>
      </c>
      <c r="C698" s="1" t="str">
        <f t="shared" si="341"/>
        <v>发明公布</v>
      </c>
      <c r="D698" s="1" t="str">
        <f t="shared" si="340"/>
        <v>实质审查</v>
      </c>
      <c r="E698" s="1" t="str">
        <f>"CN202410843100.4"</f>
        <v>CN202410843100.4</v>
      </c>
      <c r="F698" s="1" t="str">
        <f>"2024-06-27"</f>
        <v>2024-06-27</v>
      </c>
      <c r="G698" s="1" t="str">
        <f>"CN118809278A"</f>
        <v>CN118809278A</v>
      </c>
      <c r="H698" s="1" t="str">
        <f>"2024-10-22"</f>
        <v>2024-10-22</v>
      </c>
      <c r="I698" s="1" t="str">
        <f>"花晓瑞"</f>
        <v>花晓瑞</v>
      </c>
      <c r="J698" s="1" t="str">
        <f t="shared" si="338"/>
        <v>一汽丰田发动机(天津)有限公司</v>
      </c>
    </row>
    <row r="699" spans="1:10">
      <c r="A699" s="1" t="str">
        <f t="shared" si="336"/>
        <v>一汽丰田发动机（天津）有限公司</v>
      </c>
      <c r="B699" s="1" t="str">
        <f>"一种排气管孔工艺密封治具及使用方法"</f>
        <v>一种排气管孔工艺密封治具及使用方法</v>
      </c>
      <c r="C699" s="1" t="str">
        <f t="shared" si="341"/>
        <v>发明公布</v>
      </c>
      <c r="D699" s="1" t="str">
        <f t="shared" si="340"/>
        <v>实质审查</v>
      </c>
      <c r="E699" s="1" t="str">
        <f>"CN202410676419.2"</f>
        <v>CN202410676419.2</v>
      </c>
      <c r="F699" s="1" t="str">
        <f>"2024-05-29"</f>
        <v>2024-05-29</v>
      </c>
      <c r="G699" s="1" t="str">
        <f>"CN118686931A"</f>
        <v>CN118686931A</v>
      </c>
      <c r="H699" s="1" t="str">
        <f>"2024-09-24"</f>
        <v>2024-09-24</v>
      </c>
      <c r="I699" s="1" t="str">
        <f>"于涛"</f>
        <v>于涛</v>
      </c>
      <c r="J699" s="1" t="str">
        <f t="shared" si="338"/>
        <v>一汽丰田发动机(天津)有限公司</v>
      </c>
    </row>
    <row r="700" spans="1:10">
      <c r="A700" s="1" t="str">
        <f t="shared" si="336"/>
        <v>一汽丰田发动机（天津）有限公司</v>
      </c>
      <c r="B700" s="1" t="str">
        <f>"一种FIPG胶接着性试验装置"</f>
        <v>一种FIPG胶接着性试验装置</v>
      </c>
      <c r="C700" s="1" t="str">
        <f>"实用新型"</f>
        <v>实用新型</v>
      </c>
      <c r="D700" s="1" t="str">
        <f>"授权"</f>
        <v>授权</v>
      </c>
      <c r="E700" s="1" t="str">
        <f>"CN202323442274.X"</f>
        <v>CN202323442274.X</v>
      </c>
      <c r="F700" s="1" t="str">
        <f>"2023-12-15"</f>
        <v>2023-12-15</v>
      </c>
      <c r="G700" s="1" t="str">
        <f>"CN221686169U"</f>
        <v>CN221686169U</v>
      </c>
      <c r="H700" s="1" t="str">
        <f>"2024-09-10"</f>
        <v>2024-09-10</v>
      </c>
      <c r="I700" s="1" t="s">
        <v>4903</v>
      </c>
      <c r="J700" s="1" t="str">
        <f t="shared" si="338"/>
        <v>一汽丰田发动机(天津)有限公司</v>
      </c>
    </row>
    <row r="701" spans="1:10">
      <c r="A701" s="1" t="str">
        <f t="shared" si="336"/>
        <v>一汽丰田发动机（天津）有限公司</v>
      </c>
      <c r="B701" s="1" t="str">
        <f>"一种缸盖完成品夹持用吊具及夹持方法"</f>
        <v>一种缸盖完成品夹持用吊具及夹持方法</v>
      </c>
      <c r="C701" s="1" t="str">
        <f>"发明授权"</f>
        <v>发明授权</v>
      </c>
      <c r="D701" s="1" t="str">
        <f>"授权"</f>
        <v>授权</v>
      </c>
      <c r="E701" s="1" t="str">
        <f>"CN202210441371.8"</f>
        <v>CN202210441371.8</v>
      </c>
      <c r="F701" s="1" t="str">
        <f>"2022-04-25"</f>
        <v>2022-04-25</v>
      </c>
      <c r="G701" s="1" t="str">
        <f>"CN114715594B"</f>
        <v>CN114715594B</v>
      </c>
      <c r="H701" s="1" t="str">
        <f>"2024-06-25"</f>
        <v>2024-06-25</v>
      </c>
      <c r="I701" s="1" t="s">
        <v>4904</v>
      </c>
      <c r="J701" s="1" t="str">
        <f t="shared" si="338"/>
        <v>一汽丰田发动机(天津)有限公司</v>
      </c>
    </row>
    <row r="702" spans="1:10">
      <c r="A702" s="1" t="str">
        <f t="shared" si="336"/>
        <v>一汽丰田发动机（天津）有限公司</v>
      </c>
      <c r="B702" s="1" t="str">
        <f>"一种珩磨头砂条表面粗度检测治具及方法"</f>
        <v>一种珩磨头砂条表面粗度检测治具及方法</v>
      </c>
      <c r="C702" s="1" t="str">
        <f t="shared" ref="C702:C709" si="342">"发明公布"</f>
        <v>发明公布</v>
      </c>
      <c r="D702" s="1" t="str">
        <f t="shared" ref="D702:D709" si="343">"实质审查"</f>
        <v>实质审查</v>
      </c>
      <c r="E702" s="1" t="str">
        <f>"CN202311650995.1"</f>
        <v>CN202311650995.1</v>
      </c>
      <c r="F702" s="1" t="str">
        <f>"2023-12-05"</f>
        <v>2023-12-05</v>
      </c>
      <c r="G702" s="1" t="str">
        <f>"CN117889731A"</f>
        <v>CN117889731A</v>
      </c>
      <c r="H702" s="1" t="str">
        <f>"2024-04-16"</f>
        <v>2024-04-16</v>
      </c>
      <c r="I702" s="1" t="str">
        <f>"周旭"</f>
        <v>周旭</v>
      </c>
      <c r="J702" s="1" t="str">
        <f t="shared" si="338"/>
        <v>一汽丰田发动机(天津)有限公司</v>
      </c>
    </row>
    <row r="703" spans="1:10">
      <c r="A703" s="1" t="str">
        <f t="shared" si="336"/>
        <v>一汽丰田发动机（天津）有限公司</v>
      </c>
      <c r="B703" s="1" t="str">
        <f>"一种凸轮轴止推面安装槽加工刀具、设计方法及应用"</f>
        <v>一种凸轮轴止推面安装槽加工刀具、设计方法及应用</v>
      </c>
      <c r="C703" s="1" t="str">
        <f t="shared" si="342"/>
        <v>发明公布</v>
      </c>
      <c r="D703" s="1" t="str">
        <f t="shared" si="343"/>
        <v>实质审查</v>
      </c>
      <c r="E703" s="1" t="str">
        <f>"CN202311619354.X"</f>
        <v>CN202311619354.X</v>
      </c>
      <c r="F703" s="1" t="str">
        <f>"2023-11-30"</f>
        <v>2023-11-30</v>
      </c>
      <c r="G703" s="1" t="str">
        <f>"CN117381040A"</f>
        <v>CN117381040A</v>
      </c>
      <c r="H703" s="1" t="str">
        <f>"2024-01-12"</f>
        <v>2024-01-12</v>
      </c>
      <c r="I703" s="1" t="str">
        <f>"甄在庄"</f>
        <v>甄在庄</v>
      </c>
      <c r="J703" s="1" t="str">
        <f t="shared" si="338"/>
        <v>一汽丰田发动机(天津)有限公司</v>
      </c>
    </row>
    <row r="704" spans="1:10">
      <c r="A704" s="1" t="str">
        <f t="shared" si="336"/>
        <v>一汽丰田发动机（天津）有限公司</v>
      </c>
      <c r="B704" s="1" t="str">
        <f>"一种曲轴齿圈去除装置及调控方法"</f>
        <v>一种曲轴齿圈去除装置及调控方法</v>
      </c>
      <c r="C704" s="1" t="str">
        <f t="shared" si="342"/>
        <v>发明公布</v>
      </c>
      <c r="D704" s="1" t="str">
        <f t="shared" si="343"/>
        <v>实质审查</v>
      </c>
      <c r="E704" s="1" t="str">
        <f>"CN202310745211.7"</f>
        <v>CN202310745211.7</v>
      </c>
      <c r="F704" s="1" t="str">
        <f>"2023-06-21"</f>
        <v>2023-06-21</v>
      </c>
      <c r="G704" s="1" t="str">
        <f>"CN116967734A"</f>
        <v>CN116967734A</v>
      </c>
      <c r="H704" s="1" t="str">
        <f>"2023-10-31"</f>
        <v>2023-10-31</v>
      </c>
      <c r="I704" s="1" t="str">
        <f>"李义"</f>
        <v>李义</v>
      </c>
      <c r="J704" s="1" t="str">
        <f t="shared" si="338"/>
        <v>一汽丰田发动机(天津)有限公司</v>
      </c>
    </row>
    <row r="705" spans="1:10">
      <c r="A705" s="1" t="str">
        <f t="shared" si="336"/>
        <v>一汽丰田发动机（天津）有限公司</v>
      </c>
      <c r="B705" s="1" t="str">
        <f>"一种液压挺柱组装机夹头结构及安装公差调控方法"</f>
        <v>一种液压挺柱组装机夹头结构及安装公差调控方法</v>
      </c>
      <c r="C705" s="1" t="str">
        <f t="shared" si="342"/>
        <v>发明公布</v>
      </c>
      <c r="D705" s="1" t="str">
        <f t="shared" si="343"/>
        <v>实质审查</v>
      </c>
      <c r="E705" s="1" t="str">
        <f>"CN202310731180.X"</f>
        <v>CN202310731180.X</v>
      </c>
      <c r="F705" s="1" t="str">
        <f>"2023-06-20"</f>
        <v>2023-06-20</v>
      </c>
      <c r="G705" s="1" t="str">
        <f>"CN116852060A"</f>
        <v>CN116852060A</v>
      </c>
      <c r="H705" s="1" t="str">
        <f>"2023-10-10"</f>
        <v>2023-10-10</v>
      </c>
      <c r="I705" s="1" t="str">
        <f>"刘洋"</f>
        <v>刘洋</v>
      </c>
      <c r="J705" s="1" t="str">
        <f t="shared" si="338"/>
        <v>一汽丰田发动机(天津)有限公司</v>
      </c>
    </row>
    <row r="706" spans="1:10">
      <c r="A706" s="1" t="str">
        <f t="shared" si="336"/>
        <v>一汽丰田发动机（天津）有限公司</v>
      </c>
      <c r="B706" s="1" t="str">
        <f>"一种缸盖毛坯防误加工装置的视觉影像识别方法"</f>
        <v>一种缸盖毛坯防误加工装置的视觉影像识别方法</v>
      </c>
      <c r="C706" s="1" t="str">
        <f t="shared" si="342"/>
        <v>发明公布</v>
      </c>
      <c r="D706" s="1" t="str">
        <f t="shared" si="343"/>
        <v>实质审查</v>
      </c>
      <c r="E706" s="1" t="str">
        <f>"CN202310711323.0"</f>
        <v>CN202310711323.0</v>
      </c>
      <c r="F706" s="1" t="str">
        <f>"2023-06-15"</f>
        <v>2023-06-15</v>
      </c>
      <c r="G706" s="1" t="str">
        <f>"CN116740025A"</f>
        <v>CN116740025A</v>
      </c>
      <c r="H706" s="1" t="str">
        <f>"2023-09-12"</f>
        <v>2023-09-12</v>
      </c>
      <c r="I706" s="1" t="str">
        <f>"李国立"</f>
        <v>李国立</v>
      </c>
      <c r="J706" s="1" t="str">
        <f t="shared" si="338"/>
        <v>一汽丰田发动机(天津)有限公司</v>
      </c>
    </row>
    <row r="707" spans="1:10">
      <c r="A707" s="1" t="str">
        <f t="shared" si="336"/>
        <v>一汽丰田发动机（天津）有限公司</v>
      </c>
      <c r="B707" s="1" t="str">
        <f>"一种碗形塞压入设备压头拾取部品的检知方法及设备"</f>
        <v>一种碗形塞压入设备压头拾取部品的检知方法及设备</v>
      </c>
      <c r="C707" s="1" t="str">
        <f t="shared" si="342"/>
        <v>发明公布</v>
      </c>
      <c r="D707" s="1" t="str">
        <f t="shared" si="343"/>
        <v>实质审查</v>
      </c>
      <c r="E707" s="1" t="str">
        <f>"CN202310738377.6"</f>
        <v>CN202310738377.6</v>
      </c>
      <c r="F707" s="1" t="str">
        <f>"2023-06-21"</f>
        <v>2023-06-21</v>
      </c>
      <c r="G707" s="1" t="str">
        <f>"CN116713717A"</f>
        <v>CN116713717A</v>
      </c>
      <c r="H707" s="1" t="str">
        <f>"2023-09-08"</f>
        <v>2023-09-08</v>
      </c>
      <c r="I707" s="1" t="str">
        <f>"吕晓冬"</f>
        <v>吕晓冬</v>
      </c>
      <c r="J707" s="1" t="str">
        <f t="shared" si="338"/>
        <v>一汽丰田发动机(天津)有限公司</v>
      </c>
    </row>
    <row r="708" spans="1:10">
      <c r="A708" s="1" t="str">
        <f t="shared" si="336"/>
        <v>一汽丰田发动机（天津）有限公司</v>
      </c>
      <c r="B708" s="1" t="str">
        <f>"一种缸盖铸造工程托盘自动分离装置及分离方法"</f>
        <v>一种缸盖铸造工程托盘自动分离装置及分离方法</v>
      </c>
      <c r="C708" s="1" t="str">
        <f t="shared" si="342"/>
        <v>发明公布</v>
      </c>
      <c r="D708" s="1" t="str">
        <f t="shared" si="343"/>
        <v>实质审查</v>
      </c>
      <c r="E708" s="1" t="str">
        <f>"CN202310712372.6"</f>
        <v>CN202310712372.6</v>
      </c>
      <c r="F708" s="1" t="str">
        <f>"2023-06-15"</f>
        <v>2023-06-15</v>
      </c>
      <c r="G708" s="1" t="str">
        <f>"CN116692397A"</f>
        <v>CN116692397A</v>
      </c>
      <c r="H708" s="1" t="str">
        <f>"2023-09-05"</f>
        <v>2023-09-05</v>
      </c>
      <c r="I708" s="1" t="s">
        <v>4905</v>
      </c>
      <c r="J708" s="1" t="str">
        <f t="shared" si="338"/>
        <v>一汽丰田发动机(天津)有限公司</v>
      </c>
    </row>
    <row r="709" spans="1:10">
      <c r="A709" s="1" t="str">
        <f t="shared" si="336"/>
        <v>一汽丰田发动机（天津）有限公司</v>
      </c>
      <c r="B709" s="1" t="str">
        <f>"一种缸盖空托盘返回气动滑道及调控方法"</f>
        <v>一种缸盖空托盘返回气动滑道及调控方法</v>
      </c>
      <c r="C709" s="1" t="str">
        <f t="shared" si="342"/>
        <v>发明公布</v>
      </c>
      <c r="D709" s="1" t="str">
        <f t="shared" si="343"/>
        <v>实质审查</v>
      </c>
      <c r="E709" s="1" t="str">
        <f>"CN202310694886.3"</f>
        <v>CN202310694886.3</v>
      </c>
      <c r="F709" s="1" t="str">
        <f>"2023-06-13"</f>
        <v>2023-06-13</v>
      </c>
      <c r="G709" s="1" t="str">
        <f>"CN116692486A"</f>
        <v>CN116692486A</v>
      </c>
      <c r="H709" s="1" t="str">
        <f>"2023-09-05"</f>
        <v>2023-09-05</v>
      </c>
      <c r="I709" s="1" t="s">
        <v>4906</v>
      </c>
      <c r="J709" s="1" t="str">
        <f t="shared" si="338"/>
        <v>一汽丰田发动机(天津)有限公司</v>
      </c>
    </row>
    <row r="710" spans="1:10">
      <c r="A710" s="1" t="str">
        <f t="shared" si="336"/>
        <v>一汽丰田发动机（天津）有限公司</v>
      </c>
      <c r="B710" s="1" t="str">
        <f>"一种高压燃油管试漏用快速拆装密封堵"</f>
        <v>一种高压燃油管试漏用快速拆装密封堵</v>
      </c>
      <c r="C710" s="1" t="str">
        <f t="shared" ref="C710:C713" si="344">"实用新型"</f>
        <v>实用新型</v>
      </c>
      <c r="D710" s="1" t="str">
        <f t="shared" ref="D710:D713" si="345">"授权"</f>
        <v>授权</v>
      </c>
      <c r="E710" s="1" t="str">
        <f>"CN202223335395.X"</f>
        <v>CN202223335395.X</v>
      </c>
      <c r="F710" s="1" t="str">
        <f>"2022-12-12"</f>
        <v>2022-12-12</v>
      </c>
      <c r="G710" s="1" t="str">
        <f>"CN218992768U"</f>
        <v>CN218992768U</v>
      </c>
      <c r="H710" s="1" t="str">
        <f>"2023-05-09"</f>
        <v>2023-05-09</v>
      </c>
      <c r="I710" s="1" t="str">
        <f>"任航"</f>
        <v>任航</v>
      </c>
      <c r="J710" s="1" t="str">
        <f t="shared" si="338"/>
        <v>一汽丰田发动机(天津)有限公司</v>
      </c>
    </row>
    <row r="711" spans="1:10">
      <c r="A711" s="1" t="str">
        <f t="shared" si="336"/>
        <v>一汽丰田发动机（天津）有限公司</v>
      </c>
      <c r="B711" s="1" t="str">
        <f>"电机编码线缆通断检测器装置、方法、控制器及实验系统"</f>
        <v>电机编码线缆通断检测器装置、方法、控制器及实验系统</v>
      </c>
      <c r="C711" s="1" t="str">
        <f>"发明公布"</f>
        <v>发明公布</v>
      </c>
      <c r="D711" s="1" t="str">
        <f>"实质审查"</f>
        <v>实质审查</v>
      </c>
      <c r="E711" s="1" t="str">
        <f>"CN202210712660.7"</f>
        <v>CN202210712660.7</v>
      </c>
      <c r="F711" s="1" t="str">
        <f>"2022-06-22"</f>
        <v>2022-06-22</v>
      </c>
      <c r="G711" s="1" t="str">
        <f>"CN115097356A"</f>
        <v>CN115097356A</v>
      </c>
      <c r="H711" s="1" t="str">
        <f>"2022-09-23"</f>
        <v>2022-09-23</v>
      </c>
      <c r="I711" s="1" t="str">
        <f>"张永臣"</f>
        <v>张永臣</v>
      </c>
      <c r="J711" s="1" t="str">
        <f t="shared" si="338"/>
        <v>一汽丰田发动机(天津)有限公司</v>
      </c>
    </row>
    <row r="712" spans="1:10">
      <c r="A712" s="1" t="str">
        <f t="shared" si="336"/>
        <v>一汽丰田发动机（天津）有限公司</v>
      </c>
      <c r="B712" s="1" t="str">
        <f>"冷却水管取出器"</f>
        <v>冷却水管取出器</v>
      </c>
      <c r="C712" s="1" t="str">
        <f t="shared" si="344"/>
        <v>实用新型</v>
      </c>
      <c r="D712" s="1" t="str">
        <f t="shared" si="345"/>
        <v>授权</v>
      </c>
      <c r="E712" s="1" t="str">
        <f>"CN202123296240.5"</f>
        <v>CN202123296240.5</v>
      </c>
      <c r="F712" s="1" t="str">
        <f>"2021-12-24"</f>
        <v>2021-12-24</v>
      </c>
      <c r="G712" s="1" t="str">
        <f>"CN217166723U"</f>
        <v>CN217166723U</v>
      </c>
      <c r="H712" s="1" t="str">
        <f t="shared" ref="H712:H714" si="346">"2022-08-12"</f>
        <v>2022-08-12</v>
      </c>
      <c r="I712" s="1" t="s">
        <v>4907</v>
      </c>
      <c r="J712" s="1" t="str">
        <f t="shared" si="338"/>
        <v>一汽丰田发动机(天津)有限公司</v>
      </c>
    </row>
    <row r="713" spans="1:10">
      <c r="A713" s="1" t="str">
        <f t="shared" si="336"/>
        <v>一汽丰田发动机（天津）有限公司</v>
      </c>
      <c r="B713" s="1" t="str">
        <f>"涂料搅拌机"</f>
        <v>涂料搅拌机</v>
      </c>
      <c r="C713" s="1" t="str">
        <f t="shared" si="344"/>
        <v>实用新型</v>
      </c>
      <c r="D713" s="1" t="str">
        <f t="shared" si="345"/>
        <v>授权</v>
      </c>
      <c r="E713" s="1" t="str">
        <f>"CN202123288464.1"</f>
        <v>CN202123288464.1</v>
      </c>
      <c r="F713" s="1" t="str">
        <f>"2021-12-24"</f>
        <v>2021-12-24</v>
      </c>
      <c r="G713" s="1" t="str">
        <f>"CN217164097U"</f>
        <v>CN217164097U</v>
      </c>
      <c r="H713" s="1" t="str">
        <f t="shared" si="346"/>
        <v>2022-08-12</v>
      </c>
      <c r="I713" s="1" t="s">
        <v>4907</v>
      </c>
      <c r="J713" s="1" t="str">
        <f t="shared" si="338"/>
        <v>一汽丰田发动机(天津)有限公司</v>
      </c>
    </row>
    <row r="714" spans="1:10">
      <c r="A714" s="1" t="str">
        <f t="shared" si="336"/>
        <v>一汽丰田发动机（天津）有限公司</v>
      </c>
      <c r="B714" s="1" t="str">
        <f>"基于无机中子工艺的中子冷却装置及充型不良改善方法"</f>
        <v>基于无机中子工艺的中子冷却装置及充型不良改善方法</v>
      </c>
      <c r="C714" s="1" t="str">
        <f>"发明公布"</f>
        <v>发明公布</v>
      </c>
      <c r="D714" s="1" t="str">
        <f>"公布驳回"</f>
        <v>公布驳回</v>
      </c>
      <c r="E714" s="1" t="str">
        <f>"CN202210445454.4"</f>
        <v>CN202210445454.4</v>
      </c>
      <c r="F714" s="1" t="str">
        <f>"2022-04-26"</f>
        <v>2022-04-26</v>
      </c>
      <c r="G714" s="1" t="str">
        <f>"CN114888241A"</f>
        <v>CN114888241A</v>
      </c>
      <c r="H714" s="1" t="str">
        <f t="shared" si="346"/>
        <v>2022-08-12</v>
      </c>
      <c r="I714" s="1" t="str">
        <f>"吴艳楠"</f>
        <v>吴艳楠</v>
      </c>
      <c r="J714" s="1" t="str">
        <f t="shared" si="338"/>
        <v>一汽丰田发动机(天津)有限公司</v>
      </c>
    </row>
    <row r="715" spans="1:10">
      <c r="A715" s="1" t="str">
        <f t="shared" si="336"/>
        <v>一汽丰田发动机（天津）有限公司</v>
      </c>
      <c r="B715" s="1" t="str">
        <f>"发动机凸轮轴桃部基圆跳动测定装置"</f>
        <v>发动机凸轮轴桃部基圆跳动测定装置</v>
      </c>
      <c r="C715" s="1" t="str">
        <f t="shared" ref="C715:C720" si="347">"实用新型"</f>
        <v>实用新型</v>
      </c>
      <c r="D715" s="1" t="str">
        <f t="shared" ref="D715:D720" si="348">"授权"</f>
        <v>授权</v>
      </c>
      <c r="E715" s="1" t="str">
        <f>"CN202122459706.2"</f>
        <v>CN202122459706.2</v>
      </c>
      <c r="F715" s="1" t="str">
        <f>"2021-10-13"</f>
        <v>2021-10-13</v>
      </c>
      <c r="G715" s="1" t="str">
        <f>"CN216348170U"</f>
        <v>CN216348170U</v>
      </c>
      <c r="H715" s="1" t="str">
        <f>"2022-04-19"</f>
        <v>2022-04-19</v>
      </c>
      <c r="I715" s="1" t="s">
        <v>4908</v>
      </c>
      <c r="J715" s="1" t="str">
        <f>"一汽丰田发动机（天津）有限公司"</f>
        <v>一汽丰田发动机（天津）有限公司</v>
      </c>
    </row>
    <row r="716" spans="1:10">
      <c r="A716" s="1" t="str">
        <f t="shared" si="336"/>
        <v>一汽丰田发动机（天津）有限公司</v>
      </c>
      <c r="B716" s="1" t="str">
        <f>"发动机凸轮轴角度传感器安装治具"</f>
        <v>发动机凸轮轴角度传感器安装治具</v>
      </c>
      <c r="C716" s="1" t="str">
        <f t="shared" si="347"/>
        <v>实用新型</v>
      </c>
      <c r="D716" s="1" t="str">
        <f t="shared" si="348"/>
        <v>授权</v>
      </c>
      <c r="E716" s="1" t="str">
        <f>"CN202121773677.0"</f>
        <v>CN202121773677.0</v>
      </c>
      <c r="F716" s="1" t="str">
        <f t="shared" ref="F716:F720" si="349">"2021-08-02"</f>
        <v>2021-08-02</v>
      </c>
      <c r="G716" s="1" t="str">
        <f>"CN216328022U"</f>
        <v>CN216328022U</v>
      </c>
      <c r="H716" s="1" t="str">
        <f>"2022-04-19"</f>
        <v>2022-04-19</v>
      </c>
      <c r="I716" s="1" t="str">
        <f>"牛群"</f>
        <v>牛群</v>
      </c>
      <c r="J716" s="1" t="str">
        <f>"一汽丰田发动机（天津）有限公司"</f>
        <v>一汽丰田发动机（天津）有限公司</v>
      </c>
    </row>
    <row r="717" spans="1:10">
      <c r="A717" s="1" t="str">
        <f t="shared" si="336"/>
        <v>一汽丰田发动机（天津）有限公司</v>
      </c>
      <c r="B717" s="1" t="str">
        <f>"TNGA组装线前油封压入治具"</f>
        <v>TNGA组装线前油封压入治具</v>
      </c>
      <c r="C717" s="1" t="str">
        <f t="shared" si="347"/>
        <v>实用新型</v>
      </c>
      <c r="D717" s="1" t="str">
        <f t="shared" si="348"/>
        <v>授权</v>
      </c>
      <c r="E717" s="1" t="str">
        <f>"CN202121798220.5"</f>
        <v>CN202121798220.5</v>
      </c>
      <c r="F717" s="1" t="str">
        <f t="shared" si="349"/>
        <v>2021-08-02</v>
      </c>
      <c r="G717" s="1" t="str">
        <f>"CN215789575U"</f>
        <v>CN215789575U</v>
      </c>
      <c r="H717" s="1" t="str">
        <f t="shared" ref="H717:H720" si="350">"2022-02-11"</f>
        <v>2022-02-11</v>
      </c>
      <c r="I717" s="1" t="str">
        <f>"韩宇"</f>
        <v>韩宇</v>
      </c>
      <c r="J717" s="1" t="str">
        <f t="shared" ref="J717:J720" si="351">"天津一汽丰田发动机有限公司"</f>
        <v>天津一汽丰田发动机有限公司</v>
      </c>
    </row>
    <row r="718" spans="1:10">
      <c r="A718" s="1" t="str">
        <f t="shared" si="336"/>
        <v>一汽丰田发动机（天津）有限公司</v>
      </c>
      <c r="B718" s="1" t="str">
        <f>"发动机组装线地链传送带挡块结构"</f>
        <v>发动机组装线地链传送带挡块结构</v>
      </c>
      <c r="C718" s="1" t="str">
        <f t="shared" si="347"/>
        <v>实用新型</v>
      </c>
      <c r="D718" s="1" t="str">
        <f t="shared" si="348"/>
        <v>授权</v>
      </c>
      <c r="E718" s="1" t="str">
        <f>"CN202121773679.X"</f>
        <v>CN202121773679.X</v>
      </c>
      <c r="F718" s="1" t="str">
        <f t="shared" si="349"/>
        <v>2021-08-02</v>
      </c>
      <c r="G718" s="1" t="str">
        <f>"CN215796303U"</f>
        <v>CN215796303U</v>
      </c>
      <c r="H718" s="1" t="str">
        <f t="shared" si="350"/>
        <v>2022-02-11</v>
      </c>
      <c r="I718" s="1" t="str">
        <f>"高健"</f>
        <v>高健</v>
      </c>
      <c r="J718" s="1" t="str">
        <f t="shared" si="351"/>
        <v>天津一汽丰田发动机有限公司</v>
      </c>
    </row>
    <row r="719" spans="1:10">
      <c r="A719" s="1" t="str">
        <f t="shared" si="336"/>
        <v>一汽丰田发动机（天津）有限公司</v>
      </c>
      <c r="B719" s="1" t="str">
        <f>"发动机止推片有无检测治具"</f>
        <v>发动机止推片有无检测治具</v>
      </c>
      <c r="C719" s="1" t="str">
        <f t="shared" si="347"/>
        <v>实用新型</v>
      </c>
      <c r="D719" s="1" t="str">
        <f t="shared" si="348"/>
        <v>授权</v>
      </c>
      <c r="E719" s="1" t="str">
        <f>"CN202121786726.4"</f>
        <v>CN202121786726.4</v>
      </c>
      <c r="F719" s="1" t="str">
        <f t="shared" si="349"/>
        <v>2021-08-02</v>
      </c>
      <c r="G719" s="1" t="str">
        <f>"CN215811636U"</f>
        <v>CN215811636U</v>
      </c>
      <c r="H719" s="1" t="str">
        <f t="shared" si="350"/>
        <v>2022-02-11</v>
      </c>
      <c r="I719" s="1" t="str">
        <f>"牛群"</f>
        <v>牛群</v>
      </c>
      <c r="J719" s="1" t="str">
        <f t="shared" si="351"/>
        <v>天津一汽丰田发动机有限公司</v>
      </c>
    </row>
    <row r="720" spans="1:10">
      <c r="A720" s="1" t="str">
        <f t="shared" si="336"/>
        <v>一汽丰田发动机（天津）有限公司</v>
      </c>
      <c r="B720" s="1" t="str">
        <f>"发动机组装线气门涂油防漏序互锁机构"</f>
        <v>发动机组装线气门涂油防漏序互锁机构</v>
      </c>
      <c r="C720" s="1" t="str">
        <f t="shared" si="347"/>
        <v>实用新型</v>
      </c>
      <c r="D720" s="1" t="str">
        <f t="shared" si="348"/>
        <v>授权</v>
      </c>
      <c r="E720" s="1" t="str">
        <f>"CN202121773678.5"</f>
        <v>CN202121773678.5</v>
      </c>
      <c r="F720" s="1" t="str">
        <f t="shared" si="349"/>
        <v>2021-08-02</v>
      </c>
      <c r="G720" s="1" t="str">
        <f>"CN215784480U"</f>
        <v>CN215784480U</v>
      </c>
      <c r="H720" s="1" t="str">
        <f t="shared" si="350"/>
        <v>2022-02-11</v>
      </c>
      <c r="I720" s="1" t="str">
        <f>"任航"</f>
        <v>任航</v>
      </c>
      <c r="J720" s="1" t="str">
        <f t="shared" si="351"/>
        <v>天津一汽丰田发动机有限公司</v>
      </c>
    </row>
    <row r="721" spans="1:10">
      <c r="A721" s="1" t="str">
        <f t="shared" si="336"/>
        <v>一汽丰田发动机（天津）有限公司</v>
      </c>
      <c r="B721" s="1" t="str">
        <f>"连杆自动投料装置"</f>
        <v>连杆自动投料装置</v>
      </c>
      <c r="C721" s="1" t="str">
        <f>"发明公布"</f>
        <v>发明公布</v>
      </c>
      <c r="D721" s="1" t="str">
        <f>"公布驳回"</f>
        <v>公布驳回</v>
      </c>
      <c r="E721" s="1" t="str">
        <f>"CN202111126018.2"</f>
        <v>CN202111126018.2</v>
      </c>
      <c r="F721" s="1" t="str">
        <f>"2021-09-26"</f>
        <v>2021-09-26</v>
      </c>
      <c r="G721" s="1" t="str">
        <f>"CN113857804A"</f>
        <v>CN113857804A</v>
      </c>
      <c r="H721" s="1" t="str">
        <f>"2021-12-31"</f>
        <v>2021-12-31</v>
      </c>
      <c r="I721" s="1" t="str">
        <f>"强巍"</f>
        <v>强巍</v>
      </c>
      <c r="J721" s="1" t="str">
        <f>"一汽丰田发动机（天津）有限公司"</f>
        <v>一汽丰田发动机（天津）有限公司</v>
      </c>
    </row>
    <row r="722" spans="1:10">
      <c r="A722" s="1" t="str">
        <f t="shared" ref="A722:A750" si="352">"天津丰田合成有限公司"</f>
        <v>天津丰田合成有限公司</v>
      </c>
      <c r="B722" s="1" t="str">
        <f>"料把自动切除装置"</f>
        <v>料把自动切除装置</v>
      </c>
      <c r="C722" s="1" t="str">
        <f>"发明授权"</f>
        <v>发明授权</v>
      </c>
      <c r="D722" s="1" t="str">
        <f t="shared" ref="D722:D725" si="353">"未缴年费专利权终止"</f>
        <v>未缴年费专利权终止</v>
      </c>
      <c r="E722" s="1" t="str">
        <f>"CN201110313451.7"</f>
        <v>CN201110313451.7</v>
      </c>
      <c r="F722" s="1" t="str">
        <f>"2011-10-17"</f>
        <v>2011-10-17</v>
      </c>
      <c r="G722" s="1" t="str">
        <f>"CN102358008B"</f>
        <v>CN102358008B</v>
      </c>
      <c r="H722" s="1" t="str">
        <f>"2013-12-04"</f>
        <v>2013-12-04</v>
      </c>
      <c r="I722" s="1" t="str">
        <f>"孙皓"</f>
        <v>孙皓</v>
      </c>
      <c r="J722" s="1" t="str">
        <f t="shared" ref="J722:J733" si="354">"天津丰田合成有限公司"</f>
        <v>天津丰田合成有限公司</v>
      </c>
    </row>
    <row r="723" spans="1:10">
      <c r="A723" s="1" t="str">
        <f t="shared" si="352"/>
        <v>天津丰田合成有限公司</v>
      </c>
      <c r="B723" s="1" t="str">
        <f>"表皮切割装置"</f>
        <v>表皮切割装置</v>
      </c>
      <c r="C723" s="1" t="str">
        <f t="shared" ref="C723:C728" si="355">"实用新型"</f>
        <v>实用新型</v>
      </c>
      <c r="D723" s="1" t="str">
        <f t="shared" si="353"/>
        <v>未缴年费专利权终止</v>
      </c>
      <c r="E723" s="1" t="str">
        <f>"CN201220120198.3"</f>
        <v>CN201220120198.3</v>
      </c>
      <c r="F723" s="1" t="str">
        <f t="shared" ref="F723:F727" si="356">"2012-03-27"</f>
        <v>2012-03-27</v>
      </c>
      <c r="G723" s="1" t="str">
        <f>"CN202507323U"</f>
        <v>CN202507323U</v>
      </c>
      <c r="H723" s="1" t="str">
        <f>"2012-10-31"</f>
        <v>2012-10-31</v>
      </c>
      <c r="I723" s="1" t="str">
        <f>"宋玥"</f>
        <v>宋玥</v>
      </c>
      <c r="J723" s="1" t="str">
        <f t="shared" si="354"/>
        <v>天津丰田合成有限公司</v>
      </c>
    </row>
    <row r="724" spans="1:10">
      <c r="A724" s="1" t="str">
        <f t="shared" si="352"/>
        <v>天津丰田合成有限公司</v>
      </c>
      <c r="B724" s="1" t="str">
        <f>"汽车前防护栅部品自动供给装置"</f>
        <v>汽车前防护栅部品自动供给装置</v>
      </c>
      <c r="C724" s="1" t="str">
        <f t="shared" si="355"/>
        <v>实用新型</v>
      </c>
      <c r="D724" s="1" t="str">
        <f t="shared" si="353"/>
        <v>未缴年费专利权终止</v>
      </c>
      <c r="E724" s="1" t="str">
        <f>"CN201220118453.0"</f>
        <v>CN201220118453.0</v>
      </c>
      <c r="F724" s="1" t="str">
        <f t="shared" si="356"/>
        <v>2012-03-27</v>
      </c>
      <c r="G724" s="1" t="str">
        <f>"CN202508568U"</f>
        <v>CN202508568U</v>
      </c>
      <c r="H724" s="1" t="str">
        <f>"2012-10-31"</f>
        <v>2012-10-31</v>
      </c>
      <c r="I724" s="1" t="str">
        <f>"唐建波"</f>
        <v>唐建波</v>
      </c>
      <c r="J724" s="1" t="str">
        <f t="shared" si="354"/>
        <v>天津丰田合成有限公司</v>
      </c>
    </row>
    <row r="725" spans="1:10">
      <c r="A725" s="1" t="str">
        <f t="shared" si="352"/>
        <v>天津丰田合成有限公司</v>
      </c>
      <c r="B725" s="1" t="str">
        <f>"一种汽车部件喷涂生产线"</f>
        <v>一种汽车部件喷涂生产线</v>
      </c>
      <c r="C725" s="1" t="str">
        <f>"发明授权"</f>
        <v>发明授权</v>
      </c>
      <c r="D725" s="1" t="str">
        <f t="shared" si="353"/>
        <v>未缴年费专利权终止</v>
      </c>
      <c r="E725" s="1" t="str">
        <f>"CN201010102166.6"</f>
        <v>CN201010102166.6</v>
      </c>
      <c r="F725" s="1" t="str">
        <f>"2010-01-28"</f>
        <v>2010-01-28</v>
      </c>
      <c r="G725" s="1" t="str">
        <f>"CN101767076B"</f>
        <v>CN101767076B</v>
      </c>
      <c r="H725" s="1" t="str">
        <f>"2012-09-05"</f>
        <v>2012-09-05</v>
      </c>
      <c r="I725" s="1" t="str">
        <f>"董燕杰"</f>
        <v>董燕杰</v>
      </c>
      <c r="J725" s="1" t="str">
        <f t="shared" si="354"/>
        <v>天津丰田合成有限公司</v>
      </c>
    </row>
    <row r="726" spans="1:10">
      <c r="A726" s="1" t="str">
        <f t="shared" si="352"/>
        <v>天津丰田合成有限公司</v>
      </c>
      <c r="B726" s="1" t="str">
        <f>"表皮切割装置"</f>
        <v>表皮切割装置</v>
      </c>
      <c r="C726" s="1" t="str">
        <f>"发明公布"</f>
        <v>发明公布</v>
      </c>
      <c r="D726" s="1" t="str">
        <f>"公布视为撤回"</f>
        <v>公布视为撤回</v>
      </c>
      <c r="E726" s="1" t="str">
        <f>"CN201210083066.2"</f>
        <v>CN201210083066.2</v>
      </c>
      <c r="F726" s="1" t="str">
        <f t="shared" si="356"/>
        <v>2012-03-27</v>
      </c>
      <c r="G726" s="1" t="str">
        <f>"CN102601812A"</f>
        <v>CN102601812A</v>
      </c>
      <c r="H726" s="1" t="str">
        <f>"2012-07-25"</f>
        <v>2012-07-25</v>
      </c>
      <c r="I726" s="1" t="str">
        <f>"宋玥"</f>
        <v>宋玥</v>
      </c>
      <c r="J726" s="1" t="str">
        <f t="shared" si="354"/>
        <v>天津丰田合成有限公司</v>
      </c>
    </row>
    <row r="727" spans="1:10">
      <c r="A727" s="1" t="str">
        <f t="shared" si="352"/>
        <v>天津丰田合成有限公司</v>
      </c>
      <c r="B727" s="1" t="str">
        <f>"汽车前防护栅部品自动供给装置"</f>
        <v>汽车前防护栅部品自动供给装置</v>
      </c>
      <c r="C727" s="1" t="str">
        <f>"发明公布"</f>
        <v>发明公布</v>
      </c>
      <c r="D727" s="1" t="str">
        <f>"公布视为撤回"</f>
        <v>公布视为撤回</v>
      </c>
      <c r="E727" s="1" t="str">
        <f>"CN201210083248.X"</f>
        <v>CN201210083248.X</v>
      </c>
      <c r="F727" s="1" t="str">
        <f t="shared" si="356"/>
        <v>2012-03-27</v>
      </c>
      <c r="G727" s="1" t="str">
        <f>"CN102602664A"</f>
        <v>CN102602664A</v>
      </c>
      <c r="H727" s="1" t="str">
        <f>"2012-07-25"</f>
        <v>2012-07-25</v>
      </c>
      <c r="I727" s="1" t="str">
        <f>"唐建波"</f>
        <v>唐建波</v>
      </c>
      <c r="J727" s="1" t="str">
        <f t="shared" si="354"/>
        <v>天津丰田合成有限公司</v>
      </c>
    </row>
    <row r="728" spans="1:10">
      <c r="A728" s="1" t="str">
        <f t="shared" si="352"/>
        <v>天津丰田合成有限公司</v>
      </c>
      <c r="B728" s="1" t="str">
        <f>"部品防错装置"</f>
        <v>部品防错装置</v>
      </c>
      <c r="C728" s="1" t="str">
        <f t="shared" si="355"/>
        <v>实用新型</v>
      </c>
      <c r="D728" s="1" t="str">
        <f t="shared" ref="D728:D731" si="357">"未缴年费专利权终止"</f>
        <v>未缴年费专利权终止</v>
      </c>
      <c r="E728" s="1" t="str">
        <f>"CN201120349717.9"</f>
        <v>CN201120349717.9</v>
      </c>
      <c r="F728" s="1" t="str">
        <f t="shared" ref="F728:F733" si="358">"2011-09-19"</f>
        <v>2011-09-19</v>
      </c>
      <c r="G728" s="1" t="str">
        <f>"CN202245137U"</f>
        <v>CN202245137U</v>
      </c>
      <c r="H728" s="1" t="str">
        <f t="shared" ref="H728:H730" si="359">"2012-05-30"</f>
        <v>2012-05-30</v>
      </c>
      <c r="I728" s="1" t="str">
        <f>"吴泰福"</f>
        <v>吴泰福</v>
      </c>
      <c r="J728" s="1" t="str">
        <f t="shared" si="354"/>
        <v>天津丰田合成有限公司</v>
      </c>
    </row>
    <row r="729" spans="1:10">
      <c r="A729" s="1" t="str">
        <f t="shared" si="352"/>
        <v>天津丰田合成有限公司</v>
      </c>
      <c r="B729" s="1" t="str">
        <f>"注塑成型空打料制饼装置"</f>
        <v>注塑成型空打料制饼装置</v>
      </c>
      <c r="C729" s="1" t="str">
        <f>"发明授权"</f>
        <v>发明授权</v>
      </c>
      <c r="D729" s="1" t="str">
        <f t="shared" si="357"/>
        <v>未缴年费专利权终止</v>
      </c>
      <c r="E729" s="1" t="str">
        <f>"CN200910244854.3"</f>
        <v>CN200910244854.3</v>
      </c>
      <c r="F729" s="1" t="str">
        <f>"2009-12-17"</f>
        <v>2009-12-17</v>
      </c>
      <c r="G729" s="1" t="str">
        <f>"CN101758574B"</f>
        <v>CN101758574B</v>
      </c>
      <c r="H729" s="1" t="str">
        <f t="shared" si="359"/>
        <v>2012-05-30</v>
      </c>
      <c r="I729" s="1" t="str">
        <f>"阮江松"</f>
        <v>阮江松</v>
      </c>
      <c r="J729" s="1" t="str">
        <f t="shared" si="354"/>
        <v>天津丰田合成有限公司</v>
      </c>
    </row>
    <row r="730" spans="1:10">
      <c r="A730" s="1" t="str">
        <f t="shared" si="352"/>
        <v>天津丰田合成有限公司</v>
      </c>
      <c r="B730" s="1" t="str">
        <f>"料把自动切除装置"</f>
        <v>料把自动切除装置</v>
      </c>
      <c r="C730" s="1" t="str">
        <f>"实用新型"</f>
        <v>实用新型</v>
      </c>
      <c r="D730" s="1" t="str">
        <f>"避重放弃"</f>
        <v>避重放弃</v>
      </c>
      <c r="E730" s="1" t="str">
        <f>"CN201120393507.X"</f>
        <v>CN201120393507.X</v>
      </c>
      <c r="F730" s="1" t="str">
        <f>"2011-10-17"</f>
        <v>2011-10-17</v>
      </c>
      <c r="G730" s="1" t="str">
        <f>"CN202241856U"</f>
        <v>CN202241856U</v>
      </c>
      <c r="H730" s="1" t="str">
        <f t="shared" si="359"/>
        <v>2012-05-30</v>
      </c>
      <c r="I730" s="1" t="str">
        <f>"孙皓"</f>
        <v>孙皓</v>
      </c>
      <c r="J730" s="1" t="str">
        <f t="shared" si="354"/>
        <v>天津丰田合成有限公司</v>
      </c>
    </row>
    <row r="731" spans="1:10">
      <c r="A731" s="1" t="str">
        <f t="shared" si="352"/>
        <v>天津丰田合成有限公司</v>
      </c>
      <c r="B731" s="1" t="str">
        <f>"一种无需人工打磨的冲压磨边装置"</f>
        <v>一种无需人工打磨的冲压磨边装置</v>
      </c>
      <c r="C731" s="1" t="str">
        <f>"实用新型"</f>
        <v>实用新型</v>
      </c>
      <c r="D731" s="1" t="str">
        <f t="shared" si="357"/>
        <v>未缴年费专利权终止</v>
      </c>
      <c r="E731" s="1" t="str">
        <f>"CN201120349319.7"</f>
        <v>CN201120349319.7</v>
      </c>
      <c r="F731" s="1" t="str">
        <f t="shared" si="358"/>
        <v>2011-09-19</v>
      </c>
      <c r="G731" s="1" t="str">
        <f>"CN202224644U"</f>
        <v>CN202224644U</v>
      </c>
      <c r="H731" s="1" t="str">
        <f>"2012-05-23"</f>
        <v>2012-05-23</v>
      </c>
      <c r="I731" s="1" t="s">
        <v>4909</v>
      </c>
      <c r="J731" s="1" t="str">
        <f t="shared" si="354"/>
        <v>天津丰田合成有限公司</v>
      </c>
    </row>
    <row r="732" spans="1:10">
      <c r="A732" s="1" t="str">
        <f t="shared" si="352"/>
        <v>天津丰田合成有限公司</v>
      </c>
      <c r="B732" s="1" t="str">
        <f>"部品防错装置"</f>
        <v>部品防错装置</v>
      </c>
      <c r="C732" s="1" t="str">
        <f>"发明公布"</f>
        <v>发明公布</v>
      </c>
      <c r="D732" s="1" t="str">
        <f>"公布视为撤回"</f>
        <v>公布视为撤回</v>
      </c>
      <c r="E732" s="1" t="str">
        <f>"CN201110277002.1"</f>
        <v>CN201110277002.1</v>
      </c>
      <c r="F732" s="1" t="str">
        <f t="shared" si="358"/>
        <v>2011-09-19</v>
      </c>
      <c r="G732" s="1" t="str">
        <f>"CN102320450A"</f>
        <v>CN102320450A</v>
      </c>
      <c r="H732" s="1" t="str">
        <f>"2012-01-18"</f>
        <v>2012-01-18</v>
      </c>
      <c r="I732" s="1" t="str">
        <f>"吴泰福"</f>
        <v>吴泰福</v>
      </c>
      <c r="J732" s="1" t="str">
        <f t="shared" si="354"/>
        <v>天津丰田合成有限公司</v>
      </c>
    </row>
    <row r="733" spans="1:10">
      <c r="A733" s="1" t="str">
        <f t="shared" si="352"/>
        <v>天津丰田合成有限公司</v>
      </c>
      <c r="B733" s="1" t="str">
        <f>"一种无需人工打磨的冲压磨边装置"</f>
        <v>一种无需人工打磨的冲压磨边装置</v>
      </c>
      <c r="C733" s="1" t="str">
        <f>"发明公布"</f>
        <v>发明公布</v>
      </c>
      <c r="D733" s="1" t="str">
        <f>"公布视为撤回"</f>
        <v>公布视为撤回</v>
      </c>
      <c r="E733" s="1" t="str">
        <f>"CN201110276784.7"</f>
        <v>CN201110276784.7</v>
      </c>
      <c r="F733" s="1" t="str">
        <f t="shared" si="358"/>
        <v>2011-09-19</v>
      </c>
      <c r="G733" s="1" t="str">
        <f>"CN102310189A"</f>
        <v>CN102310189A</v>
      </c>
      <c r="H733" s="1" t="str">
        <f>"2012-01-11"</f>
        <v>2012-01-11</v>
      </c>
      <c r="I733" s="1" t="s">
        <v>4909</v>
      </c>
      <c r="J733" s="1" t="str">
        <f t="shared" si="354"/>
        <v>天津丰田合成有限公司</v>
      </c>
    </row>
    <row r="734" spans="1:10">
      <c r="A734" s="1" t="str">
        <f t="shared" si="352"/>
        <v>天津丰田合成有限公司</v>
      </c>
      <c r="B734" s="1" t="str">
        <f>"托盘打包卷带"</f>
        <v>托盘打包卷带</v>
      </c>
      <c r="C734" s="1" t="str">
        <f>"外观设计"</f>
        <v>外观设计</v>
      </c>
      <c r="D734" s="1" t="str">
        <f t="shared" ref="D734:D736" si="360">"未缴年费专利权终止"</f>
        <v>未缴年费专利权终止</v>
      </c>
      <c r="E734" s="1" t="str">
        <f>"CN201130020353.5"</f>
        <v>CN201130020353.5</v>
      </c>
      <c r="F734" s="1" t="str">
        <f>"2011-02-10"</f>
        <v>2011-02-10</v>
      </c>
      <c r="G734" s="1" t="str">
        <f>"CN301757725S"</f>
        <v>CN301757725S</v>
      </c>
      <c r="H734" s="1" t="str">
        <f>"2011-12-14"</f>
        <v>2011-12-14</v>
      </c>
      <c r="I734" s="1" t="str">
        <f>"武山和隆"</f>
        <v>武山和隆</v>
      </c>
      <c r="J734" s="1" t="s">
        <v>4910</v>
      </c>
    </row>
    <row r="735" spans="1:10">
      <c r="A735" s="1" t="str">
        <f t="shared" si="352"/>
        <v>天津丰田合成有限公司</v>
      </c>
      <c r="B735" s="1" t="str">
        <f>"汽车安全气囊上发生器自动紧固装置"</f>
        <v>汽车安全气囊上发生器自动紧固装置</v>
      </c>
      <c r="C735" s="1" t="str">
        <f>"发明授权"</f>
        <v>发明授权</v>
      </c>
      <c r="D735" s="1" t="str">
        <f t="shared" si="360"/>
        <v>未缴年费专利权终止</v>
      </c>
      <c r="E735" s="1" t="str">
        <f>"CN201010102178.9"</f>
        <v>CN201010102178.9</v>
      </c>
      <c r="F735" s="1" t="str">
        <f t="shared" ref="F735:F739" si="361">"2010-01-28"</f>
        <v>2010-01-28</v>
      </c>
      <c r="G735" s="1" t="str">
        <f>"CN101767277B"</f>
        <v>CN101767277B</v>
      </c>
      <c r="H735" s="1" t="str">
        <f>"2011-08-17"</f>
        <v>2011-08-17</v>
      </c>
      <c r="I735" s="1" t="str">
        <f>"宋亚楠"</f>
        <v>宋亚楠</v>
      </c>
      <c r="J735" s="1" t="str">
        <f t="shared" ref="J735:J750" si="362">"天津丰田合成有限公司"</f>
        <v>天津丰田合成有限公司</v>
      </c>
    </row>
    <row r="736" spans="1:10">
      <c r="A736" s="1" t="str">
        <f t="shared" si="352"/>
        <v>天津丰田合成有限公司</v>
      </c>
      <c r="B736" s="1" t="str">
        <f>"托盘打包卷带以及托盘"</f>
        <v>托盘打包卷带以及托盘</v>
      </c>
      <c r="C736" s="1" t="str">
        <f t="shared" ref="C736:C743" si="363">"实用新型"</f>
        <v>实用新型</v>
      </c>
      <c r="D736" s="1" t="str">
        <f t="shared" si="360"/>
        <v>未缴年费专利权终止</v>
      </c>
      <c r="E736" s="1" t="str">
        <f>"CN201120024056.2"</f>
        <v>CN201120024056.2</v>
      </c>
      <c r="F736" s="1" t="str">
        <f>"2011-01-25"</f>
        <v>2011-01-25</v>
      </c>
      <c r="G736" s="1" t="str">
        <f>"CN201932770U"</f>
        <v>CN201932770U</v>
      </c>
      <c r="H736" s="1" t="str">
        <f>"2011-08-17"</f>
        <v>2011-08-17</v>
      </c>
      <c r="I736" s="1" t="str">
        <f>"武山和隆"</f>
        <v>武山和隆</v>
      </c>
      <c r="J736" s="1" t="s">
        <v>4911</v>
      </c>
    </row>
    <row r="737" spans="1:10">
      <c r="A737" s="1" t="str">
        <f t="shared" si="352"/>
        <v>天津丰田合成有限公司</v>
      </c>
      <c r="B737" s="1" t="str">
        <f>"汽车安全气囊上发生器自动紧固装置"</f>
        <v>汽车安全气囊上发生器自动紧固装置</v>
      </c>
      <c r="C737" s="1" t="str">
        <f t="shared" si="363"/>
        <v>实用新型</v>
      </c>
      <c r="D737" s="1" t="str">
        <f t="shared" ref="D737:D741" si="364">"避重放弃"</f>
        <v>避重放弃</v>
      </c>
      <c r="E737" s="1" t="str">
        <f>"CN201020103100.4"</f>
        <v>CN201020103100.4</v>
      </c>
      <c r="F737" s="1" t="str">
        <f t="shared" si="361"/>
        <v>2010-01-28</v>
      </c>
      <c r="G737" s="1" t="str">
        <f>"CN201597547U"</f>
        <v>CN201597547U</v>
      </c>
      <c r="H737" s="1" t="str">
        <f>"2010-10-06"</f>
        <v>2010-10-06</v>
      </c>
      <c r="I737" s="1" t="str">
        <f>"宋亚楠"</f>
        <v>宋亚楠</v>
      </c>
      <c r="J737" s="1" t="str">
        <f t="shared" si="362"/>
        <v>天津丰田合成有限公司</v>
      </c>
    </row>
    <row r="738" spans="1:10">
      <c r="A738" s="1" t="str">
        <f t="shared" si="352"/>
        <v>天津丰田合成有限公司</v>
      </c>
      <c r="B738" s="1" t="str">
        <f>"铸铝成型用给汤勺"</f>
        <v>铸铝成型用给汤勺</v>
      </c>
      <c r="C738" s="1" t="str">
        <f t="shared" si="363"/>
        <v>实用新型</v>
      </c>
      <c r="D738" s="1" t="str">
        <f t="shared" ref="D738:D743" si="365">"未缴年费专利权终止"</f>
        <v>未缴年费专利权终止</v>
      </c>
      <c r="E738" s="1" t="str">
        <f>"CN200920251789.2"</f>
        <v>CN200920251789.2</v>
      </c>
      <c r="F738" s="1" t="str">
        <f t="shared" ref="F738:F743" si="366">"2009-12-17"</f>
        <v>2009-12-17</v>
      </c>
      <c r="G738" s="1" t="str">
        <f>"CN201579399U"</f>
        <v>CN201579399U</v>
      </c>
      <c r="H738" s="1" t="str">
        <f>"2010-09-15"</f>
        <v>2010-09-15</v>
      </c>
      <c r="I738" s="1" t="s">
        <v>4912</v>
      </c>
      <c r="J738" s="1" t="str">
        <f t="shared" si="362"/>
        <v>天津丰田合成有限公司</v>
      </c>
    </row>
    <row r="739" spans="1:10">
      <c r="A739" s="1" t="str">
        <f t="shared" si="352"/>
        <v>天津丰田合成有限公司</v>
      </c>
      <c r="B739" s="1" t="str">
        <f>"一种汽车部件喷涂生产线"</f>
        <v>一种汽车部件喷涂生产线</v>
      </c>
      <c r="C739" s="1" t="str">
        <f t="shared" si="363"/>
        <v>实用新型</v>
      </c>
      <c r="D739" s="1" t="str">
        <f t="shared" si="364"/>
        <v>避重放弃</v>
      </c>
      <c r="E739" s="1" t="str">
        <f>"CN201020103118.4"</f>
        <v>CN201020103118.4</v>
      </c>
      <c r="F739" s="1" t="str">
        <f t="shared" si="361"/>
        <v>2010-01-28</v>
      </c>
      <c r="G739" s="1" t="str">
        <f>"CN201579168U"</f>
        <v>CN201579168U</v>
      </c>
      <c r="H739" s="1" t="str">
        <f>"2010-09-15"</f>
        <v>2010-09-15</v>
      </c>
      <c r="I739" s="1" t="str">
        <f>"董燕杰"</f>
        <v>董燕杰</v>
      </c>
      <c r="J739" s="1" t="str">
        <f t="shared" si="362"/>
        <v>天津丰田合成有限公司</v>
      </c>
    </row>
    <row r="740" spans="1:10">
      <c r="A740" s="1" t="str">
        <f t="shared" si="352"/>
        <v>天津丰田合成有限公司</v>
      </c>
      <c r="B740" s="1" t="str">
        <f>"树脂注塑成型中使用的模具推拉装置"</f>
        <v>树脂注塑成型中使用的模具推拉装置</v>
      </c>
      <c r="C740" s="1" t="str">
        <f t="shared" si="363"/>
        <v>实用新型</v>
      </c>
      <c r="D740" s="1" t="str">
        <f t="shared" si="365"/>
        <v>未缴年费专利权终止</v>
      </c>
      <c r="E740" s="1" t="str">
        <f>"CN200920251787.3"</f>
        <v>CN200920251787.3</v>
      </c>
      <c r="F740" s="1" t="str">
        <f t="shared" si="366"/>
        <v>2009-12-17</v>
      </c>
      <c r="G740" s="1" t="str">
        <f>"CN201559286U"</f>
        <v>CN201559286U</v>
      </c>
      <c r="H740" s="1" t="str">
        <f t="shared" ref="H740:H743" si="367">"2010-08-25"</f>
        <v>2010-08-25</v>
      </c>
      <c r="I740" s="1" t="str">
        <f>"李立君"</f>
        <v>李立君</v>
      </c>
      <c r="J740" s="1" t="str">
        <f t="shared" si="362"/>
        <v>天津丰田合成有限公司</v>
      </c>
    </row>
    <row r="741" spans="1:10">
      <c r="A741" s="1" t="str">
        <f t="shared" si="352"/>
        <v>天津丰田合成有限公司</v>
      </c>
      <c r="B741" s="1" t="str">
        <f>"注塑成型空打料制饼装置"</f>
        <v>注塑成型空打料制饼装置</v>
      </c>
      <c r="C741" s="1" t="str">
        <f t="shared" si="363"/>
        <v>实用新型</v>
      </c>
      <c r="D741" s="1" t="str">
        <f t="shared" si="364"/>
        <v>避重放弃</v>
      </c>
      <c r="E741" s="1" t="str">
        <f>"CN200920251786.9"</f>
        <v>CN200920251786.9</v>
      </c>
      <c r="F741" s="1" t="str">
        <f t="shared" si="366"/>
        <v>2009-12-17</v>
      </c>
      <c r="G741" s="1" t="str">
        <f>"CN201559267U"</f>
        <v>CN201559267U</v>
      </c>
      <c r="H741" s="1" t="str">
        <f t="shared" si="367"/>
        <v>2010-08-25</v>
      </c>
      <c r="I741" s="1" t="str">
        <f>"阮江松"</f>
        <v>阮江松</v>
      </c>
      <c r="J741" s="1" t="str">
        <f t="shared" si="362"/>
        <v>天津丰田合成有限公司</v>
      </c>
    </row>
    <row r="742" spans="1:10">
      <c r="A742" s="1" t="str">
        <f t="shared" si="352"/>
        <v>天津丰田合成有限公司</v>
      </c>
      <c r="B742" s="1" t="str">
        <f>"注塑成型空打料制条装置"</f>
        <v>注塑成型空打料制条装置</v>
      </c>
      <c r="C742" s="1" t="str">
        <f t="shared" si="363"/>
        <v>实用新型</v>
      </c>
      <c r="D742" s="1" t="str">
        <f t="shared" si="365"/>
        <v>未缴年费专利权终止</v>
      </c>
      <c r="E742" s="1" t="str">
        <f>"CN200920251788.8"</f>
        <v>CN200920251788.8</v>
      </c>
      <c r="F742" s="1" t="str">
        <f t="shared" si="366"/>
        <v>2009-12-17</v>
      </c>
      <c r="G742" s="1" t="str">
        <f>"CN201559268U"</f>
        <v>CN201559268U</v>
      </c>
      <c r="H742" s="1" t="str">
        <f t="shared" si="367"/>
        <v>2010-08-25</v>
      </c>
      <c r="I742" s="1" t="str">
        <f>"冯恩坤"</f>
        <v>冯恩坤</v>
      </c>
      <c r="J742" s="1" t="str">
        <f t="shared" si="362"/>
        <v>天津丰田合成有限公司</v>
      </c>
    </row>
    <row r="743" spans="1:10">
      <c r="A743" s="1" t="str">
        <f t="shared" si="352"/>
        <v>天津丰田合成有限公司</v>
      </c>
      <c r="B743" s="1" t="str">
        <f>"汽车部件用铆钉装置"</f>
        <v>汽车部件用铆钉装置</v>
      </c>
      <c r="C743" s="1" t="str">
        <f t="shared" si="363"/>
        <v>实用新型</v>
      </c>
      <c r="D743" s="1" t="str">
        <f t="shared" si="365"/>
        <v>未缴年费专利权终止</v>
      </c>
      <c r="E743" s="1" t="str">
        <f>"CN200920251790.5"</f>
        <v>CN200920251790.5</v>
      </c>
      <c r="F743" s="1" t="str">
        <f t="shared" si="366"/>
        <v>2009-12-17</v>
      </c>
      <c r="G743" s="1" t="str">
        <f>"CN201558931U"</f>
        <v>CN201558931U</v>
      </c>
      <c r="H743" s="1" t="str">
        <f t="shared" si="367"/>
        <v>2010-08-25</v>
      </c>
      <c r="I743" s="1" t="str">
        <f>"王彩云"</f>
        <v>王彩云</v>
      </c>
      <c r="J743" s="1" t="str">
        <f t="shared" si="362"/>
        <v>天津丰田合成有限公司</v>
      </c>
    </row>
    <row r="744" spans="1:10">
      <c r="A744" s="1" t="str">
        <f t="shared" si="352"/>
        <v>天津丰田合成有限公司</v>
      </c>
      <c r="B744" s="1" t="str">
        <f>"一种能够防止汽车安全气囊盒出现漏焊、错焊的焊接装置"</f>
        <v>一种能够防止汽车安全气囊盒出现漏焊、错焊的焊接装置</v>
      </c>
      <c r="C744" s="1" t="str">
        <f t="shared" ref="C744:C750" si="368">"发明公布"</f>
        <v>发明公布</v>
      </c>
      <c r="D744" s="1" t="str">
        <f>"公布撤回"</f>
        <v>公布撤回</v>
      </c>
      <c r="E744" s="1" t="str">
        <f>"CN201010102148.8"</f>
        <v>CN201010102148.8</v>
      </c>
      <c r="F744" s="1" t="str">
        <f>"2010-01-28"</f>
        <v>2010-01-28</v>
      </c>
      <c r="G744" s="1" t="str">
        <f>"CN101774060A"</f>
        <v>CN101774060A</v>
      </c>
      <c r="H744" s="1" t="str">
        <f>"2010-07-14"</f>
        <v>2010-07-14</v>
      </c>
      <c r="I744" s="1" t="str">
        <f>"池焘"</f>
        <v>池焘</v>
      </c>
      <c r="J744" s="1" t="str">
        <f t="shared" si="362"/>
        <v>天津丰田合成有限公司</v>
      </c>
    </row>
    <row r="745" spans="1:10">
      <c r="A745" s="1" t="str">
        <f t="shared" si="352"/>
        <v>天津丰田合成有限公司</v>
      </c>
      <c r="B745" s="1" t="str">
        <f>"树脂注塑成型中使用的模具推拉装置"</f>
        <v>树脂注塑成型中使用的模具推拉装置</v>
      </c>
      <c r="C745" s="1" t="str">
        <f t="shared" si="368"/>
        <v>发明公布</v>
      </c>
      <c r="D745" s="1" t="str">
        <f t="shared" ref="D745:D750" si="369">"公布视为撤回"</f>
        <v>公布视为撤回</v>
      </c>
      <c r="E745" s="1" t="str">
        <f>"CN200910244857.7"</f>
        <v>CN200910244857.7</v>
      </c>
      <c r="F745" s="1" t="str">
        <f t="shared" ref="F745:F749" si="370">"2009-12-17"</f>
        <v>2009-12-17</v>
      </c>
      <c r="G745" s="1" t="str">
        <f>"CN101758600A"</f>
        <v>CN101758600A</v>
      </c>
      <c r="H745" s="1" t="str">
        <f t="shared" ref="H745:H749" si="371">"2010-06-30"</f>
        <v>2010-06-30</v>
      </c>
      <c r="I745" s="1" t="str">
        <f>"李立君"</f>
        <v>李立君</v>
      </c>
      <c r="J745" s="1" t="str">
        <f t="shared" si="362"/>
        <v>天津丰田合成有限公司</v>
      </c>
    </row>
    <row r="746" spans="1:10">
      <c r="A746" s="1" t="str">
        <f t="shared" si="352"/>
        <v>天津丰田合成有限公司</v>
      </c>
      <c r="B746" s="1" t="str">
        <f>"一种能够缩短注塑成型周期的方法"</f>
        <v>一种能够缩短注塑成型周期的方法</v>
      </c>
      <c r="C746" s="1" t="str">
        <f t="shared" si="368"/>
        <v>发明公布</v>
      </c>
      <c r="D746" s="1" t="str">
        <f t="shared" si="369"/>
        <v>公布视为撤回</v>
      </c>
      <c r="E746" s="1" t="str">
        <f>"CN200910244856.2"</f>
        <v>CN200910244856.2</v>
      </c>
      <c r="F746" s="1" t="str">
        <f t="shared" si="370"/>
        <v>2009-12-17</v>
      </c>
      <c r="G746" s="1" t="str">
        <f>"CN101758609A"</f>
        <v>CN101758609A</v>
      </c>
      <c r="H746" s="1" t="str">
        <f t="shared" si="371"/>
        <v>2010-06-30</v>
      </c>
      <c r="I746" s="1" t="str">
        <f>"孙皓"</f>
        <v>孙皓</v>
      </c>
      <c r="J746" s="1" t="str">
        <f t="shared" si="362"/>
        <v>天津丰田合成有限公司</v>
      </c>
    </row>
    <row r="747" spans="1:10">
      <c r="A747" s="1" t="str">
        <f t="shared" si="352"/>
        <v>天津丰田合成有限公司</v>
      </c>
      <c r="B747" s="1" t="str">
        <f>"汽车部件用铆钉装置"</f>
        <v>汽车部件用铆钉装置</v>
      </c>
      <c r="C747" s="1" t="str">
        <f t="shared" si="368"/>
        <v>发明公布</v>
      </c>
      <c r="D747" s="1" t="str">
        <f>"公布驳回"</f>
        <v>公布驳回</v>
      </c>
      <c r="E747" s="1" t="str">
        <f>"CN200910244859.6"</f>
        <v>CN200910244859.6</v>
      </c>
      <c r="F747" s="1" t="str">
        <f t="shared" si="370"/>
        <v>2009-12-17</v>
      </c>
      <c r="G747" s="1" t="str">
        <f>"CN101758158A"</f>
        <v>CN101758158A</v>
      </c>
      <c r="H747" s="1" t="str">
        <f t="shared" si="371"/>
        <v>2010-06-30</v>
      </c>
      <c r="I747" s="1" t="str">
        <f>"王彩云"</f>
        <v>王彩云</v>
      </c>
      <c r="J747" s="1" t="str">
        <f t="shared" si="362"/>
        <v>天津丰田合成有限公司</v>
      </c>
    </row>
    <row r="748" spans="1:10">
      <c r="A748" s="1" t="str">
        <f t="shared" si="352"/>
        <v>天津丰田合成有限公司</v>
      </c>
      <c r="B748" s="1" t="str">
        <f>"铸铝成型用给汤勺"</f>
        <v>铸铝成型用给汤勺</v>
      </c>
      <c r="C748" s="1" t="str">
        <f t="shared" si="368"/>
        <v>发明公布</v>
      </c>
      <c r="D748" s="1" t="str">
        <f>"公布驳回"</f>
        <v>公布驳回</v>
      </c>
      <c r="E748" s="1" t="str">
        <f>"CN200910244858.1"</f>
        <v>CN200910244858.1</v>
      </c>
      <c r="F748" s="1" t="str">
        <f t="shared" si="370"/>
        <v>2009-12-17</v>
      </c>
      <c r="G748" s="1" t="str">
        <f>"CN101758201A"</f>
        <v>CN101758201A</v>
      </c>
      <c r="H748" s="1" t="str">
        <f t="shared" si="371"/>
        <v>2010-06-30</v>
      </c>
      <c r="I748" s="1" t="s">
        <v>4912</v>
      </c>
      <c r="J748" s="1" t="str">
        <f t="shared" si="362"/>
        <v>天津丰田合成有限公司</v>
      </c>
    </row>
    <row r="749" spans="1:10">
      <c r="A749" s="1" t="str">
        <f t="shared" si="352"/>
        <v>天津丰田合成有限公司</v>
      </c>
      <c r="B749" s="1" t="str">
        <f>"注塑成型空打料制条装置"</f>
        <v>注塑成型空打料制条装置</v>
      </c>
      <c r="C749" s="1" t="str">
        <f t="shared" si="368"/>
        <v>发明公布</v>
      </c>
      <c r="D749" s="1" t="str">
        <f t="shared" si="369"/>
        <v>公布视为撤回</v>
      </c>
      <c r="E749" s="1" t="str">
        <f>"CN200910244860.9"</f>
        <v>CN200910244860.9</v>
      </c>
      <c r="F749" s="1" t="str">
        <f t="shared" si="370"/>
        <v>2009-12-17</v>
      </c>
      <c r="G749" s="1" t="str">
        <f>"CN101758575A"</f>
        <v>CN101758575A</v>
      </c>
      <c r="H749" s="1" t="str">
        <f t="shared" si="371"/>
        <v>2010-06-30</v>
      </c>
      <c r="I749" s="1" t="str">
        <f>"冯恩坤"</f>
        <v>冯恩坤</v>
      </c>
      <c r="J749" s="1" t="str">
        <f t="shared" si="362"/>
        <v>天津丰田合成有限公司</v>
      </c>
    </row>
    <row r="750" spans="1:10">
      <c r="A750" s="1" t="str">
        <f t="shared" si="352"/>
        <v>天津丰田合成有限公司</v>
      </c>
      <c r="B750" s="1" t="str">
        <f>"一种汽车方向盘的包装方法"</f>
        <v>一种汽车方向盘的包装方法</v>
      </c>
      <c r="C750" s="1" t="str">
        <f t="shared" si="368"/>
        <v>发明公布</v>
      </c>
      <c r="D750" s="1" t="str">
        <f t="shared" si="369"/>
        <v>公布视为撤回</v>
      </c>
      <c r="E750" s="1" t="str">
        <f>"CN200710075622.0"</f>
        <v>CN200710075622.0</v>
      </c>
      <c r="F750" s="1" t="str">
        <f>"2007-08-06"</f>
        <v>2007-08-06</v>
      </c>
      <c r="G750" s="1" t="str">
        <f>"CN101108686A"</f>
        <v>CN101108686A</v>
      </c>
      <c r="H750" s="1" t="str">
        <f>"2008-01-23"</f>
        <v>2008-01-23</v>
      </c>
      <c r="I750" s="1" t="str">
        <f>"刘煜"</f>
        <v>刘煜</v>
      </c>
      <c r="J750" s="1" t="str">
        <f t="shared" si="362"/>
        <v>天津丰田合成有限公司</v>
      </c>
    </row>
    <row r="751" spans="1:10">
      <c r="A751" s="1" t="str">
        <f t="shared" ref="A751:A765" si="372">"丰田合成星光（天津）汽车部品有限公司"</f>
        <v>丰田合成星光（天津）汽车部品有限公司</v>
      </c>
      <c r="B751" s="1" t="str">
        <f>"汽车门密封条盘卷装置"</f>
        <v>汽车门密封条盘卷装置</v>
      </c>
      <c r="C751" s="1" t="str">
        <f t="shared" ref="C751:C765" si="373">"实用新型"</f>
        <v>实用新型</v>
      </c>
      <c r="D751" s="1" t="str">
        <f t="shared" ref="D751:D765" si="374">"未缴年费专利权终止"</f>
        <v>未缴年费专利权终止</v>
      </c>
      <c r="E751" s="1" t="str">
        <f>"CN201420175763.5"</f>
        <v>CN201420175763.5</v>
      </c>
      <c r="F751" s="1" t="str">
        <f>"2014-04-11"</f>
        <v>2014-04-11</v>
      </c>
      <c r="G751" s="1" t="str">
        <f>"CN203845522U"</f>
        <v>CN203845522U</v>
      </c>
      <c r="H751" s="1" t="str">
        <f t="shared" ref="H751:H756" si="375">"2014-09-24"</f>
        <v>2014-09-24</v>
      </c>
      <c r="I751" s="1" t="s">
        <v>4913</v>
      </c>
      <c r="J751" s="1" t="str">
        <f t="shared" ref="J751:J765" si="376">"天津星光橡塑有限公司"</f>
        <v>天津星光橡塑有限公司</v>
      </c>
    </row>
    <row r="752" spans="1:10">
      <c r="A752" s="1" t="str">
        <f t="shared" si="372"/>
        <v>丰田合成星光（天津）汽车部品有限公司</v>
      </c>
      <c r="B752" s="1" t="str">
        <f>"汽车密封条粘接胶带治具"</f>
        <v>汽车密封条粘接胶带治具</v>
      </c>
      <c r="C752" s="1" t="str">
        <f t="shared" si="373"/>
        <v>实用新型</v>
      </c>
      <c r="D752" s="1" t="str">
        <f t="shared" si="374"/>
        <v>未缴年费专利权终止</v>
      </c>
      <c r="E752" s="1" t="str">
        <f>"CN201420176337.3"</f>
        <v>CN201420176337.3</v>
      </c>
      <c r="F752" s="1" t="str">
        <f>"2014-04-11"</f>
        <v>2014-04-11</v>
      </c>
      <c r="G752" s="1" t="str">
        <f>"CN203847516U"</f>
        <v>CN203847516U</v>
      </c>
      <c r="H752" s="1" t="str">
        <f t="shared" si="375"/>
        <v>2014-09-24</v>
      </c>
      <c r="I752" s="1" t="s">
        <v>4914</v>
      </c>
      <c r="J752" s="1" t="str">
        <f t="shared" si="376"/>
        <v>天津星光橡塑有限公司</v>
      </c>
    </row>
    <row r="753" spans="1:10">
      <c r="A753" s="1" t="str">
        <f t="shared" si="372"/>
        <v>丰田合成星光（天津）汽车部品有限公司</v>
      </c>
      <c r="B753" s="1" t="str">
        <f>"汽车车门大唇边导槽双腔立式角部接合模具"</f>
        <v>汽车车门大唇边导槽双腔立式角部接合模具</v>
      </c>
      <c r="C753" s="1" t="str">
        <f t="shared" si="373"/>
        <v>实用新型</v>
      </c>
      <c r="D753" s="1" t="str">
        <f t="shared" si="374"/>
        <v>未缴年费专利权终止</v>
      </c>
      <c r="E753" s="1" t="str">
        <f>"CN201420228472.8"</f>
        <v>CN201420228472.8</v>
      </c>
      <c r="F753" s="1" t="str">
        <f>"2014-05-06"</f>
        <v>2014-05-06</v>
      </c>
      <c r="G753" s="1" t="str">
        <f>"CN203844138U"</f>
        <v>CN203844138U</v>
      </c>
      <c r="H753" s="1" t="str">
        <f t="shared" si="375"/>
        <v>2014-09-24</v>
      </c>
      <c r="I753" s="1" t="s">
        <v>4915</v>
      </c>
      <c r="J753" s="1" t="str">
        <f t="shared" si="376"/>
        <v>天津星光橡塑有限公司</v>
      </c>
    </row>
    <row r="754" spans="1:10">
      <c r="A754" s="1" t="str">
        <f t="shared" si="372"/>
        <v>丰田合成星光（天津）汽车部品有限公司</v>
      </c>
      <c r="B754" s="1" t="str">
        <f>"汽车密封条挤出口模线切割治具"</f>
        <v>汽车密封条挤出口模线切割治具</v>
      </c>
      <c r="C754" s="1" t="str">
        <f t="shared" si="373"/>
        <v>实用新型</v>
      </c>
      <c r="D754" s="1" t="str">
        <f t="shared" si="374"/>
        <v>未缴年费专利权终止</v>
      </c>
      <c r="E754" s="1" t="str">
        <f>"CN201420144899.X"</f>
        <v>CN201420144899.X</v>
      </c>
      <c r="F754" s="1" t="str">
        <f t="shared" ref="F754:F756" si="377">"2014-03-27"</f>
        <v>2014-03-27</v>
      </c>
      <c r="G754" s="1" t="str">
        <f>"CN203843329U"</f>
        <v>CN203843329U</v>
      </c>
      <c r="H754" s="1" t="str">
        <f t="shared" si="375"/>
        <v>2014-09-24</v>
      </c>
      <c r="I754" s="1" t="s">
        <v>4916</v>
      </c>
      <c r="J754" s="1" t="str">
        <f t="shared" si="376"/>
        <v>天津星光橡塑有限公司</v>
      </c>
    </row>
    <row r="755" spans="1:10">
      <c r="A755" s="1" t="str">
        <f t="shared" si="372"/>
        <v>丰田合成星光（天津）汽车部品有限公司</v>
      </c>
      <c r="B755" s="1" t="str">
        <f>"汽车密封条TPO水切定型水模"</f>
        <v>汽车密封条TPO水切定型水模</v>
      </c>
      <c r="C755" s="1" t="str">
        <f t="shared" si="373"/>
        <v>实用新型</v>
      </c>
      <c r="D755" s="1" t="str">
        <f t="shared" si="374"/>
        <v>未缴年费专利权终止</v>
      </c>
      <c r="E755" s="1" t="str">
        <f>"CN201420144802.5"</f>
        <v>CN201420144802.5</v>
      </c>
      <c r="F755" s="1" t="str">
        <f t="shared" si="377"/>
        <v>2014-03-27</v>
      </c>
      <c r="G755" s="1" t="str">
        <f>"CN203844203U"</f>
        <v>CN203844203U</v>
      </c>
      <c r="H755" s="1" t="str">
        <f t="shared" si="375"/>
        <v>2014-09-24</v>
      </c>
      <c r="I755" s="1" t="s">
        <v>4917</v>
      </c>
      <c r="J755" s="1" t="str">
        <f t="shared" si="376"/>
        <v>天津星光橡塑有限公司</v>
      </c>
    </row>
    <row r="756" spans="1:10">
      <c r="A756" s="1" t="str">
        <f t="shared" si="372"/>
        <v>丰田合成星光（天津）汽车部品有限公司</v>
      </c>
      <c r="B756" s="1" t="str">
        <f>"PU喷涂室"</f>
        <v>PU喷涂室</v>
      </c>
      <c r="C756" s="1" t="str">
        <f t="shared" si="373"/>
        <v>实用新型</v>
      </c>
      <c r="D756" s="1" t="str">
        <f t="shared" si="374"/>
        <v>未缴年费专利权终止</v>
      </c>
      <c r="E756" s="1" t="str">
        <f>"CN201420143658.3"</f>
        <v>CN201420143658.3</v>
      </c>
      <c r="F756" s="1" t="str">
        <f t="shared" si="377"/>
        <v>2014-03-27</v>
      </c>
      <c r="G756" s="1" t="str">
        <f>"CN203842758U"</f>
        <v>CN203842758U</v>
      </c>
      <c r="H756" s="1" t="str">
        <f t="shared" si="375"/>
        <v>2014-09-24</v>
      </c>
      <c r="I756" s="1" t="s">
        <v>4918</v>
      </c>
      <c r="J756" s="1" t="str">
        <f t="shared" si="376"/>
        <v>天津星光橡塑有限公司</v>
      </c>
    </row>
    <row r="757" spans="1:10">
      <c r="A757" s="1" t="str">
        <f t="shared" si="372"/>
        <v>丰田合成星光（天津）汽车部品有限公司</v>
      </c>
      <c r="B757" s="1" t="str">
        <f>"汽车密封条钉扣自动安装机"</f>
        <v>汽车密封条钉扣自动安装机</v>
      </c>
      <c r="C757" s="1" t="str">
        <f t="shared" si="373"/>
        <v>实用新型</v>
      </c>
      <c r="D757" s="1" t="str">
        <f t="shared" si="374"/>
        <v>未缴年费专利权终止</v>
      </c>
      <c r="E757" s="1" t="str">
        <f>"CN201120571629.3"</f>
        <v>CN201120571629.3</v>
      </c>
      <c r="F757" s="1" t="str">
        <f t="shared" ref="F757:F765" si="378">"2011-12-31"</f>
        <v>2011-12-31</v>
      </c>
      <c r="G757" s="1" t="str">
        <f>"CN202438816U"</f>
        <v>CN202438816U</v>
      </c>
      <c r="H757" s="1" t="str">
        <f t="shared" ref="H757:H759" si="379">"2012-09-19"</f>
        <v>2012-09-19</v>
      </c>
      <c r="I757" s="1" t="s">
        <v>4919</v>
      </c>
      <c r="J757" s="1" t="str">
        <f t="shared" si="376"/>
        <v>天津星光橡塑有限公司</v>
      </c>
    </row>
    <row r="758" spans="1:10">
      <c r="A758" s="1" t="str">
        <f t="shared" si="372"/>
        <v>丰田合成星光（天津）汽车部品有限公司</v>
      </c>
      <c r="B758" s="1" t="str">
        <f>"亮箔包覆装置"</f>
        <v>亮箔包覆装置</v>
      </c>
      <c r="C758" s="1" t="str">
        <f t="shared" si="373"/>
        <v>实用新型</v>
      </c>
      <c r="D758" s="1" t="str">
        <f t="shared" si="374"/>
        <v>未缴年费专利权终止</v>
      </c>
      <c r="E758" s="1" t="str">
        <f>"CN201120571630.6"</f>
        <v>CN201120571630.6</v>
      </c>
      <c r="F758" s="1" t="str">
        <f>"2012-06-25"</f>
        <v>2012-06-25</v>
      </c>
      <c r="G758" s="1" t="str">
        <f>"CN202439320U"</f>
        <v>CN202439320U</v>
      </c>
      <c r="H758" s="1" t="str">
        <f t="shared" si="379"/>
        <v>2012-09-19</v>
      </c>
      <c r="I758" s="1" t="str">
        <f>"王永成"</f>
        <v>王永成</v>
      </c>
      <c r="J758" s="1" t="str">
        <f t="shared" si="376"/>
        <v>天津星光橡塑有限公司</v>
      </c>
    </row>
    <row r="759" spans="1:10">
      <c r="A759" s="1" t="str">
        <f t="shared" si="372"/>
        <v>丰田合成星光（天津）汽车部品有限公司</v>
      </c>
      <c r="B759" s="1" t="str">
        <f>"汽车玻璃导槽专用多产品自动定位裁断机"</f>
        <v>汽车玻璃导槽专用多产品自动定位裁断机</v>
      </c>
      <c r="C759" s="1" t="str">
        <f t="shared" si="373"/>
        <v>实用新型</v>
      </c>
      <c r="D759" s="1" t="str">
        <f t="shared" si="374"/>
        <v>未缴年费专利权终止</v>
      </c>
      <c r="E759" s="1" t="str">
        <f>"CN201120574231.5"</f>
        <v>CN201120574231.5</v>
      </c>
      <c r="F759" s="1" t="str">
        <f t="shared" si="378"/>
        <v>2011-12-31</v>
      </c>
      <c r="G759" s="1" t="str">
        <f>"CN202439050U"</f>
        <v>CN202439050U</v>
      </c>
      <c r="H759" s="1" t="str">
        <f t="shared" si="379"/>
        <v>2012-09-19</v>
      </c>
      <c r="I759" s="1" t="s">
        <v>4920</v>
      </c>
      <c r="J759" s="1" t="str">
        <f t="shared" si="376"/>
        <v>天津星光橡塑有限公司</v>
      </c>
    </row>
    <row r="760" spans="1:10">
      <c r="A760" s="1" t="str">
        <f t="shared" si="372"/>
        <v>丰田合成星光（天津）汽车部品有限公司</v>
      </c>
      <c r="B760" s="1" t="str">
        <f>"汽车车门密封条自动打孔机"</f>
        <v>汽车车门密封条自动打孔机</v>
      </c>
      <c r="C760" s="1" t="str">
        <f t="shared" si="373"/>
        <v>实用新型</v>
      </c>
      <c r="D760" s="1" t="str">
        <f t="shared" si="374"/>
        <v>未缴年费专利权终止</v>
      </c>
      <c r="E760" s="1" t="str">
        <f>"CN201120570927.0"</f>
        <v>CN201120570927.0</v>
      </c>
      <c r="F760" s="1" t="str">
        <f t="shared" si="378"/>
        <v>2011-12-31</v>
      </c>
      <c r="G760" s="1" t="str">
        <f>"CN202412352U"</f>
        <v>CN202412352U</v>
      </c>
      <c r="H760" s="1" t="str">
        <f t="shared" ref="H760:H763" si="380">"2012-09-05"</f>
        <v>2012-09-05</v>
      </c>
      <c r="I760" s="1" t="s">
        <v>4920</v>
      </c>
      <c r="J760" s="1" t="str">
        <f t="shared" si="376"/>
        <v>天津星光橡塑有限公司</v>
      </c>
    </row>
    <row r="761" spans="1:10">
      <c r="A761" s="1" t="str">
        <f t="shared" si="372"/>
        <v>丰田合成星光（天津）汽车部品有限公司</v>
      </c>
      <c r="B761" s="1" t="str">
        <f>"多排程控自动打孔裁断机"</f>
        <v>多排程控自动打孔裁断机</v>
      </c>
      <c r="C761" s="1" t="str">
        <f t="shared" si="373"/>
        <v>实用新型</v>
      </c>
      <c r="D761" s="1" t="str">
        <f t="shared" si="374"/>
        <v>未缴年费专利权终止</v>
      </c>
      <c r="E761" s="1" t="str">
        <f>"CN201120574409.6"</f>
        <v>CN201120574409.6</v>
      </c>
      <c r="F761" s="1" t="str">
        <f t="shared" si="378"/>
        <v>2011-12-31</v>
      </c>
      <c r="G761" s="1" t="str">
        <f>"CN202412347U"</f>
        <v>CN202412347U</v>
      </c>
      <c r="H761" s="1" t="str">
        <f t="shared" si="380"/>
        <v>2012-09-05</v>
      </c>
      <c r="I761" s="1" t="s">
        <v>4921</v>
      </c>
      <c r="J761" s="1" t="str">
        <f t="shared" si="376"/>
        <v>天津星光橡塑有限公司</v>
      </c>
    </row>
    <row r="762" spans="1:10">
      <c r="A762" s="1" t="str">
        <f t="shared" si="372"/>
        <v>丰田合成星光（天津）汽车部品有限公司</v>
      </c>
      <c r="B762" s="1" t="str">
        <f>"汽车密封条在线精裁机"</f>
        <v>汽车密封条在线精裁机</v>
      </c>
      <c r="C762" s="1" t="str">
        <f t="shared" si="373"/>
        <v>实用新型</v>
      </c>
      <c r="D762" s="1" t="str">
        <f t="shared" si="374"/>
        <v>未缴年费专利权终止</v>
      </c>
      <c r="E762" s="1" t="str">
        <f>"CN201120573061.9"</f>
        <v>CN201120573061.9</v>
      </c>
      <c r="F762" s="1" t="str">
        <f t="shared" si="378"/>
        <v>2011-12-31</v>
      </c>
      <c r="G762" s="1" t="str">
        <f>"CN202412328U"</f>
        <v>CN202412328U</v>
      </c>
      <c r="H762" s="1" t="str">
        <f t="shared" si="380"/>
        <v>2012-09-05</v>
      </c>
      <c r="I762" s="1" t="s">
        <v>4922</v>
      </c>
      <c r="J762" s="1" t="str">
        <f t="shared" si="376"/>
        <v>天津星光橡塑有限公司</v>
      </c>
    </row>
    <row r="763" spans="1:10">
      <c r="A763" s="1" t="str">
        <f t="shared" si="372"/>
        <v>丰田合成星光（天津）汽车部品有限公司</v>
      </c>
      <c r="B763" s="1" t="str">
        <f>"挤出口模"</f>
        <v>挤出口模</v>
      </c>
      <c r="C763" s="1" t="str">
        <f t="shared" si="373"/>
        <v>实用新型</v>
      </c>
      <c r="D763" s="1" t="str">
        <f t="shared" si="374"/>
        <v>未缴年费专利权终止</v>
      </c>
      <c r="E763" s="1" t="str">
        <f>"CN201120573580.5"</f>
        <v>CN201120573580.5</v>
      </c>
      <c r="F763" s="1" t="str">
        <f t="shared" si="378"/>
        <v>2011-12-31</v>
      </c>
      <c r="G763" s="1" t="str">
        <f>"CN202412659U"</f>
        <v>CN202412659U</v>
      </c>
      <c r="H763" s="1" t="str">
        <f t="shared" si="380"/>
        <v>2012-09-05</v>
      </c>
      <c r="I763" s="1" t="str">
        <f>"王永成"</f>
        <v>王永成</v>
      </c>
      <c r="J763" s="1" t="str">
        <f t="shared" si="376"/>
        <v>天津星光橡塑有限公司</v>
      </c>
    </row>
    <row r="764" spans="1:10">
      <c r="A764" s="1" t="str">
        <f t="shared" si="372"/>
        <v>丰田合成星光（天津）汽车部品有限公司</v>
      </c>
      <c r="B764" s="1" t="str">
        <f>"汽车门框条自动钉合机"</f>
        <v>汽车门框条自动钉合机</v>
      </c>
      <c r="C764" s="1" t="str">
        <f t="shared" si="373"/>
        <v>实用新型</v>
      </c>
      <c r="D764" s="1" t="str">
        <f t="shared" si="374"/>
        <v>未缴年费专利权终止</v>
      </c>
      <c r="E764" s="1" t="str">
        <f>"CN201120570928.5"</f>
        <v>CN201120570928.5</v>
      </c>
      <c r="F764" s="1" t="str">
        <f t="shared" si="378"/>
        <v>2011-12-31</v>
      </c>
      <c r="G764" s="1" t="str">
        <f>"CN202399341U"</f>
        <v>CN202399341U</v>
      </c>
      <c r="H764" s="1" t="str">
        <f>"2012-08-29"</f>
        <v>2012-08-29</v>
      </c>
      <c r="I764" s="1" t="s">
        <v>4923</v>
      </c>
      <c r="J764" s="1" t="str">
        <f t="shared" si="376"/>
        <v>天津星光橡塑有限公司</v>
      </c>
    </row>
    <row r="765" spans="1:10">
      <c r="A765" s="1" t="str">
        <f t="shared" si="372"/>
        <v>丰田合成星光（天津）汽车部品有限公司</v>
      </c>
      <c r="B765" s="1" t="str">
        <f>"汽车密封条接合用下注式成型机"</f>
        <v>汽车密封条接合用下注式成型机</v>
      </c>
      <c r="C765" s="1" t="str">
        <f t="shared" si="373"/>
        <v>实用新型</v>
      </c>
      <c r="D765" s="1" t="str">
        <f t="shared" si="374"/>
        <v>未缴年费专利权终止</v>
      </c>
      <c r="E765" s="1" t="str">
        <f>"CN201120574410.9"</f>
        <v>CN201120574410.9</v>
      </c>
      <c r="F765" s="1" t="str">
        <f t="shared" si="378"/>
        <v>2011-12-31</v>
      </c>
      <c r="G765" s="1" t="str">
        <f>"CN202388692U"</f>
        <v>CN202388692U</v>
      </c>
      <c r="H765" s="1" t="str">
        <f>"2012-08-22"</f>
        <v>2012-08-22</v>
      </c>
      <c r="I765" s="1" t="s">
        <v>4924</v>
      </c>
      <c r="J765" s="1" t="str">
        <f t="shared" si="376"/>
        <v>天津星光橡塑有限公司</v>
      </c>
    </row>
    <row r="766" spans="1:10">
      <c r="A766" s="1" t="str">
        <f t="shared" ref="A766:A798" si="381">"天津环渤海汽车车身制造有限公司"</f>
        <v>天津环渤海汽车车身制造有限公司</v>
      </c>
      <c r="B766" s="1" t="str">
        <f>"一种钢板加工激光切割加工设备及其切割方法"</f>
        <v>一种钢板加工激光切割加工设备及其切割方法</v>
      </c>
      <c r="C766" s="1" t="str">
        <f>"发明公布"</f>
        <v>发明公布</v>
      </c>
      <c r="D766" s="1" t="str">
        <f>"实质审查"</f>
        <v>实质审查</v>
      </c>
      <c r="E766" s="1" t="str">
        <f>"CN202510422133.6"</f>
        <v>CN202510422133.6</v>
      </c>
      <c r="F766" s="1" t="str">
        <f>"2025-04-07"</f>
        <v>2025-04-07</v>
      </c>
      <c r="G766" s="1" t="str">
        <f>"CN119910326A"</f>
        <v>CN119910326A</v>
      </c>
      <c r="H766" s="1" t="str">
        <f>"2025-05-02"</f>
        <v>2025-05-02</v>
      </c>
      <c r="I766" s="1" t="str">
        <f>"晁辉"</f>
        <v>晁辉</v>
      </c>
      <c r="J766" s="1" t="str">
        <f t="shared" ref="J766:J798" si="382">"天津环渤海汽车车身制造有限公司"</f>
        <v>天津环渤海汽车车身制造有限公司</v>
      </c>
    </row>
    <row r="767" spans="1:10">
      <c r="A767" s="1" t="str">
        <f t="shared" si="381"/>
        <v>天津环渤海汽车车身制造有限公司</v>
      </c>
      <c r="B767" s="1" t="str">
        <f>"一种具有防转动功能的冷轧卷板移动吊具"</f>
        <v>一种具有防转动功能的冷轧卷板移动吊具</v>
      </c>
      <c r="C767" s="1" t="str">
        <f t="shared" ref="C767:C798" si="383">"实用新型"</f>
        <v>实用新型</v>
      </c>
      <c r="D767" s="1" t="str">
        <f t="shared" ref="D767:D798" si="384">"授权"</f>
        <v>授权</v>
      </c>
      <c r="E767" s="1" t="str">
        <f>"CN202420603419.5"</f>
        <v>CN202420603419.5</v>
      </c>
      <c r="F767" s="1" t="str">
        <f>"2024-03-26"</f>
        <v>2024-03-26</v>
      </c>
      <c r="G767" s="1" t="str">
        <f>"CN222574066U"</f>
        <v>CN222574066U</v>
      </c>
      <c r="H767" s="1" t="str">
        <f>"2025-03-07"</f>
        <v>2025-03-07</v>
      </c>
      <c r="I767" s="1" t="s">
        <v>4925</v>
      </c>
      <c r="J767" s="1" t="str">
        <f t="shared" si="382"/>
        <v>天津环渤海汽车车身制造有限公司</v>
      </c>
    </row>
    <row r="768" spans="1:10">
      <c r="A768" s="1" t="str">
        <f t="shared" si="381"/>
        <v>天津环渤海汽车车身制造有限公司</v>
      </c>
      <c r="B768" s="1" t="str">
        <f>"一种均匀散热的冷轧板加工用放置架"</f>
        <v>一种均匀散热的冷轧板加工用放置架</v>
      </c>
      <c r="C768" s="1" t="str">
        <f t="shared" si="383"/>
        <v>实用新型</v>
      </c>
      <c r="D768" s="1" t="str">
        <f t="shared" si="384"/>
        <v>授权</v>
      </c>
      <c r="E768" s="1" t="str">
        <f>"CN202420925050.X"</f>
        <v>CN202420925050.X</v>
      </c>
      <c r="F768" s="1" t="str">
        <f>"2024-04-30"</f>
        <v>2024-04-30</v>
      </c>
      <c r="G768" s="1" t="str">
        <f>"CN222537657U"</f>
        <v>CN222537657U</v>
      </c>
      <c r="H768" s="1" t="str">
        <f>"2025-02-28"</f>
        <v>2025-02-28</v>
      </c>
      <c r="I768" s="1" t="s">
        <v>4925</v>
      </c>
      <c r="J768" s="1" t="str">
        <f t="shared" si="382"/>
        <v>天津环渤海汽车车身制造有限公司</v>
      </c>
    </row>
    <row r="769" spans="1:10">
      <c r="A769" s="1" t="str">
        <f t="shared" si="381"/>
        <v>天津环渤海汽车车身制造有限公司</v>
      </c>
      <c r="B769" s="1" t="str">
        <f>"一种具有不间断连续下料功能的冷轧卷板下料机"</f>
        <v>一种具有不间断连续下料功能的冷轧卷板下料机</v>
      </c>
      <c r="C769" s="1" t="str">
        <f t="shared" si="383"/>
        <v>实用新型</v>
      </c>
      <c r="D769" s="1" t="str">
        <f t="shared" si="384"/>
        <v>授权</v>
      </c>
      <c r="E769" s="1" t="str">
        <f>"CN202323492881.7"</f>
        <v>CN202323492881.7</v>
      </c>
      <c r="F769" s="1" t="str">
        <f>"2023-12-20"</f>
        <v>2023-12-20</v>
      </c>
      <c r="G769" s="1" t="str">
        <f>"CN222403707U"</f>
        <v>CN222403707U</v>
      </c>
      <c r="H769" s="1" t="str">
        <f>"2025-01-28"</f>
        <v>2025-01-28</v>
      </c>
      <c r="I769" s="1" t="s">
        <v>4925</v>
      </c>
      <c r="J769" s="1" t="str">
        <f t="shared" si="382"/>
        <v>天津环渤海汽车车身制造有限公司</v>
      </c>
    </row>
    <row r="770" spans="1:10">
      <c r="A770" s="1" t="str">
        <f t="shared" si="381"/>
        <v>天津环渤海汽车车身制造有限公司</v>
      </c>
      <c r="B770" s="1" t="str">
        <f>"一种可连续剪切的冷轧板剪切装置"</f>
        <v>一种可连续剪切的冷轧板剪切装置</v>
      </c>
      <c r="C770" s="1" t="str">
        <f t="shared" si="383"/>
        <v>实用新型</v>
      </c>
      <c r="D770" s="1" t="str">
        <f t="shared" si="384"/>
        <v>授权</v>
      </c>
      <c r="E770" s="1" t="str">
        <f>"CN202420217995.6"</f>
        <v>CN202420217995.6</v>
      </c>
      <c r="F770" s="1" t="str">
        <f>"2024-01-30"</f>
        <v>2024-01-30</v>
      </c>
      <c r="G770" s="1" t="str">
        <f>"CN222036942U"</f>
        <v>CN222036942U</v>
      </c>
      <c r="H770" s="1" t="str">
        <f>"2024-11-22"</f>
        <v>2024-11-22</v>
      </c>
      <c r="I770" s="1" t="s">
        <v>4925</v>
      </c>
      <c r="J770" s="1" t="str">
        <f t="shared" si="382"/>
        <v>天津环渤海汽车车身制造有限公司</v>
      </c>
    </row>
    <row r="771" spans="1:10">
      <c r="A771" s="1" t="str">
        <f t="shared" si="381"/>
        <v>天津环渤海汽车车身制造有限公司</v>
      </c>
      <c r="B771" s="1" t="str">
        <f>"一种防错位的铁合金冷轧卷料张紧支架"</f>
        <v>一种防错位的铁合金冷轧卷料张紧支架</v>
      </c>
      <c r="C771" s="1" t="str">
        <f t="shared" si="383"/>
        <v>实用新型</v>
      </c>
      <c r="D771" s="1" t="str">
        <f t="shared" si="384"/>
        <v>授权</v>
      </c>
      <c r="E771" s="1" t="str">
        <f>"CN202420790358.8"</f>
        <v>CN202420790358.8</v>
      </c>
      <c r="F771" s="1" t="str">
        <f>"2024-04-17"</f>
        <v>2024-04-17</v>
      </c>
      <c r="G771" s="1" t="str">
        <f>"CN221970812U"</f>
        <v>CN221970812U</v>
      </c>
      <c r="H771" s="1" t="str">
        <f>"2024-11-08"</f>
        <v>2024-11-08</v>
      </c>
      <c r="I771" s="1" t="s">
        <v>4925</v>
      </c>
      <c r="J771" s="1" t="str">
        <f t="shared" si="382"/>
        <v>天津环渤海汽车车身制造有限公司</v>
      </c>
    </row>
    <row r="772" spans="1:10">
      <c r="A772" s="1" t="str">
        <f t="shared" si="381"/>
        <v>天津环渤海汽车车身制造有限公司</v>
      </c>
      <c r="B772" s="1" t="str">
        <f>"一种弧度可调节的冷轧卷卷边装置"</f>
        <v>一种弧度可调节的冷轧卷卷边装置</v>
      </c>
      <c r="C772" s="1" t="str">
        <f t="shared" si="383"/>
        <v>实用新型</v>
      </c>
      <c r="D772" s="1" t="str">
        <f t="shared" si="384"/>
        <v>授权</v>
      </c>
      <c r="E772" s="1" t="str">
        <f>"CN202323375376.4"</f>
        <v>CN202323375376.4</v>
      </c>
      <c r="F772" s="1" t="str">
        <f>"2023-12-12"</f>
        <v>2023-12-12</v>
      </c>
      <c r="G772" s="1" t="str">
        <f>"CN221581612U"</f>
        <v>CN221581612U</v>
      </c>
      <c r="H772" s="1" t="str">
        <f>"2024-08-23"</f>
        <v>2024-08-23</v>
      </c>
      <c r="I772" s="1" t="s">
        <v>4925</v>
      </c>
      <c r="J772" s="1" t="str">
        <f t="shared" si="382"/>
        <v>天津环渤海汽车车身制造有限公司</v>
      </c>
    </row>
    <row r="773" spans="1:10">
      <c r="A773" s="1" t="str">
        <f t="shared" si="381"/>
        <v>天津环渤海汽车车身制造有限公司</v>
      </c>
      <c r="B773" s="1" t="str">
        <f>"一种导向进料的冷轧板切割装置"</f>
        <v>一种导向进料的冷轧板切割装置</v>
      </c>
      <c r="C773" s="1" t="str">
        <f t="shared" si="383"/>
        <v>实用新型</v>
      </c>
      <c r="D773" s="1" t="str">
        <f t="shared" si="384"/>
        <v>授权</v>
      </c>
      <c r="E773" s="1" t="str">
        <f>"CN202323153710.1"</f>
        <v>CN202323153710.1</v>
      </c>
      <c r="F773" s="1" t="str">
        <f>"2023-11-22"</f>
        <v>2023-11-22</v>
      </c>
      <c r="G773" s="1" t="str">
        <f>"CN221389134U"</f>
        <v>CN221389134U</v>
      </c>
      <c r="H773" s="1" t="str">
        <f>"2024-07-23"</f>
        <v>2024-07-23</v>
      </c>
      <c r="I773" s="1" t="s">
        <v>4925</v>
      </c>
      <c r="J773" s="1" t="str">
        <f t="shared" si="382"/>
        <v>天津环渤海汽车车身制造有限公司</v>
      </c>
    </row>
    <row r="774" spans="1:10">
      <c r="A774" s="1" t="str">
        <f t="shared" si="381"/>
        <v>天津环渤海汽车车身制造有限公司</v>
      </c>
      <c r="B774" s="1" t="str">
        <f>"一种具有定位结构的冷轧板剪切装置"</f>
        <v>一种具有定位结构的冷轧板剪切装置</v>
      </c>
      <c r="C774" s="1" t="str">
        <f t="shared" si="383"/>
        <v>实用新型</v>
      </c>
      <c r="D774" s="1" t="str">
        <f t="shared" si="384"/>
        <v>授权</v>
      </c>
      <c r="E774" s="1" t="str">
        <f>"CN202323559750.6"</f>
        <v>CN202323559750.6</v>
      </c>
      <c r="F774" s="1" t="str">
        <f>"2023-12-26"</f>
        <v>2023-12-26</v>
      </c>
      <c r="G774" s="1" t="str">
        <f>"CN221363841U"</f>
        <v>CN221363841U</v>
      </c>
      <c r="H774" s="1" t="str">
        <f>"2024-07-19"</f>
        <v>2024-07-19</v>
      </c>
      <c r="I774" s="1" t="s">
        <v>4925</v>
      </c>
      <c r="J774" s="1" t="str">
        <f t="shared" si="382"/>
        <v>天津环渤海汽车车身制造有限公司</v>
      </c>
    </row>
    <row r="775" spans="1:10">
      <c r="A775" s="1" t="str">
        <f t="shared" si="381"/>
        <v>天津环渤海汽车车身制造有限公司</v>
      </c>
      <c r="B775" s="1" t="str">
        <f>"一种防倾倒的冷轧卷转运装置"</f>
        <v>一种防倾倒的冷轧卷转运装置</v>
      </c>
      <c r="C775" s="1" t="str">
        <f t="shared" si="383"/>
        <v>实用新型</v>
      </c>
      <c r="D775" s="1" t="str">
        <f t="shared" si="384"/>
        <v>授权</v>
      </c>
      <c r="E775" s="1" t="str">
        <f>"CN202323225247.7"</f>
        <v>CN202323225247.7</v>
      </c>
      <c r="F775" s="1" t="str">
        <f>"2023-11-29"</f>
        <v>2023-11-29</v>
      </c>
      <c r="G775" s="1" t="str">
        <f>"CN221316264U"</f>
        <v>CN221316264U</v>
      </c>
      <c r="H775" s="1" t="str">
        <f>"2024-07-12"</f>
        <v>2024-07-12</v>
      </c>
      <c r="I775" s="1" t="s">
        <v>4925</v>
      </c>
      <c r="J775" s="1" t="str">
        <f t="shared" si="382"/>
        <v>天津环渤海汽车车身制造有限公司</v>
      </c>
    </row>
    <row r="776" spans="1:10">
      <c r="A776" s="1" t="str">
        <f t="shared" si="381"/>
        <v>天津环渤海汽车车身制造有限公司</v>
      </c>
      <c r="B776" s="1" t="str">
        <f>"一种多角度冷轧板剪切装置"</f>
        <v>一种多角度冷轧板剪切装置</v>
      </c>
      <c r="C776" s="1" t="str">
        <f t="shared" si="383"/>
        <v>实用新型</v>
      </c>
      <c r="D776" s="1" t="str">
        <f t="shared" si="384"/>
        <v>授权</v>
      </c>
      <c r="E776" s="1" t="str">
        <f>"CN202323300488.3"</f>
        <v>CN202323300488.3</v>
      </c>
      <c r="F776" s="1" t="str">
        <f>"2023-12-05"</f>
        <v>2023-12-05</v>
      </c>
      <c r="G776" s="1" t="str">
        <f>"CN221185486U"</f>
        <v>CN221185486U</v>
      </c>
      <c r="H776" s="1" t="str">
        <f>"2024-06-21"</f>
        <v>2024-06-21</v>
      </c>
      <c r="I776" s="1" t="s">
        <v>4925</v>
      </c>
      <c r="J776" s="1" t="str">
        <f t="shared" si="382"/>
        <v>天津环渤海汽车车身制造有限公司</v>
      </c>
    </row>
    <row r="777" spans="1:10">
      <c r="A777" s="1" t="str">
        <f t="shared" si="381"/>
        <v>天津环渤海汽车车身制造有限公司</v>
      </c>
      <c r="B777" s="1" t="str">
        <f>"一种冷轧卷板放卷机"</f>
        <v>一种冷轧卷板放卷机</v>
      </c>
      <c r="C777" s="1" t="str">
        <f t="shared" si="383"/>
        <v>实用新型</v>
      </c>
      <c r="D777" s="1" t="str">
        <f t="shared" si="384"/>
        <v>授权</v>
      </c>
      <c r="E777" s="1" t="str">
        <f>"CN202320677260.7"</f>
        <v>CN202320677260.7</v>
      </c>
      <c r="F777" s="1" t="str">
        <f>"2023-03-30"</f>
        <v>2023-03-30</v>
      </c>
      <c r="G777" s="1" t="str">
        <f>"CN219851444U"</f>
        <v>CN219851444U</v>
      </c>
      <c r="H777" s="1" t="str">
        <f>"2023-10-20"</f>
        <v>2023-10-20</v>
      </c>
      <c r="I777" s="1" t="s">
        <v>4925</v>
      </c>
      <c r="J777" s="1" t="str">
        <f t="shared" si="382"/>
        <v>天津环渤海汽车车身制造有限公司</v>
      </c>
    </row>
    <row r="778" spans="1:10">
      <c r="A778" s="1" t="str">
        <f t="shared" si="381"/>
        <v>天津环渤海汽车车身制造有限公司</v>
      </c>
      <c r="B778" s="1" t="str">
        <f>"一种冷轧卷板吊具"</f>
        <v>一种冷轧卷板吊具</v>
      </c>
      <c r="C778" s="1" t="str">
        <f t="shared" si="383"/>
        <v>实用新型</v>
      </c>
      <c r="D778" s="1" t="str">
        <f t="shared" si="384"/>
        <v>授权</v>
      </c>
      <c r="E778" s="1" t="str">
        <f>"CN202320502136.7"</f>
        <v>CN202320502136.7</v>
      </c>
      <c r="F778" s="1" t="str">
        <f>"2023-03-14"</f>
        <v>2023-03-14</v>
      </c>
      <c r="G778" s="1" t="str">
        <f>"CN219751660U"</f>
        <v>CN219751660U</v>
      </c>
      <c r="H778" s="1" t="str">
        <f>"2023-09-26"</f>
        <v>2023-09-26</v>
      </c>
      <c r="I778" s="1" t="s">
        <v>4925</v>
      </c>
      <c r="J778" s="1" t="str">
        <f t="shared" si="382"/>
        <v>天津环渤海汽车车身制造有限公司</v>
      </c>
    </row>
    <row r="779" spans="1:10">
      <c r="A779" s="1" t="str">
        <f t="shared" si="381"/>
        <v>天津环渤海汽车车身制造有限公司</v>
      </c>
      <c r="B779" s="1" t="str">
        <f>"一种锌铁合金板弯折机的限位机构"</f>
        <v>一种锌铁合金板弯折机的限位机构</v>
      </c>
      <c r="C779" s="1" t="str">
        <f t="shared" si="383"/>
        <v>实用新型</v>
      </c>
      <c r="D779" s="1" t="str">
        <f t="shared" si="384"/>
        <v>授权</v>
      </c>
      <c r="E779" s="1" t="str">
        <f>"CN202320874258.9"</f>
        <v>CN202320874258.9</v>
      </c>
      <c r="F779" s="1" t="str">
        <f>"2023-04-19"</f>
        <v>2023-04-19</v>
      </c>
      <c r="G779" s="1" t="str">
        <f>"CN219632407U"</f>
        <v>CN219632407U</v>
      </c>
      <c r="H779" s="1" t="str">
        <f>"2023-09-05"</f>
        <v>2023-09-05</v>
      </c>
      <c r="I779" s="1" t="s">
        <v>4925</v>
      </c>
      <c r="J779" s="1" t="str">
        <f t="shared" si="382"/>
        <v>天津环渤海汽车车身制造有限公司</v>
      </c>
    </row>
    <row r="780" spans="1:10">
      <c r="A780" s="1" t="str">
        <f t="shared" si="381"/>
        <v>天津环渤海汽车车身制造有限公司</v>
      </c>
      <c r="B780" s="1" t="str">
        <f>"一种冷轧卷开卷装置"</f>
        <v>一种冷轧卷开卷装置</v>
      </c>
      <c r="C780" s="1" t="str">
        <f t="shared" si="383"/>
        <v>实用新型</v>
      </c>
      <c r="D780" s="1" t="str">
        <f t="shared" si="384"/>
        <v>授权</v>
      </c>
      <c r="E780" s="1" t="str">
        <f>"CN202320742002.2"</f>
        <v>CN202320742002.2</v>
      </c>
      <c r="F780" s="1" t="str">
        <f>"2023-04-06"</f>
        <v>2023-04-06</v>
      </c>
      <c r="G780" s="1" t="str">
        <f>"CN219597714U"</f>
        <v>CN219597714U</v>
      </c>
      <c r="H780" s="1" t="str">
        <f t="shared" ref="H780:H782" si="385">"2023-08-29"</f>
        <v>2023-08-29</v>
      </c>
      <c r="I780" s="1" t="s">
        <v>4925</v>
      </c>
      <c r="J780" s="1" t="str">
        <f t="shared" si="382"/>
        <v>天津环渤海汽车车身制造有限公司</v>
      </c>
    </row>
    <row r="781" spans="1:10">
      <c r="A781" s="1" t="str">
        <f t="shared" si="381"/>
        <v>天津环渤海汽车车身制造有限公司</v>
      </c>
      <c r="B781" s="1" t="str">
        <f>"一种冷轧卷料张紧支架"</f>
        <v>一种冷轧卷料张紧支架</v>
      </c>
      <c r="C781" s="1" t="str">
        <f t="shared" si="383"/>
        <v>实用新型</v>
      </c>
      <c r="D781" s="1" t="str">
        <f t="shared" si="384"/>
        <v>授权</v>
      </c>
      <c r="E781" s="1" t="str">
        <f>"CN202320793653.4"</f>
        <v>CN202320793653.4</v>
      </c>
      <c r="F781" s="1" t="str">
        <f>"2023-04-11"</f>
        <v>2023-04-11</v>
      </c>
      <c r="G781" s="1" t="str">
        <f>"CN219597716U"</f>
        <v>CN219597716U</v>
      </c>
      <c r="H781" s="1" t="str">
        <f t="shared" si="385"/>
        <v>2023-08-29</v>
      </c>
      <c r="I781" s="1" t="s">
        <v>4925</v>
      </c>
      <c r="J781" s="1" t="str">
        <f t="shared" si="382"/>
        <v>天津环渤海汽车车身制造有限公司</v>
      </c>
    </row>
    <row r="782" spans="1:10">
      <c r="A782" s="1" t="str">
        <f t="shared" si="381"/>
        <v>天津环渤海汽车车身制造有限公司</v>
      </c>
      <c r="B782" s="1" t="str">
        <f>"一种冷轧板卷边机构"</f>
        <v>一种冷轧板卷边机构</v>
      </c>
      <c r="C782" s="1" t="str">
        <f t="shared" si="383"/>
        <v>实用新型</v>
      </c>
      <c r="D782" s="1" t="str">
        <f t="shared" si="384"/>
        <v>授权</v>
      </c>
      <c r="E782" s="1" t="str">
        <f>"CN202320404461.X"</f>
        <v>CN202320404461.X</v>
      </c>
      <c r="F782" s="1" t="str">
        <f>"2023-03-06"</f>
        <v>2023-03-06</v>
      </c>
      <c r="G782" s="1" t="str">
        <f>"CN219597794U"</f>
        <v>CN219597794U</v>
      </c>
      <c r="H782" s="1" t="str">
        <f t="shared" si="385"/>
        <v>2023-08-29</v>
      </c>
      <c r="I782" s="1" t="s">
        <v>4925</v>
      </c>
      <c r="J782" s="1" t="str">
        <f t="shared" si="382"/>
        <v>天津环渤海汽车车身制造有限公司</v>
      </c>
    </row>
    <row r="783" spans="1:10">
      <c r="A783" s="1" t="str">
        <f t="shared" si="381"/>
        <v>天津环渤海汽车车身制造有限公司</v>
      </c>
      <c r="B783" s="1" t="str">
        <f>"一种冷轧板剪切装置"</f>
        <v>一种冷轧板剪切装置</v>
      </c>
      <c r="C783" s="1" t="str">
        <f t="shared" si="383"/>
        <v>实用新型</v>
      </c>
      <c r="D783" s="1" t="str">
        <f t="shared" si="384"/>
        <v>授权</v>
      </c>
      <c r="E783" s="1" t="str">
        <f>"CN202320612635.1"</f>
        <v>CN202320612635.1</v>
      </c>
      <c r="F783" s="1" t="str">
        <f>"2023-03-24"</f>
        <v>2023-03-24</v>
      </c>
      <c r="G783" s="1" t="str">
        <f>"CN219561563U"</f>
        <v>CN219561563U</v>
      </c>
      <c r="H783" s="1" t="str">
        <f>"2023-08-22"</f>
        <v>2023-08-22</v>
      </c>
      <c r="I783" s="1" t="s">
        <v>4925</v>
      </c>
      <c r="J783" s="1" t="str">
        <f t="shared" si="382"/>
        <v>天津环渤海汽车车身制造有限公司</v>
      </c>
    </row>
    <row r="784" spans="1:10">
      <c r="A784" s="1" t="str">
        <f t="shared" si="381"/>
        <v>天津环渤海汽车车身制造有限公司</v>
      </c>
      <c r="B784" s="1" t="str">
        <f>"一种冷轧卷板自动下料机"</f>
        <v>一种冷轧卷板自动下料机</v>
      </c>
      <c r="C784" s="1" t="str">
        <f t="shared" si="383"/>
        <v>实用新型</v>
      </c>
      <c r="D784" s="1" t="str">
        <f t="shared" si="384"/>
        <v>授权</v>
      </c>
      <c r="E784" s="1" t="str">
        <f>"CN202320555697.3"</f>
        <v>CN202320555697.3</v>
      </c>
      <c r="F784" s="1" t="str">
        <f>"2023-03-21"</f>
        <v>2023-03-21</v>
      </c>
      <c r="G784" s="1" t="str">
        <f>"CN219297074U"</f>
        <v>CN219297074U</v>
      </c>
      <c r="H784" s="1" t="str">
        <f>"2023-07-04"</f>
        <v>2023-07-04</v>
      </c>
      <c r="I784" s="1" t="s">
        <v>4925</v>
      </c>
      <c r="J784" s="1" t="str">
        <f t="shared" si="382"/>
        <v>天津环渤海汽车车身制造有限公司</v>
      </c>
    </row>
    <row r="785" spans="1:10">
      <c r="A785" s="1" t="str">
        <f t="shared" si="381"/>
        <v>天津环渤海汽车车身制造有限公司</v>
      </c>
      <c r="B785" s="1" t="str">
        <f>"一种耐腐蚀的锌铁合金板"</f>
        <v>一种耐腐蚀的锌铁合金板</v>
      </c>
      <c r="C785" s="1" t="str">
        <f t="shared" si="383"/>
        <v>实用新型</v>
      </c>
      <c r="D785" s="1" t="str">
        <f t="shared" si="384"/>
        <v>授权</v>
      </c>
      <c r="E785" s="1" t="str">
        <f>"CN202022641408.0"</f>
        <v>CN202022641408.0</v>
      </c>
      <c r="F785" s="1" t="str">
        <f t="shared" ref="F785:F788" si="386">"2020-11-16"</f>
        <v>2020-11-16</v>
      </c>
      <c r="G785" s="1" t="str">
        <f>"CN214262628U"</f>
        <v>CN214262628U</v>
      </c>
      <c r="H785" s="1" t="str">
        <f>"2021-09-24"</f>
        <v>2021-09-24</v>
      </c>
      <c r="I785" s="1" t="s">
        <v>4925</v>
      </c>
      <c r="J785" s="1" t="str">
        <f t="shared" si="382"/>
        <v>天津环渤海汽车车身制造有限公司</v>
      </c>
    </row>
    <row r="786" spans="1:10">
      <c r="A786" s="1" t="str">
        <f t="shared" si="381"/>
        <v>天津环渤海汽车车身制造有限公司</v>
      </c>
      <c r="B786" s="1" t="str">
        <f>"一种冷轧卷板移动吊具"</f>
        <v>一种冷轧卷板移动吊具</v>
      </c>
      <c r="C786" s="1" t="str">
        <f t="shared" si="383"/>
        <v>实用新型</v>
      </c>
      <c r="D786" s="1" t="str">
        <f t="shared" si="384"/>
        <v>授权</v>
      </c>
      <c r="E786" s="1" t="str">
        <f>"CN202022639990.7"</f>
        <v>CN202022639990.7</v>
      </c>
      <c r="F786" s="1" t="str">
        <f t="shared" si="386"/>
        <v>2020-11-16</v>
      </c>
      <c r="G786" s="1" t="str">
        <f>"CN214269890U"</f>
        <v>CN214269890U</v>
      </c>
      <c r="H786" s="1" t="str">
        <f>"2021-09-24"</f>
        <v>2021-09-24</v>
      </c>
      <c r="I786" s="1" t="s">
        <v>4925</v>
      </c>
      <c r="J786" s="1" t="str">
        <f t="shared" si="382"/>
        <v>天津环渤海汽车车身制造有限公司</v>
      </c>
    </row>
    <row r="787" spans="1:10">
      <c r="A787" s="1" t="str">
        <f t="shared" si="381"/>
        <v>天津环渤海汽车车身制造有限公司</v>
      </c>
      <c r="B787" s="1" t="str">
        <f>"一种冷轧板表面处理装置"</f>
        <v>一种冷轧板表面处理装置</v>
      </c>
      <c r="C787" s="1" t="str">
        <f t="shared" si="383"/>
        <v>实用新型</v>
      </c>
      <c r="D787" s="1" t="str">
        <f t="shared" si="384"/>
        <v>授权</v>
      </c>
      <c r="E787" s="1" t="str">
        <f>"CN202022640936.4"</f>
        <v>CN202022640936.4</v>
      </c>
      <c r="F787" s="1" t="str">
        <f t="shared" si="386"/>
        <v>2020-11-16</v>
      </c>
      <c r="G787" s="1" t="str">
        <f>"CN213764518U"</f>
        <v>CN213764518U</v>
      </c>
      <c r="H787" s="1" t="str">
        <f t="shared" ref="H787:H795" si="387">"2021-07-23"</f>
        <v>2021-07-23</v>
      </c>
      <c r="I787" s="1" t="s">
        <v>4925</v>
      </c>
      <c r="J787" s="1" t="str">
        <f t="shared" si="382"/>
        <v>天津环渤海汽车车身制造有限公司</v>
      </c>
    </row>
    <row r="788" spans="1:10">
      <c r="A788" s="1" t="str">
        <f t="shared" si="381"/>
        <v>天津环渤海汽车车身制造有限公司</v>
      </c>
      <c r="B788" s="1" t="str">
        <f>"一种柔韧性高的锌铁合金卷"</f>
        <v>一种柔韧性高的锌铁合金卷</v>
      </c>
      <c r="C788" s="1" t="str">
        <f t="shared" si="383"/>
        <v>实用新型</v>
      </c>
      <c r="D788" s="1" t="str">
        <f t="shared" si="384"/>
        <v>授权</v>
      </c>
      <c r="E788" s="1" t="str">
        <f>"CN202022640879.X"</f>
        <v>CN202022640879.X</v>
      </c>
      <c r="F788" s="1" t="str">
        <f t="shared" si="386"/>
        <v>2020-11-16</v>
      </c>
      <c r="G788" s="1" t="str">
        <f>"CN213767507U"</f>
        <v>CN213767507U</v>
      </c>
      <c r="H788" s="1" t="str">
        <f t="shared" si="387"/>
        <v>2021-07-23</v>
      </c>
      <c r="I788" s="1" t="s">
        <v>4925</v>
      </c>
      <c r="J788" s="1" t="str">
        <f t="shared" si="382"/>
        <v>天津环渤海汽车车身制造有限公司</v>
      </c>
    </row>
    <row r="789" spans="1:10">
      <c r="A789" s="1" t="str">
        <f t="shared" si="381"/>
        <v>天津环渤海汽车车身制造有限公司</v>
      </c>
      <c r="B789" s="1" t="str">
        <f>"一种具备防尘功能的电动平车轨道"</f>
        <v>一种具备防尘功能的电动平车轨道</v>
      </c>
      <c r="C789" s="1" t="str">
        <f t="shared" si="383"/>
        <v>实用新型</v>
      </c>
      <c r="D789" s="1" t="str">
        <f t="shared" si="384"/>
        <v>授权</v>
      </c>
      <c r="E789" s="1" t="str">
        <f>"CN202022609167.1"</f>
        <v>CN202022609167.1</v>
      </c>
      <c r="F789" s="1" t="str">
        <f t="shared" ref="F789:F791" si="388">"2020-11-12"</f>
        <v>2020-11-12</v>
      </c>
      <c r="G789" s="1" t="str">
        <f>"CN213772742U"</f>
        <v>CN213772742U</v>
      </c>
      <c r="H789" s="1" t="str">
        <f t="shared" si="387"/>
        <v>2021-07-23</v>
      </c>
      <c r="I789" s="1" t="s">
        <v>4925</v>
      </c>
      <c r="J789" s="1" t="str">
        <f t="shared" si="382"/>
        <v>天津环渤海汽车车身制造有限公司</v>
      </c>
    </row>
    <row r="790" spans="1:10">
      <c r="A790" s="1" t="str">
        <f t="shared" si="381"/>
        <v>天津环渤海汽车车身制造有限公司</v>
      </c>
      <c r="B790" s="1" t="str">
        <f>"一种缓冲防护镀锌板"</f>
        <v>一种缓冲防护镀锌板</v>
      </c>
      <c r="C790" s="1" t="str">
        <f t="shared" si="383"/>
        <v>实用新型</v>
      </c>
      <c r="D790" s="1" t="str">
        <f t="shared" si="384"/>
        <v>授权</v>
      </c>
      <c r="E790" s="1" t="str">
        <f>"CN202022609183.0"</f>
        <v>CN202022609183.0</v>
      </c>
      <c r="F790" s="1" t="str">
        <f t="shared" si="388"/>
        <v>2020-11-12</v>
      </c>
      <c r="G790" s="1" t="str">
        <f>"CN213774097U"</f>
        <v>CN213774097U</v>
      </c>
      <c r="H790" s="1" t="str">
        <f t="shared" si="387"/>
        <v>2021-07-23</v>
      </c>
      <c r="I790" s="1" t="s">
        <v>4925</v>
      </c>
      <c r="J790" s="1" t="str">
        <f t="shared" si="382"/>
        <v>天津环渤海汽车车身制造有限公司</v>
      </c>
    </row>
    <row r="791" spans="1:10">
      <c r="A791" s="1" t="str">
        <f t="shared" si="381"/>
        <v>天津环渤海汽车车身制造有限公司</v>
      </c>
      <c r="B791" s="1" t="str">
        <f>"一种钢卷高效镀锌装置"</f>
        <v>一种钢卷高效镀锌装置</v>
      </c>
      <c r="C791" s="1" t="str">
        <f t="shared" si="383"/>
        <v>实用新型</v>
      </c>
      <c r="D791" s="1" t="str">
        <f t="shared" si="384"/>
        <v>授权</v>
      </c>
      <c r="E791" s="1" t="str">
        <f>"CN202022629291.4"</f>
        <v>CN202022629291.4</v>
      </c>
      <c r="F791" s="1" t="str">
        <f t="shared" si="388"/>
        <v>2020-11-12</v>
      </c>
      <c r="G791" s="1" t="str">
        <f>"CN213772175U"</f>
        <v>CN213772175U</v>
      </c>
      <c r="H791" s="1" t="str">
        <f t="shared" si="387"/>
        <v>2021-07-23</v>
      </c>
      <c r="I791" s="1" t="s">
        <v>4925</v>
      </c>
      <c r="J791" s="1" t="str">
        <f t="shared" si="382"/>
        <v>天津环渤海汽车车身制造有限公司</v>
      </c>
    </row>
    <row r="792" spans="1:10">
      <c r="A792" s="1" t="str">
        <f t="shared" si="381"/>
        <v>天津环渤海汽车车身制造有限公司</v>
      </c>
      <c r="B792" s="1" t="str">
        <f>"一种汽车内饰板材绕卷放料架"</f>
        <v>一种汽车内饰板材绕卷放料架</v>
      </c>
      <c r="C792" s="1" t="str">
        <f t="shared" si="383"/>
        <v>实用新型</v>
      </c>
      <c r="D792" s="1" t="str">
        <f t="shared" si="384"/>
        <v>授权</v>
      </c>
      <c r="E792" s="1" t="str">
        <f>"CN202022640895.9"</f>
        <v>CN202022640895.9</v>
      </c>
      <c r="F792" s="1" t="str">
        <f>"2020-11-16"</f>
        <v>2020-11-16</v>
      </c>
      <c r="G792" s="1" t="str">
        <f>"CN213770641U"</f>
        <v>CN213770641U</v>
      </c>
      <c r="H792" s="1" t="str">
        <f t="shared" si="387"/>
        <v>2021-07-23</v>
      </c>
      <c r="I792" s="1" t="s">
        <v>4925</v>
      </c>
      <c r="J792" s="1" t="str">
        <f t="shared" si="382"/>
        <v>天津环渤海汽车车身制造有限公司</v>
      </c>
    </row>
    <row r="793" spans="1:10">
      <c r="A793" s="1" t="str">
        <f t="shared" si="381"/>
        <v>天津环渤海汽车车身制造有限公司</v>
      </c>
      <c r="B793" s="1" t="str">
        <f>"一种金属板材用清洗机"</f>
        <v>一种金属板材用清洗机</v>
      </c>
      <c r="C793" s="1" t="str">
        <f t="shared" si="383"/>
        <v>实用新型</v>
      </c>
      <c r="D793" s="1" t="str">
        <f t="shared" si="384"/>
        <v>授权</v>
      </c>
      <c r="E793" s="1" t="str">
        <f>"CN202022612725.X"</f>
        <v>CN202022612725.X</v>
      </c>
      <c r="F793" s="1" t="str">
        <f t="shared" ref="F793:F796" si="389">"2020-11-12"</f>
        <v>2020-11-12</v>
      </c>
      <c r="G793" s="1" t="str">
        <f>"CN213763101U"</f>
        <v>CN213763101U</v>
      </c>
      <c r="H793" s="1" t="str">
        <f t="shared" si="387"/>
        <v>2021-07-23</v>
      </c>
      <c r="I793" s="1" t="s">
        <v>4925</v>
      </c>
      <c r="J793" s="1" t="str">
        <f t="shared" si="382"/>
        <v>天津环渤海汽车车身制造有限公司</v>
      </c>
    </row>
    <row r="794" spans="1:10">
      <c r="A794" s="1" t="str">
        <f t="shared" si="381"/>
        <v>天津环渤海汽车车身制造有限公司</v>
      </c>
      <c r="B794" s="1" t="str">
        <f>"一种镀锌卷运输保护装置"</f>
        <v>一种镀锌卷运输保护装置</v>
      </c>
      <c r="C794" s="1" t="str">
        <f t="shared" si="383"/>
        <v>实用新型</v>
      </c>
      <c r="D794" s="1" t="str">
        <f t="shared" si="384"/>
        <v>授权</v>
      </c>
      <c r="E794" s="1" t="str">
        <f>"CN202022629180.3"</f>
        <v>CN202022629180.3</v>
      </c>
      <c r="F794" s="1" t="str">
        <f t="shared" si="389"/>
        <v>2020-11-12</v>
      </c>
      <c r="G794" s="1" t="str">
        <f>"CN213769579U"</f>
        <v>CN213769579U</v>
      </c>
      <c r="H794" s="1" t="str">
        <f t="shared" si="387"/>
        <v>2021-07-23</v>
      </c>
      <c r="I794" s="1" t="s">
        <v>4925</v>
      </c>
      <c r="J794" s="1" t="str">
        <f t="shared" si="382"/>
        <v>天津环渤海汽车车身制造有限公司</v>
      </c>
    </row>
    <row r="795" spans="1:10">
      <c r="A795" s="1" t="str">
        <f t="shared" si="381"/>
        <v>天津环渤海汽车车身制造有限公司</v>
      </c>
      <c r="B795" s="1" t="str">
        <f>"一种金属板材用转运装置"</f>
        <v>一种金属板材用转运装置</v>
      </c>
      <c r="C795" s="1" t="str">
        <f t="shared" si="383"/>
        <v>实用新型</v>
      </c>
      <c r="D795" s="1" t="str">
        <f t="shared" si="384"/>
        <v>授权</v>
      </c>
      <c r="E795" s="1" t="str">
        <f>"CN202022609173.7"</f>
        <v>CN202022609173.7</v>
      </c>
      <c r="F795" s="1" t="str">
        <f t="shared" si="389"/>
        <v>2020-11-12</v>
      </c>
      <c r="G795" s="1" t="str">
        <f>"CN213770385U"</f>
        <v>CN213770385U</v>
      </c>
      <c r="H795" s="1" t="str">
        <f t="shared" si="387"/>
        <v>2021-07-23</v>
      </c>
      <c r="I795" s="1" t="s">
        <v>4925</v>
      </c>
      <c r="J795" s="1" t="str">
        <f t="shared" si="382"/>
        <v>天津环渤海汽车车身制造有限公司</v>
      </c>
    </row>
    <row r="796" spans="1:10">
      <c r="A796" s="1" t="str">
        <f t="shared" si="381"/>
        <v>天津环渤海汽车车身制造有限公司</v>
      </c>
      <c r="B796" s="1" t="str">
        <f>"一种高效数控板料剪切装置"</f>
        <v>一种高效数控板料剪切装置</v>
      </c>
      <c r="C796" s="1" t="str">
        <f t="shared" si="383"/>
        <v>实用新型</v>
      </c>
      <c r="D796" s="1" t="str">
        <f t="shared" si="384"/>
        <v>授权</v>
      </c>
      <c r="E796" s="1" t="str">
        <f>"CN202022609189.8"</f>
        <v>CN202022609189.8</v>
      </c>
      <c r="F796" s="1" t="str">
        <f t="shared" si="389"/>
        <v>2020-11-12</v>
      </c>
      <c r="G796" s="1" t="str">
        <f>"CN213469785U"</f>
        <v>CN213469785U</v>
      </c>
      <c r="H796" s="1" t="str">
        <f t="shared" ref="H796:H798" si="390">"2021-06-18"</f>
        <v>2021-06-18</v>
      </c>
      <c r="I796" s="1" t="s">
        <v>4925</v>
      </c>
      <c r="J796" s="1" t="str">
        <f t="shared" si="382"/>
        <v>天津环渤海汽车车身制造有限公司</v>
      </c>
    </row>
    <row r="797" spans="1:10">
      <c r="A797" s="1" t="str">
        <f t="shared" si="381"/>
        <v>天津环渤海汽车车身制造有限公司</v>
      </c>
      <c r="B797" s="1" t="str">
        <f>"一种卷装金属板分条机"</f>
        <v>一种卷装金属板分条机</v>
      </c>
      <c r="C797" s="1" t="str">
        <f t="shared" si="383"/>
        <v>实用新型</v>
      </c>
      <c r="D797" s="1" t="str">
        <f t="shared" si="384"/>
        <v>授权</v>
      </c>
      <c r="E797" s="1" t="str">
        <f>"CN202022640923.7"</f>
        <v>CN202022640923.7</v>
      </c>
      <c r="F797" s="1" t="str">
        <f>"2020-11-16"</f>
        <v>2020-11-16</v>
      </c>
      <c r="G797" s="1" t="str">
        <f>"CN213469772U"</f>
        <v>CN213469772U</v>
      </c>
      <c r="H797" s="1" t="str">
        <f t="shared" si="390"/>
        <v>2021-06-18</v>
      </c>
      <c r="I797" s="1" t="s">
        <v>4925</v>
      </c>
      <c r="J797" s="1" t="str">
        <f t="shared" si="382"/>
        <v>天津环渤海汽车车身制造有限公司</v>
      </c>
    </row>
    <row r="798" spans="1:10">
      <c r="A798" s="1" t="str">
        <f t="shared" si="381"/>
        <v>天津环渤海汽车车身制造有限公司</v>
      </c>
      <c r="B798" s="1" t="str">
        <f>"一种无缝管裁断切割装置"</f>
        <v>一种无缝管裁断切割装置</v>
      </c>
      <c r="C798" s="1" t="str">
        <f t="shared" si="383"/>
        <v>实用新型</v>
      </c>
      <c r="D798" s="1" t="str">
        <f t="shared" si="384"/>
        <v>授权</v>
      </c>
      <c r="E798" s="1" t="str">
        <f>"CN202022639941.3"</f>
        <v>CN202022639941.3</v>
      </c>
      <c r="F798" s="1" t="str">
        <f>"2020-11-16"</f>
        <v>2020-11-16</v>
      </c>
      <c r="G798" s="1" t="str">
        <f>"CN213469784U"</f>
        <v>CN213469784U</v>
      </c>
      <c r="H798" s="1" t="str">
        <f t="shared" si="390"/>
        <v>2021-06-18</v>
      </c>
      <c r="I798" s="1" t="s">
        <v>4925</v>
      </c>
      <c r="J798" s="1" t="str">
        <f t="shared" si="382"/>
        <v>天津环渤海汽车车身制造有限公司</v>
      </c>
    </row>
    <row r="799" spans="1:10">
      <c r="A799" s="1" t="str">
        <f t="shared" ref="A799:A862" si="391">"天津普天单向器有限公司"</f>
        <v>天津普天单向器有限公司</v>
      </c>
      <c r="B799" s="1" t="str">
        <f>"一种锥形压铆方法及模具"</f>
        <v>一种锥形压铆方法及模具</v>
      </c>
      <c r="C799" s="1" t="str">
        <f>"发明公布"</f>
        <v>发明公布</v>
      </c>
      <c r="D799" s="1" t="str">
        <f>"实质审查"</f>
        <v>实质审查</v>
      </c>
      <c r="E799" s="1" t="str">
        <f>"CN202510006804.0"</f>
        <v>CN202510006804.0</v>
      </c>
      <c r="F799" s="1" t="str">
        <f>"2025-01-03"</f>
        <v>2025-01-03</v>
      </c>
      <c r="G799" s="1" t="str">
        <f>"CN119747565A"</f>
        <v>CN119747565A</v>
      </c>
      <c r="H799" s="1" t="str">
        <f>"2025-04-04"</f>
        <v>2025-04-04</v>
      </c>
      <c r="I799" s="1" t="str">
        <f>"赵勇"</f>
        <v>赵勇</v>
      </c>
      <c r="J799" s="1" t="str">
        <f t="shared" ref="J799:J862" si="392">"天津普天单向器有限公司"</f>
        <v>天津普天单向器有限公司</v>
      </c>
    </row>
    <row r="800" spans="1:10">
      <c r="A800" s="1" t="str">
        <f t="shared" si="391"/>
        <v>天津普天单向器有限公司</v>
      </c>
      <c r="B800" s="1" t="str">
        <f>"一种轴类径跳、圆度自动检测设备"</f>
        <v>一种轴类径跳、圆度自动检测设备</v>
      </c>
      <c r="C800" s="1" t="str">
        <f>"发明公布"</f>
        <v>发明公布</v>
      </c>
      <c r="D800" s="1" t="str">
        <f>"实质审查"</f>
        <v>实质审查</v>
      </c>
      <c r="E800" s="1" t="str">
        <f>"CN202510193334.3"</f>
        <v>CN202510193334.3</v>
      </c>
      <c r="F800" s="1" t="str">
        <f>"2025-02-21"</f>
        <v>2025-02-21</v>
      </c>
      <c r="G800" s="1" t="str">
        <f>"CN119714014A"</f>
        <v>CN119714014A</v>
      </c>
      <c r="H800" s="1" t="str">
        <f>"2025-03-28"</f>
        <v>2025-03-28</v>
      </c>
      <c r="I800" s="1" t="str">
        <f>"赵文叶"</f>
        <v>赵文叶</v>
      </c>
      <c r="J800" s="1" t="str">
        <f t="shared" si="392"/>
        <v>天津普天单向器有限公司</v>
      </c>
    </row>
    <row r="801" spans="1:10">
      <c r="A801" s="1" t="str">
        <f t="shared" si="391"/>
        <v>天津普天单向器有限公司</v>
      </c>
      <c r="B801" s="1" t="str">
        <f>"小型卡簧安装机"</f>
        <v>小型卡簧安装机</v>
      </c>
      <c r="C801" s="1" t="str">
        <f t="shared" ref="C801:C808" si="393">"实用新型"</f>
        <v>实用新型</v>
      </c>
      <c r="D801" s="1" t="str">
        <f t="shared" ref="D801:D845" si="394">"授权"</f>
        <v>授权</v>
      </c>
      <c r="E801" s="1" t="str">
        <f>"CN202420244232.0"</f>
        <v>CN202420244232.0</v>
      </c>
      <c r="F801" s="1" t="str">
        <f>"2024-02-01"</f>
        <v>2024-02-01</v>
      </c>
      <c r="G801" s="1" t="str">
        <f>"CN222552697U"</f>
        <v>CN222552697U</v>
      </c>
      <c r="H801" s="1" t="str">
        <f>"2025-03-04"</f>
        <v>2025-03-04</v>
      </c>
      <c r="I801" s="1" t="str">
        <f>"苗俊发"</f>
        <v>苗俊发</v>
      </c>
      <c r="J801" s="1" t="str">
        <f t="shared" si="392"/>
        <v>天津普天单向器有限公司</v>
      </c>
    </row>
    <row r="802" spans="1:10">
      <c r="A802" s="1" t="str">
        <f t="shared" si="391"/>
        <v>天津普天单向器有限公司</v>
      </c>
      <c r="B802" s="1" t="str">
        <f>"一种套管内孔双向轴承压入工装"</f>
        <v>一种套管内孔双向轴承压入工装</v>
      </c>
      <c r="C802" s="1" t="str">
        <f t="shared" si="393"/>
        <v>实用新型</v>
      </c>
      <c r="D802" s="1" t="str">
        <f t="shared" si="394"/>
        <v>授权</v>
      </c>
      <c r="E802" s="1" t="str">
        <f>"CN202420244236.9"</f>
        <v>CN202420244236.9</v>
      </c>
      <c r="F802" s="1" t="str">
        <f>"2024-02-01"</f>
        <v>2024-02-01</v>
      </c>
      <c r="G802" s="1" t="str">
        <f>"CN222471411U"</f>
        <v>CN222471411U</v>
      </c>
      <c r="H802" s="1" t="str">
        <f>"2025-02-14"</f>
        <v>2025-02-14</v>
      </c>
      <c r="I802" s="1" t="str">
        <f>"胡亮辉"</f>
        <v>胡亮辉</v>
      </c>
      <c r="J802" s="1" t="str">
        <f t="shared" si="392"/>
        <v>天津普天单向器有限公司</v>
      </c>
    </row>
    <row r="803" spans="1:10">
      <c r="A803" s="1" t="str">
        <f t="shared" si="391"/>
        <v>天津普天单向器有限公司</v>
      </c>
      <c r="B803" s="1" t="str">
        <f>"一种单向器齿轮自动旋转压入星轮的专用设备"</f>
        <v>一种单向器齿轮自动旋转压入星轮的专用设备</v>
      </c>
      <c r="C803" s="1" t="str">
        <f t="shared" si="393"/>
        <v>实用新型</v>
      </c>
      <c r="D803" s="1" t="str">
        <f t="shared" si="394"/>
        <v>授权</v>
      </c>
      <c r="E803" s="1" t="str">
        <f>"CN202420009296.2"</f>
        <v>CN202420009296.2</v>
      </c>
      <c r="F803" s="1" t="str">
        <f>"2024-01-03"</f>
        <v>2024-01-03</v>
      </c>
      <c r="G803" s="1" t="str">
        <f>"CN222327239U"</f>
        <v>CN222327239U</v>
      </c>
      <c r="H803" s="1" t="str">
        <f>"2025-01-10"</f>
        <v>2025-01-10</v>
      </c>
      <c r="I803" s="1" t="str">
        <f>"傅霖"</f>
        <v>傅霖</v>
      </c>
      <c r="J803" s="1" t="str">
        <f t="shared" si="392"/>
        <v>天津普天单向器有限公司</v>
      </c>
    </row>
    <row r="804" spans="1:10">
      <c r="A804" s="1" t="str">
        <f t="shared" si="391"/>
        <v>天津普天单向器有限公司</v>
      </c>
      <c r="B804" s="1" t="str">
        <f>"一种铝件压扁模具"</f>
        <v>一种铝件压扁模具</v>
      </c>
      <c r="C804" s="1" t="str">
        <f t="shared" si="393"/>
        <v>实用新型</v>
      </c>
      <c r="D804" s="1" t="str">
        <f t="shared" si="394"/>
        <v>授权</v>
      </c>
      <c r="E804" s="1" t="str">
        <f>"CN202420066036.9"</f>
        <v>CN202420066036.9</v>
      </c>
      <c r="F804" s="1" t="str">
        <f>"2024-01-11"</f>
        <v>2024-01-11</v>
      </c>
      <c r="G804" s="1" t="str">
        <f>"CN222153610U"</f>
        <v>CN222153610U</v>
      </c>
      <c r="H804" s="1" t="str">
        <f>"2024-12-13"</f>
        <v>2024-12-13</v>
      </c>
      <c r="I804" s="1" t="str">
        <f>"侯庆磊"</f>
        <v>侯庆磊</v>
      </c>
      <c r="J804" s="1" t="str">
        <f t="shared" si="392"/>
        <v>天津普天单向器有限公司</v>
      </c>
    </row>
    <row r="805" spans="1:10">
      <c r="A805" s="1" t="str">
        <f t="shared" si="391"/>
        <v>天津普天单向器有限公司</v>
      </c>
      <c r="B805" s="1" t="str">
        <f>"一种测量星轮检测孔同轴度的检具"</f>
        <v>一种测量星轮检测孔同轴度的检具</v>
      </c>
      <c r="C805" s="1" t="str">
        <f t="shared" si="393"/>
        <v>实用新型</v>
      </c>
      <c r="D805" s="1" t="str">
        <f t="shared" si="394"/>
        <v>授权</v>
      </c>
      <c r="E805" s="1" t="str">
        <f>"CN202420010520.X"</f>
        <v>CN202420010520.X</v>
      </c>
      <c r="F805" s="1" t="str">
        <f>"2024-01-03"</f>
        <v>2024-01-03</v>
      </c>
      <c r="G805" s="1" t="str">
        <f>"CN222144027U"</f>
        <v>CN222144027U</v>
      </c>
      <c r="H805" s="1" t="str">
        <f>"2024-12-10"</f>
        <v>2024-12-10</v>
      </c>
      <c r="I805" s="1" t="str">
        <f>"苗俊发"</f>
        <v>苗俊发</v>
      </c>
      <c r="J805" s="1" t="str">
        <f t="shared" si="392"/>
        <v>天津普天单向器有限公司</v>
      </c>
    </row>
    <row r="806" spans="1:10">
      <c r="A806" s="1" t="str">
        <f t="shared" si="391"/>
        <v>天津普天单向器有限公司</v>
      </c>
      <c r="B806" s="1" t="str">
        <f>"一种新型光饰机装置"</f>
        <v>一种新型光饰机装置</v>
      </c>
      <c r="C806" s="1" t="str">
        <f t="shared" si="393"/>
        <v>实用新型</v>
      </c>
      <c r="D806" s="1" t="str">
        <f t="shared" si="394"/>
        <v>授权</v>
      </c>
      <c r="E806" s="1" t="str">
        <f>"CN202420086922.8"</f>
        <v>CN202420086922.8</v>
      </c>
      <c r="F806" s="1" t="str">
        <f>"2024-01-15"</f>
        <v>2024-01-15</v>
      </c>
      <c r="G806" s="1" t="str">
        <f>"CN222134545U"</f>
        <v>CN222134545U</v>
      </c>
      <c r="H806" s="1" t="str">
        <f>"2024-12-10"</f>
        <v>2024-12-10</v>
      </c>
      <c r="I806" s="1" t="str">
        <f>"于子斌"</f>
        <v>于子斌</v>
      </c>
      <c r="J806" s="1" t="str">
        <f t="shared" si="392"/>
        <v>天津普天单向器有限公司</v>
      </c>
    </row>
    <row r="807" spans="1:10">
      <c r="A807" s="1" t="str">
        <f t="shared" si="391"/>
        <v>天津普天单向器有限公司</v>
      </c>
      <c r="B807" s="1" t="str">
        <f>"一种直纹内花键跨棒距的检测装置"</f>
        <v>一种直纹内花键跨棒距的检测装置</v>
      </c>
      <c r="C807" s="1" t="str">
        <f t="shared" si="393"/>
        <v>实用新型</v>
      </c>
      <c r="D807" s="1" t="str">
        <f t="shared" si="394"/>
        <v>授权</v>
      </c>
      <c r="E807" s="1" t="str">
        <f>"CN202420122353.8"</f>
        <v>CN202420122353.8</v>
      </c>
      <c r="F807" s="1" t="str">
        <f>"2024-01-18"</f>
        <v>2024-01-18</v>
      </c>
      <c r="G807" s="1" t="str">
        <f>"CN222048851U"</f>
        <v>CN222048851U</v>
      </c>
      <c r="H807" s="1" t="str">
        <f>"2024-11-22"</f>
        <v>2024-11-22</v>
      </c>
      <c r="I807" s="1" t="str">
        <f>"赵勇"</f>
        <v>赵勇</v>
      </c>
      <c r="J807" s="1" t="str">
        <f t="shared" si="392"/>
        <v>天津普天单向器有限公司</v>
      </c>
    </row>
    <row r="808" spans="1:10">
      <c r="A808" s="1" t="str">
        <f t="shared" si="391"/>
        <v>天津普天单向器有限公司</v>
      </c>
      <c r="B808" s="1" t="str">
        <f>"一种自带卡簧复位功能的齿轮缓冲距离检测专用工装"</f>
        <v>一种自带卡簧复位功能的齿轮缓冲距离检测专用工装</v>
      </c>
      <c r="C808" s="1" t="str">
        <f t="shared" si="393"/>
        <v>实用新型</v>
      </c>
      <c r="D808" s="1" t="str">
        <f t="shared" si="394"/>
        <v>授权</v>
      </c>
      <c r="E808" s="1" t="str">
        <f>"CN202420244256.6"</f>
        <v>CN202420244256.6</v>
      </c>
      <c r="F808" s="1" t="str">
        <f>"2024-02-01"</f>
        <v>2024-02-01</v>
      </c>
      <c r="G808" s="1" t="str">
        <f>"CN221924914U"</f>
        <v>CN221924914U</v>
      </c>
      <c r="H808" s="1" t="str">
        <f>"2024-10-29"</f>
        <v>2024-10-29</v>
      </c>
      <c r="I808" s="1" t="str">
        <f>"于子斌"</f>
        <v>于子斌</v>
      </c>
      <c r="J808" s="1" t="str">
        <f t="shared" si="392"/>
        <v>天津普天单向器有限公司</v>
      </c>
    </row>
    <row r="809" spans="1:10">
      <c r="A809" s="1" t="str">
        <f t="shared" si="391"/>
        <v>天津普天单向器有限公司</v>
      </c>
      <c r="B809" s="1" t="str">
        <f>"一种零间隙地机械检测孔位的装置及方法"</f>
        <v>一种零间隙地机械检测孔位的装置及方法</v>
      </c>
      <c r="C809" s="1" t="str">
        <f t="shared" ref="C809:C813" si="395">"发明授权"</f>
        <v>发明授权</v>
      </c>
      <c r="D809" s="1" t="str">
        <f t="shared" si="394"/>
        <v>授权</v>
      </c>
      <c r="E809" s="1" t="str">
        <f>"CN201810728323.0"</f>
        <v>CN201810728323.0</v>
      </c>
      <c r="F809" s="1" t="str">
        <f>"2018-07-05"</f>
        <v>2018-07-05</v>
      </c>
      <c r="G809" s="1" t="str">
        <f>"CN108507440B"</f>
        <v>CN108507440B</v>
      </c>
      <c r="H809" s="1" t="str">
        <f>"2024-08-06"</f>
        <v>2024-08-06</v>
      </c>
      <c r="I809" s="1" t="str">
        <f t="shared" ref="I809:I813" si="396">"黄世清"</f>
        <v>黄世清</v>
      </c>
      <c r="J809" s="1" t="str">
        <f t="shared" si="392"/>
        <v>天津普天单向器有限公司</v>
      </c>
    </row>
    <row r="810" spans="1:10">
      <c r="A810" s="1" t="str">
        <f t="shared" si="391"/>
        <v>天津普天单向器有限公司</v>
      </c>
      <c r="B810" s="1" t="str">
        <f>"一种用于倒角组合装置的控制电路"</f>
        <v>一种用于倒角组合装置的控制电路</v>
      </c>
      <c r="C810" s="1" t="str">
        <f t="shared" si="395"/>
        <v>发明授权</v>
      </c>
      <c r="D810" s="1" t="str">
        <f t="shared" si="394"/>
        <v>授权</v>
      </c>
      <c r="E810" s="1" t="str">
        <f>"CN201910259933.5"</f>
        <v>CN201910259933.5</v>
      </c>
      <c r="F810" s="1" t="str">
        <f>"2019-04-02"</f>
        <v>2019-04-02</v>
      </c>
      <c r="G810" s="1" t="str">
        <f>"CN109909557B"</f>
        <v>CN109909557B</v>
      </c>
      <c r="H810" s="1" t="str">
        <f>"2024-05-24"</f>
        <v>2024-05-24</v>
      </c>
      <c r="I810" s="1" t="str">
        <f>"王斌"</f>
        <v>王斌</v>
      </c>
      <c r="J810" s="1" t="str">
        <f t="shared" si="392"/>
        <v>天津普天单向器有限公司</v>
      </c>
    </row>
    <row r="811" spans="1:10">
      <c r="A811" s="1" t="str">
        <f t="shared" si="391"/>
        <v>天津普天单向器有限公司</v>
      </c>
      <c r="B811" s="1" t="str">
        <f>"一种旋转挤压斜齿内齿轮的模具"</f>
        <v>一种旋转挤压斜齿内齿轮的模具</v>
      </c>
      <c r="C811" s="1" t="str">
        <f t="shared" si="395"/>
        <v>发明授权</v>
      </c>
      <c r="D811" s="1" t="str">
        <f t="shared" si="394"/>
        <v>授权</v>
      </c>
      <c r="E811" s="1" t="str">
        <f>"CN201810721887.1"</f>
        <v>CN201810721887.1</v>
      </c>
      <c r="F811" s="1" t="str">
        <f>"2018-07-04"</f>
        <v>2018-07-04</v>
      </c>
      <c r="G811" s="1" t="str">
        <f>"CN108607890B"</f>
        <v>CN108607890B</v>
      </c>
      <c r="H811" s="1" t="str">
        <f>"2024-03-26"</f>
        <v>2024-03-26</v>
      </c>
      <c r="I811" s="1" t="str">
        <f t="shared" si="396"/>
        <v>黄世清</v>
      </c>
      <c r="J811" s="1" t="str">
        <f t="shared" si="392"/>
        <v>天津普天单向器有限公司</v>
      </c>
    </row>
    <row r="812" spans="1:10">
      <c r="A812" s="1" t="str">
        <f t="shared" si="391"/>
        <v>天津普天单向器有限公司</v>
      </c>
      <c r="B812" s="1" t="str">
        <f>"一种单向器罩盖的装配模具"</f>
        <v>一种单向器罩盖的装配模具</v>
      </c>
      <c r="C812" s="1" t="str">
        <f t="shared" si="395"/>
        <v>发明授权</v>
      </c>
      <c r="D812" s="1" t="str">
        <f t="shared" si="394"/>
        <v>授权</v>
      </c>
      <c r="E812" s="1" t="str">
        <f>"CN201910259937.3"</f>
        <v>CN201910259937.3</v>
      </c>
      <c r="F812" s="1" t="str">
        <f>"2019-04-02"</f>
        <v>2019-04-02</v>
      </c>
      <c r="G812" s="1" t="str">
        <f>"CN109821990B"</f>
        <v>CN109821990B</v>
      </c>
      <c r="H812" s="1" t="str">
        <f>"2023-10-10"</f>
        <v>2023-10-10</v>
      </c>
      <c r="I812" s="1" t="str">
        <f>"乔金长"</f>
        <v>乔金长</v>
      </c>
      <c r="J812" s="1" t="str">
        <f t="shared" si="392"/>
        <v>天津普天单向器有限公司</v>
      </c>
    </row>
    <row r="813" spans="1:10">
      <c r="A813" s="1" t="str">
        <f t="shared" si="391"/>
        <v>天津普天单向器有限公司</v>
      </c>
      <c r="B813" s="1" t="str">
        <f>"离脱力校验装置及校验方法"</f>
        <v>离脱力校验装置及校验方法</v>
      </c>
      <c r="C813" s="1" t="str">
        <f t="shared" si="395"/>
        <v>发明授权</v>
      </c>
      <c r="D813" s="1" t="str">
        <f t="shared" si="394"/>
        <v>授权</v>
      </c>
      <c r="E813" s="1" t="str">
        <f>"CN201810496700.2"</f>
        <v>CN201810496700.2</v>
      </c>
      <c r="F813" s="1" t="str">
        <f>"2018-05-22"</f>
        <v>2018-05-22</v>
      </c>
      <c r="G813" s="1" t="str">
        <f>"CN108760149B"</f>
        <v>CN108760149B</v>
      </c>
      <c r="H813" s="1" t="str">
        <f>"2023-10-10"</f>
        <v>2023-10-10</v>
      </c>
      <c r="I813" s="1" t="str">
        <f t="shared" si="396"/>
        <v>黄世清</v>
      </c>
      <c r="J813" s="1" t="str">
        <f t="shared" si="392"/>
        <v>天津普天单向器有限公司</v>
      </c>
    </row>
    <row r="814" spans="1:10">
      <c r="A814" s="1" t="str">
        <f t="shared" si="391"/>
        <v>天津普天单向器有限公司</v>
      </c>
      <c r="B814" s="1" t="str">
        <f>"冲孔模具"</f>
        <v>冲孔模具</v>
      </c>
      <c r="C814" s="1" t="str">
        <f t="shared" ref="C814:C822" si="397">"实用新型"</f>
        <v>实用新型</v>
      </c>
      <c r="D814" s="1" t="str">
        <f t="shared" si="394"/>
        <v>授权</v>
      </c>
      <c r="E814" s="1" t="str">
        <f>"CN202320201248.9"</f>
        <v>CN202320201248.9</v>
      </c>
      <c r="F814" s="1" t="str">
        <f>"2023-02-14"</f>
        <v>2023-02-14</v>
      </c>
      <c r="G814" s="1" t="str">
        <f>"CN219597837U"</f>
        <v>CN219597837U</v>
      </c>
      <c r="H814" s="1" t="str">
        <f t="shared" ref="H814:H816" si="398">"2023-08-29"</f>
        <v>2023-08-29</v>
      </c>
      <c r="I814" s="1" t="str">
        <f>"傅霖"</f>
        <v>傅霖</v>
      </c>
      <c r="J814" s="1" t="str">
        <f t="shared" si="392"/>
        <v>天津普天单向器有限公司</v>
      </c>
    </row>
    <row r="815" spans="1:10">
      <c r="A815" s="1" t="str">
        <f t="shared" si="391"/>
        <v>天津普天单向器有限公司</v>
      </c>
      <c r="B815" s="1" t="str">
        <f>"一种倒角加工组合装置及使用方法"</f>
        <v>一种倒角加工组合装置及使用方法</v>
      </c>
      <c r="C815" s="1" t="str">
        <f t="shared" ref="C815:C817" si="399">"发明授权"</f>
        <v>发明授权</v>
      </c>
      <c r="D815" s="1" t="str">
        <f t="shared" si="394"/>
        <v>授权</v>
      </c>
      <c r="E815" s="1" t="str">
        <f>"CN201910052668.3"</f>
        <v>CN201910052668.3</v>
      </c>
      <c r="F815" s="1" t="str">
        <f>"2019-01-21"</f>
        <v>2019-01-21</v>
      </c>
      <c r="G815" s="1" t="str">
        <f>"CN109530753B"</f>
        <v>CN109530753B</v>
      </c>
      <c r="H815" s="1" t="str">
        <f t="shared" si="398"/>
        <v>2023-08-29</v>
      </c>
      <c r="I815" s="1" t="str">
        <f>"刘士旺"</f>
        <v>刘士旺</v>
      </c>
      <c r="J815" s="1" t="str">
        <f t="shared" si="392"/>
        <v>天津普天单向器有限公司</v>
      </c>
    </row>
    <row r="816" spans="1:10">
      <c r="A816" s="1" t="str">
        <f t="shared" si="391"/>
        <v>天津普天单向器有限公司</v>
      </c>
      <c r="B816" s="1" t="str">
        <f>"一种新型压装卡簧工装及其使用方法"</f>
        <v>一种新型压装卡簧工装及其使用方法</v>
      </c>
      <c r="C816" s="1" t="str">
        <f t="shared" si="399"/>
        <v>发明授权</v>
      </c>
      <c r="D816" s="1" t="str">
        <f t="shared" si="394"/>
        <v>授权</v>
      </c>
      <c r="E816" s="1" t="str">
        <f>"CN201910215898.7"</f>
        <v>CN201910215898.7</v>
      </c>
      <c r="F816" s="1" t="str">
        <f>"2019-03-21"</f>
        <v>2019-03-21</v>
      </c>
      <c r="G816" s="1" t="str">
        <f>"CN109822325B"</f>
        <v>CN109822325B</v>
      </c>
      <c r="H816" s="1" t="str">
        <f t="shared" si="398"/>
        <v>2023-08-29</v>
      </c>
      <c r="I816" s="1" t="str">
        <f>"侯庆磊"</f>
        <v>侯庆磊</v>
      </c>
      <c r="J816" s="1" t="str">
        <f t="shared" si="392"/>
        <v>天津普天单向器有限公司</v>
      </c>
    </row>
    <row r="817" spans="1:10">
      <c r="A817" s="1" t="str">
        <f t="shared" si="391"/>
        <v>天津普天单向器有限公司</v>
      </c>
      <c r="B817" s="1" t="str">
        <f>"一种圆弧位置监测装置及监测方法"</f>
        <v>一种圆弧位置监测装置及监测方法</v>
      </c>
      <c r="C817" s="1" t="str">
        <f t="shared" si="399"/>
        <v>发明授权</v>
      </c>
      <c r="D817" s="1" t="str">
        <f t="shared" si="394"/>
        <v>授权</v>
      </c>
      <c r="E817" s="1" t="str">
        <f>"CN201810496714.4"</f>
        <v>CN201810496714.4</v>
      </c>
      <c r="F817" s="1" t="str">
        <f>"2018-05-22"</f>
        <v>2018-05-22</v>
      </c>
      <c r="G817" s="1" t="str">
        <f>"CN108489369B"</f>
        <v>CN108489369B</v>
      </c>
      <c r="H817" s="1" t="str">
        <f>"2023-08-15"</f>
        <v>2023-08-15</v>
      </c>
      <c r="I817" s="1" t="str">
        <f>"黄世清"</f>
        <v>黄世清</v>
      </c>
      <c r="J817" s="1" t="str">
        <f t="shared" si="392"/>
        <v>天津普天单向器有限公司</v>
      </c>
    </row>
    <row r="818" spans="1:10">
      <c r="A818" s="1" t="str">
        <f t="shared" si="391"/>
        <v>天津普天单向器有限公司</v>
      </c>
      <c r="B818" s="1" t="str">
        <f>"一种检验轴承脱出力的试验装置"</f>
        <v>一种检验轴承脱出力的试验装置</v>
      </c>
      <c r="C818" s="1" t="str">
        <f t="shared" si="397"/>
        <v>实用新型</v>
      </c>
      <c r="D818" s="1" t="str">
        <f t="shared" si="394"/>
        <v>授权</v>
      </c>
      <c r="E818" s="1" t="str">
        <f>"CN202320280005.9"</f>
        <v>CN202320280005.9</v>
      </c>
      <c r="F818" s="1" t="str">
        <f>"2023-02-22"</f>
        <v>2023-02-22</v>
      </c>
      <c r="G818" s="1" t="str">
        <f>"CN219511723U"</f>
        <v>CN219511723U</v>
      </c>
      <c r="H818" s="1" t="str">
        <f t="shared" ref="H818:H823" si="400">"2023-08-11"</f>
        <v>2023-08-11</v>
      </c>
      <c r="I818" s="1" t="str">
        <f t="shared" ref="I818:I822" si="401">"赵勇"</f>
        <v>赵勇</v>
      </c>
      <c r="J818" s="1" t="str">
        <f t="shared" si="392"/>
        <v>天津普天单向器有限公司</v>
      </c>
    </row>
    <row r="819" spans="1:10">
      <c r="A819" s="1" t="str">
        <f t="shared" si="391"/>
        <v>天津普天单向器有限公司</v>
      </c>
      <c r="B819" s="1" t="str">
        <f>"一种杆销压扁对称度计量型检测装置"</f>
        <v>一种杆销压扁对称度计量型检测装置</v>
      </c>
      <c r="C819" s="1" t="str">
        <f t="shared" si="397"/>
        <v>实用新型</v>
      </c>
      <c r="D819" s="1" t="str">
        <f t="shared" si="394"/>
        <v>授权</v>
      </c>
      <c r="E819" s="1" t="str">
        <f>"CN202320269494.8"</f>
        <v>CN202320269494.8</v>
      </c>
      <c r="F819" s="1" t="str">
        <f>"2023-02-21"</f>
        <v>2023-02-21</v>
      </c>
      <c r="G819" s="1" t="str">
        <f>"CN219511445U"</f>
        <v>CN219511445U</v>
      </c>
      <c r="H819" s="1" t="str">
        <f t="shared" si="400"/>
        <v>2023-08-11</v>
      </c>
      <c r="I819" s="1" t="str">
        <f t="shared" si="401"/>
        <v>赵勇</v>
      </c>
      <c r="J819" s="1" t="str">
        <f t="shared" si="392"/>
        <v>天津普天单向器有限公司</v>
      </c>
    </row>
    <row r="820" spans="1:10">
      <c r="A820" s="1" t="str">
        <f t="shared" si="391"/>
        <v>天津普天单向器有限公司</v>
      </c>
      <c r="B820" s="1" t="str">
        <f>"自动出料装置"</f>
        <v>自动出料装置</v>
      </c>
      <c r="C820" s="1" t="str">
        <f t="shared" si="397"/>
        <v>实用新型</v>
      </c>
      <c r="D820" s="1" t="str">
        <f t="shared" si="394"/>
        <v>授权</v>
      </c>
      <c r="E820" s="1" t="str">
        <f>"CN202320064119.X"</f>
        <v>CN202320064119.X</v>
      </c>
      <c r="F820" s="1" t="str">
        <f>"2023-01-09"</f>
        <v>2023-01-09</v>
      </c>
      <c r="G820" s="1" t="str">
        <f>"CN219507142U"</f>
        <v>CN219507142U</v>
      </c>
      <c r="H820" s="1" t="str">
        <f t="shared" si="400"/>
        <v>2023-08-11</v>
      </c>
      <c r="I820" s="1" t="str">
        <f>"胡亮辉"</f>
        <v>胡亮辉</v>
      </c>
      <c r="J820" s="1" t="str">
        <f t="shared" si="392"/>
        <v>天津普天单向器有限公司</v>
      </c>
    </row>
    <row r="821" spans="1:10">
      <c r="A821" s="1" t="str">
        <f t="shared" si="391"/>
        <v>天津普天单向器有限公司</v>
      </c>
      <c r="B821" s="1" t="str">
        <f>"一种汽车齿轮内孔锥度快速检测装置"</f>
        <v>一种汽车齿轮内孔锥度快速检测装置</v>
      </c>
      <c r="C821" s="1" t="str">
        <f t="shared" si="397"/>
        <v>实用新型</v>
      </c>
      <c r="D821" s="1" t="str">
        <f t="shared" si="394"/>
        <v>授权</v>
      </c>
      <c r="E821" s="1" t="str">
        <f>"CN202320276892.2"</f>
        <v>CN202320276892.2</v>
      </c>
      <c r="F821" s="1" t="str">
        <f>"2023-02-22"</f>
        <v>2023-02-22</v>
      </c>
      <c r="G821" s="1" t="str">
        <f>"CN219511446U"</f>
        <v>CN219511446U</v>
      </c>
      <c r="H821" s="1" t="str">
        <f t="shared" si="400"/>
        <v>2023-08-11</v>
      </c>
      <c r="I821" s="1" t="str">
        <f>"乔金长"</f>
        <v>乔金长</v>
      </c>
      <c r="J821" s="1" t="str">
        <f t="shared" si="392"/>
        <v>天津普天单向器有限公司</v>
      </c>
    </row>
    <row r="822" spans="1:10">
      <c r="A822" s="1" t="str">
        <f t="shared" si="391"/>
        <v>天津普天单向器有限公司</v>
      </c>
      <c r="B822" s="1" t="str">
        <f>"一种杆销冲孔对称度检测装置"</f>
        <v>一种杆销冲孔对称度检测装置</v>
      </c>
      <c r="C822" s="1" t="str">
        <f t="shared" si="397"/>
        <v>实用新型</v>
      </c>
      <c r="D822" s="1" t="str">
        <f t="shared" si="394"/>
        <v>授权</v>
      </c>
      <c r="E822" s="1" t="str">
        <f>"CN202320060628.5"</f>
        <v>CN202320060628.5</v>
      </c>
      <c r="F822" s="1" t="str">
        <f>"2023-01-10"</f>
        <v>2023-01-10</v>
      </c>
      <c r="G822" s="1" t="str">
        <f>"CN219511451U"</f>
        <v>CN219511451U</v>
      </c>
      <c r="H822" s="1" t="str">
        <f t="shared" si="400"/>
        <v>2023-08-11</v>
      </c>
      <c r="I822" s="1" t="str">
        <f t="shared" si="401"/>
        <v>赵勇</v>
      </c>
      <c r="J822" s="1" t="str">
        <f t="shared" si="392"/>
        <v>天津普天单向器有限公司</v>
      </c>
    </row>
    <row r="823" spans="1:10">
      <c r="A823" s="1" t="str">
        <f t="shared" si="391"/>
        <v>天津普天单向器有限公司</v>
      </c>
      <c r="B823" s="1" t="str">
        <f>"一种多功能通用型传动轴检测装置"</f>
        <v>一种多功能通用型传动轴检测装置</v>
      </c>
      <c r="C823" s="1" t="str">
        <f>"发明授权"</f>
        <v>发明授权</v>
      </c>
      <c r="D823" s="1" t="str">
        <f t="shared" si="394"/>
        <v>授权</v>
      </c>
      <c r="E823" s="1" t="str">
        <f>"CN201710300179.6"</f>
        <v>CN201710300179.6</v>
      </c>
      <c r="F823" s="1" t="str">
        <f>"2017-05-02"</f>
        <v>2017-05-02</v>
      </c>
      <c r="G823" s="1" t="str">
        <f>"CN107014340B"</f>
        <v>CN107014340B</v>
      </c>
      <c r="H823" s="1" t="str">
        <f t="shared" si="400"/>
        <v>2023-08-11</v>
      </c>
      <c r="I823" s="1" t="str">
        <f>"黄世清"</f>
        <v>黄世清</v>
      </c>
      <c r="J823" s="1" t="str">
        <f t="shared" si="392"/>
        <v>天津普天单向器有限公司</v>
      </c>
    </row>
    <row r="824" spans="1:10">
      <c r="A824" s="1" t="str">
        <f t="shared" si="391"/>
        <v>天津普天单向器有限公司</v>
      </c>
      <c r="B824" s="1" t="str">
        <f>"一种杆销压扁厚度计数型检测装置"</f>
        <v>一种杆销压扁厚度计数型检测装置</v>
      </c>
      <c r="C824" s="1" t="str">
        <f t="shared" ref="C824:C829" si="402">"实用新型"</f>
        <v>实用新型</v>
      </c>
      <c r="D824" s="1" t="str">
        <f t="shared" si="394"/>
        <v>授权</v>
      </c>
      <c r="E824" s="1" t="str">
        <f>"CN202320277897.7"</f>
        <v>CN202320277897.7</v>
      </c>
      <c r="F824" s="1" t="str">
        <f>"2023-02-22"</f>
        <v>2023-02-22</v>
      </c>
      <c r="G824" s="1" t="str">
        <f>"CN219319266U"</f>
        <v>CN219319266U</v>
      </c>
      <c r="H824" s="1" t="str">
        <f>"2023-07-07"</f>
        <v>2023-07-07</v>
      </c>
      <c r="I824" s="1" t="str">
        <f t="shared" ref="I824:I829" si="403">"赵勇"</f>
        <v>赵勇</v>
      </c>
      <c r="J824" s="1" t="str">
        <f t="shared" si="392"/>
        <v>天津普天单向器有限公司</v>
      </c>
    </row>
    <row r="825" spans="1:10">
      <c r="A825" s="1" t="str">
        <f t="shared" si="391"/>
        <v>天津普天单向器有限公司</v>
      </c>
      <c r="B825" s="1" t="str">
        <f>"一种孔深度测量装置"</f>
        <v>一种孔深度测量装置</v>
      </c>
      <c r="C825" s="1" t="str">
        <f t="shared" si="402"/>
        <v>实用新型</v>
      </c>
      <c r="D825" s="1" t="str">
        <f t="shared" si="394"/>
        <v>授权</v>
      </c>
      <c r="E825" s="1" t="str">
        <f>"CN202320053418.3"</f>
        <v>CN202320053418.3</v>
      </c>
      <c r="F825" s="1" t="str">
        <f>"2023-01-09"</f>
        <v>2023-01-09</v>
      </c>
      <c r="G825" s="1" t="str">
        <f>"CN219265196U"</f>
        <v>CN219265196U</v>
      </c>
      <c r="H825" s="1" t="str">
        <f>"2023-06-27"</f>
        <v>2023-06-27</v>
      </c>
      <c r="I825" s="1" t="str">
        <f t="shared" si="403"/>
        <v>赵勇</v>
      </c>
      <c r="J825" s="1" t="str">
        <f t="shared" si="392"/>
        <v>天津普天单向器有限公司</v>
      </c>
    </row>
    <row r="826" spans="1:10">
      <c r="A826" s="1" t="str">
        <f t="shared" si="391"/>
        <v>天津普天单向器有限公司</v>
      </c>
      <c r="B826" s="1" t="str">
        <f>"卡规装置"</f>
        <v>卡规装置</v>
      </c>
      <c r="C826" s="1" t="str">
        <f t="shared" si="402"/>
        <v>实用新型</v>
      </c>
      <c r="D826" s="1" t="str">
        <f t="shared" si="394"/>
        <v>授权</v>
      </c>
      <c r="E826" s="1" t="str">
        <f>"CN202320201545.3"</f>
        <v>CN202320201545.3</v>
      </c>
      <c r="F826" s="1" t="str">
        <f>"2023-02-14"</f>
        <v>2023-02-14</v>
      </c>
      <c r="G826" s="1" t="str">
        <f>"CN219265165U"</f>
        <v>CN219265165U</v>
      </c>
      <c r="H826" s="1" t="str">
        <f>"2023-06-27"</f>
        <v>2023-06-27</v>
      </c>
      <c r="I826" s="1" t="str">
        <f>"苗俊发"</f>
        <v>苗俊发</v>
      </c>
      <c r="J826" s="1" t="str">
        <f t="shared" si="392"/>
        <v>天津普天单向器有限公司</v>
      </c>
    </row>
    <row r="827" spans="1:10">
      <c r="A827" s="1" t="str">
        <f t="shared" si="391"/>
        <v>天津普天单向器有限公司</v>
      </c>
      <c r="B827" s="1" t="str">
        <f>"一种同时压制铝件标识槽及去除毛刺的工装模具"</f>
        <v>一种同时压制铝件标识槽及去除毛刺的工装模具</v>
      </c>
      <c r="C827" s="1" t="str">
        <f t="shared" si="402"/>
        <v>实用新型</v>
      </c>
      <c r="D827" s="1" t="str">
        <f t="shared" si="394"/>
        <v>授权</v>
      </c>
      <c r="E827" s="1" t="str">
        <f>"CN202320053406.0"</f>
        <v>CN202320053406.0</v>
      </c>
      <c r="F827" s="1" t="str">
        <f>"2023-01-09"</f>
        <v>2023-01-09</v>
      </c>
      <c r="G827" s="1" t="str">
        <f>"CN219052623U"</f>
        <v>CN219052623U</v>
      </c>
      <c r="H827" s="1" t="str">
        <f>"2023-05-23"</f>
        <v>2023-05-23</v>
      </c>
      <c r="I827" s="1" t="str">
        <f>"傅霖"</f>
        <v>傅霖</v>
      </c>
      <c r="J827" s="1" t="str">
        <f t="shared" si="392"/>
        <v>天津普天单向器有限公司</v>
      </c>
    </row>
    <row r="828" spans="1:10">
      <c r="A828" s="1" t="str">
        <f t="shared" si="391"/>
        <v>天津普天单向器有限公司</v>
      </c>
      <c r="B828" s="1" t="str">
        <f>"重力冲击试验装置"</f>
        <v>重力冲击试验装置</v>
      </c>
      <c r="C828" s="1" t="str">
        <f t="shared" si="402"/>
        <v>实用新型</v>
      </c>
      <c r="D828" s="1" t="str">
        <f t="shared" si="394"/>
        <v>授权</v>
      </c>
      <c r="E828" s="1" t="str">
        <f>"CN202222211159.0"</f>
        <v>CN202222211159.0</v>
      </c>
      <c r="F828" s="1" t="str">
        <f>"2022-08-19"</f>
        <v>2022-08-19</v>
      </c>
      <c r="G828" s="1" t="str">
        <f>"CN218470133U"</f>
        <v>CN218470133U</v>
      </c>
      <c r="H828" s="1" t="str">
        <f>"2023-02-10"</f>
        <v>2023-02-10</v>
      </c>
      <c r="I828" s="1" t="str">
        <f t="shared" si="403"/>
        <v>赵勇</v>
      </c>
      <c r="J828" s="1" t="str">
        <f t="shared" si="392"/>
        <v>天津普天单向器有限公司</v>
      </c>
    </row>
    <row r="829" spans="1:10">
      <c r="A829" s="1" t="str">
        <f t="shared" si="391"/>
        <v>天津普天单向器有限公司</v>
      </c>
      <c r="B829" s="1" t="str">
        <f>"测量装置"</f>
        <v>测量装置</v>
      </c>
      <c r="C829" s="1" t="str">
        <f t="shared" si="402"/>
        <v>实用新型</v>
      </c>
      <c r="D829" s="1" t="str">
        <f t="shared" si="394"/>
        <v>授权</v>
      </c>
      <c r="E829" s="1" t="str">
        <f>"CN202222508331.9"</f>
        <v>CN202222508331.9</v>
      </c>
      <c r="F829" s="1" t="str">
        <f>"2022-09-21"</f>
        <v>2022-09-21</v>
      </c>
      <c r="G829" s="1" t="str">
        <f>"CN218211267U"</f>
        <v>CN218211267U</v>
      </c>
      <c r="H829" s="1" t="str">
        <f>"2023-01-03"</f>
        <v>2023-01-03</v>
      </c>
      <c r="I829" s="1" t="str">
        <f t="shared" si="403"/>
        <v>赵勇</v>
      </c>
      <c r="J829" s="1" t="str">
        <f t="shared" si="392"/>
        <v>天津普天单向器有限公司</v>
      </c>
    </row>
    <row r="830" spans="1:10">
      <c r="A830" s="1" t="str">
        <f t="shared" si="391"/>
        <v>天津普天单向器有限公司</v>
      </c>
      <c r="B830" s="1" t="str">
        <f>"一种行星轮轴定位用压装装置"</f>
        <v>一种行星轮轴定位用压装装置</v>
      </c>
      <c r="C830" s="1" t="str">
        <f>"发明授权"</f>
        <v>发明授权</v>
      </c>
      <c r="D830" s="1" t="str">
        <f t="shared" si="394"/>
        <v>授权</v>
      </c>
      <c r="E830" s="1" t="str">
        <f>"CN201710300342.9"</f>
        <v>CN201710300342.9</v>
      </c>
      <c r="F830" s="1" t="str">
        <f>"2017-05-02"</f>
        <v>2017-05-02</v>
      </c>
      <c r="G830" s="1" t="str">
        <f>"CN106956118B"</f>
        <v>CN106956118B</v>
      </c>
      <c r="H830" s="1" t="str">
        <f>"2023-01-03"</f>
        <v>2023-01-03</v>
      </c>
      <c r="I830" s="1" t="str">
        <f>"黄世清"</f>
        <v>黄世清</v>
      </c>
      <c r="J830" s="1" t="str">
        <f t="shared" si="392"/>
        <v>天津普天单向器有限公司</v>
      </c>
    </row>
    <row r="831" spans="1:10">
      <c r="A831" s="1" t="str">
        <f t="shared" si="391"/>
        <v>天津普天单向器有限公司</v>
      </c>
      <c r="B831" s="1" t="str">
        <f>"压挡板工装"</f>
        <v>压挡板工装</v>
      </c>
      <c r="C831" s="1" t="str">
        <f t="shared" ref="C831:C845" si="404">"实用新型"</f>
        <v>实用新型</v>
      </c>
      <c r="D831" s="1" t="str">
        <f t="shared" si="394"/>
        <v>授权</v>
      </c>
      <c r="E831" s="1" t="str">
        <f>"CN202222198938.1"</f>
        <v>CN202222198938.1</v>
      </c>
      <c r="F831" s="1" t="str">
        <f>"2022-08-19"</f>
        <v>2022-08-19</v>
      </c>
      <c r="G831" s="1" t="str">
        <f>"CN217991574U"</f>
        <v>CN217991574U</v>
      </c>
      <c r="H831" s="1" t="str">
        <f>"2022-12-09"</f>
        <v>2022-12-09</v>
      </c>
      <c r="I831" s="1" t="str">
        <f>"傅霖"</f>
        <v>傅霖</v>
      </c>
      <c r="J831" s="1" t="str">
        <f t="shared" si="392"/>
        <v>天津普天单向器有限公司</v>
      </c>
    </row>
    <row r="832" spans="1:10">
      <c r="A832" s="1" t="str">
        <f t="shared" si="391"/>
        <v>天津普天单向器有限公司</v>
      </c>
      <c r="B832" s="1" t="str">
        <f>"对偏心圆孔辅助测量工装"</f>
        <v>对偏心圆孔辅助测量工装</v>
      </c>
      <c r="C832" s="1" t="str">
        <f t="shared" si="404"/>
        <v>实用新型</v>
      </c>
      <c r="D832" s="1" t="str">
        <f t="shared" si="394"/>
        <v>授权</v>
      </c>
      <c r="E832" s="1" t="str">
        <f>"CN202222297604.X"</f>
        <v>CN202222297604.X</v>
      </c>
      <c r="F832" s="1" t="str">
        <f>"2022-08-31"</f>
        <v>2022-08-31</v>
      </c>
      <c r="G832" s="1" t="str">
        <f>"CN218002512U"</f>
        <v>CN218002512U</v>
      </c>
      <c r="H832" s="1" t="str">
        <f>"2022-12-09"</f>
        <v>2022-12-09</v>
      </c>
      <c r="I832" s="1" t="str">
        <f>"赵勇"</f>
        <v>赵勇</v>
      </c>
      <c r="J832" s="1" t="str">
        <f t="shared" si="392"/>
        <v>天津普天单向器有限公司</v>
      </c>
    </row>
    <row r="833" spans="1:10">
      <c r="A833" s="1" t="str">
        <f t="shared" si="391"/>
        <v>天津普天单向器有限公司</v>
      </c>
      <c r="B833" s="1" t="str">
        <f>"测量多尺寸检具"</f>
        <v>测量多尺寸检具</v>
      </c>
      <c r="C833" s="1" t="str">
        <f t="shared" si="404"/>
        <v>实用新型</v>
      </c>
      <c r="D833" s="1" t="str">
        <f t="shared" si="394"/>
        <v>授权</v>
      </c>
      <c r="E833" s="1" t="str">
        <f>"CN202220064248.4"</f>
        <v>CN202220064248.4</v>
      </c>
      <c r="F833" s="1" t="str">
        <f>"2022-01-11"</f>
        <v>2022-01-11</v>
      </c>
      <c r="G833" s="1" t="str">
        <f>"CN216645139U"</f>
        <v>CN216645139U</v>
      </c>
      <c r="H833" s="1" t="str">
        <f t="shared" ref="H833:H835" si="405">"2022-05-31"</f>
        <v>2022-05-31</v>
      </c>
      <c r="I833" s="1" t="str">
        <f>"苗攀"</f>
        <v>苗攀</v>
      </c>
      <c r="J833" s="1" t="str">
        <f t="shared" si="392"/>
        <v>天津普天单向器有限公司</v>
      </c>
    </row>
    <row r="834" spans="1:10">
      <c r="A834" s="1" t="str">
        <f t="shared" si="391"/>
        <v>天津普天单向器有限公司</v>
      </c>
      <c r="B834" s="1" t="str">
        <f>"一种电子定性检测装置"</f>
        <v>一种电子定性检测装置</v>
      </c>
      <c r="C834" s="1" t="str">
        <f t="shared" si="404"/>
        <v>实用新型</v>
      </c>
      <c r="D834" s="1" t="str">
        <f t="shared" si="394"/>
        <v>授权</v>
      </c>
      <c r="E834" s="1" t="str">
        <f>"CN202220034347.8"</f>
        <v>CN202220034347.8</v>
      </c>
      <c r="F834" s="1" t="str">
        <f>"2022-01-05"</f>
        <v>2022-01-05</v>
      </c>
      <c r="G834" s="1" t="str">
        <f>"CN216646838U"</f>
        <v>CN216646838U</v>
      </c>
      <c r="H834" s="1" t="str">
        <f t="shared" si="405"/>
        <v>2022-05-31</v>
      </c>
      <c r="I834" s="1" t="str">
        <f>"赵文叶"</f>
        <v>赵文叶</v>
      </c>
      <c r="J834" s="1" t="str">
        <f t="shared" si="392"/>
        <v>天津普天单向器有限公司</v>
      </c>
    </row>
    <row r="835" spans="1:10">
      <c r="A835" s="1" t="str">
        <f t="shared" si="391"/>
        <v>天津普天单向器有限公司</v>
      </c>
      <c r="B835" s="1" t="str">
        <f>"强气流干燥装置"</f>
        <v>强气流干燥装置</v>
      </c>
      <c r="C835" s="1" t="str">
        <f t="shared" si="404"/>
        <v>实用新型</v>
      </c>
      <c r="D835" s="1" t="str">
        <f t="shared" si="394"/>
        <v>授权</v>
      </c>
      <c r="E835" s="1" t="str">
        <f>"CN202220064247.X"</f>
        <v>CN202220064247.X</v>
      </c>
      <c r="F835" s="1" t="str">
        <f>"2022-01-11"</f>
        <v>2022-01-11</v>
      </c>
      <c r="G835" s="1" t="str">
        <f>"CN216644889U"</f>
        <v>CN216644889U</v>
      </c>
      <c r="H835" s="1" t="str">
        <f t="shared" si="405"/>
        <v>2022-05-31</v>
      </c>
      <c r="I835" s="1" t="str">
        <f>"刘士旺"</f>
        <v>刘士旺</v>
      </c>
      <c r="J835" s="1" t="str">
        <f t="shared" si="392"/>
        <v>天津普天单向器有限公司</v>
      </c>
    </row>
    <row r="836" spans="1:10">
      <c r="A836" s="1" t="str">
        <f t="shared" si="391"/>
        <v>天津普天单向器有限公司</v>
      </c>
      <c r="B836" s="1" t="str">
        <f>"一种多组件自动输料与组合机构"</f>
        <v>一种多组件自动输料与组合机构</v>
      </c>
      <c r="C836" s="1" t="str">
        <f t="shared" si="404"/>
        <v>实用新型</v>
      </c>
      <c r="D836" s="1" t="str">
        <f t="shared" si="394"/>
        <v>授权</v>
      </c>
      <c r="E836" s="1" t="str">
        <f>"CN202220052970.6"</f>
        <v>CN202220052970.6</v>
      </c>
      <c r="F836" s="1" t="str">
        <f>"2022-01-05"</f>
        <v>2022-01-05</v>
      </c>
      <c r="G836" s="1" t="str">
        <f>"CN216612652U"</f>
        <v>CN216612652U</v>
      </c>
      <c r="H836" s="1" t="str">
        <f>"2022-05-27"</f>
        <v>2022-05-27</v>
      </c>
      <c r="I836" s="1" t="str">
        <f>"刘士旺"</f>
        <v>刘士旺</v>
      </c>
      <c r="J836" s="1" t="str">
        <f t="shared" si="392"/>
        <v>天津普天单向器有限公司</v>
      </c>
    </row>
    <row r="837" spans="1:10">
      <c r="A837" s="1" t="str">
        <f t="shared" si="391"/>
        <v>天津普天单向器有限公司</v>
      </c>
      <c r="B837" s="1" t="str">
        <f>"一种单向器滚珠弹簧装配机的装配机构"</f>
        <v>一种单向器滚珠弹簧装配机的装配机构</v>
      </c>
      <c r="C837" s="1" t="str">
        <f t="shared" si="404"/>
        <v>实用新型</v>
      </c>
      <c r="D837" s="1" t="str">
        <f t="shared" si="394"/>
        <v>授权</v>
      </c>
      <c r="E837" s="1" t="str">
        <f>"CN202120084065.4"</f>
        <v>CN202120084065.4</v>
      </c>
      <c r="F837" s="1" t="str">
        <f>"2021-01-13"</f>
        <v>2021-01-13</v>
      </c>
      <c r="G837" s="1" t="str">
        <f>"CN214212861U"</f>
        <v>CN214212861U</v>
      </c>
      <c r="H837" s="1" t="str">
        <f t="shared" ref="H837:H839" si="406">"2021-09-17"</f>
        <v>2021-09-17</v>
      </c>
      <c r="I837" s="1" t="str">
        <f>"黄世清"</f>
        <v>黄世清</v>
      </c>
      <c r="J837" s="1" t="str">
        <f t="shared" si="392"/>
        <v>天津普天单向器有限公司</v>
      </c>
    </row>
    <row r="838" spans="1:10">
      <c r="A838" s="1" t="str">
        <f t="shared" si="391"/>
        <v>天津普天单向器有限公司</v>
      </c>
      <c r="B838" s="1" t="str">
        <f>"一种基于视觉检测的单向器滚珠弹簧装配设备"</f>
        <v>一种基于视觉检测的单向器滚珠弹簧装配设备</v>
      </c>
      <c r="C838" s="1" t="str">
        <f t="shared" si="404"/>
        <v>实用新型</v>
      </c>
      <c r="D838" s="1" t="str">
        <f t="shared" si="394"/>
        <v>授权</v>
      </c>
      <c r="E838" s="1" t="str">
        <f>"CN202120084091.7"</f>
        <v>CN202120084091.7</v>
      </c>
      <c r="F838" s="1" t="str">
        <f>"2021-01-13"</f>
        <v>2021-01-13</v>
      </c>
      <c r="G838" s="1" t="str">
        <f>"CN214213170U"</f>
        <v>CN214213170U</v>
      </c>
      <c r="H838" s="1" t="str">
        <f t="shared" si="406"/>
        <v>2021-09-17</v>
      </c>
      <c r="I838" s="1" t="str">
        <f>"黄世清"</f>
        <v>黄世清</v>
      </c>
      <c r="J838" s="1" t="str">
        <f t="shared" si="392"/>
        <v>天津普天单向器有限公司</v>
      </c>
    </row>
    <row r="839" spans="1:10">
      <c r="A839" s="1" t="str">
        <f t="shared" si="391"/>
        <v>天津普天单向器有限公司</v>
      </c>
      <c r="B839" s="1" t="str">
        <f>"一种快速定位工装"</f>
        <v>一种快速定位工装</v>
      </c>
      <c r="C839" s="1" t="str">
        <f t="shared" si="404"/>
        <v>实用新型</v>
      </c>
      <c r="D839" s="1" t="str">
        <f t="shared" si="394"/>
        <v>授权</v>
      </c>
      <c r="E839" s="1" t="str">
        <f>"CN202120026841.5"</f>
        <v>CN202120026841.5</v>
      </c>
      <c r="F839" s="1" t="str">
        <f>"2021-01-05"</f>
        <v>2021-01-05</v>
      </c>
      <c r="G839" s="1" t="str">
        <f>"CN214213562U"</f>
        <v>CN214213562U</v>
      </c>
      <c r="H839" s="1" t="str">
        <f t="shared" si="406"/>
        <v>2021-09-17</v>
      </c>
      <c r="I839" s="1" t="str">
        <f>"曹卫卫"</f>
        <v>曹卫卫</v>
      </c>
      <c r="J839" s="1" t="str">
        <f t="shared" si="392"/>
        <v>天津普天单向器有限公司</v>
      </c>
    </row>
    <row r="840" spans="1:10">
      <c r="A840" s="1" t="str">
        <f t="shared" si="391"/>
        <v>天津普天单向器有限公司</v>
      </c>
      <c r="B840" s="1" t="str">
        <f>"一种光学投影仪测量辅助装置"</f>
        <v>一种光学投影仪测量辅助装置</v>
      </c>
      <c r="C840" s="1" t="str">
        <f t="shared" si="404"/>
        <v>实用新型</v>
      </c>
      <c r="D840" s="1" t="str">
        <f t="shared" si="394"/>
        <v>授权</v>
      </c>
      <c r="E840" s="1" t="str">
        <f>"CN202120038692.4"</f>
        <v>CN202120038692.4</v>
      </c>
      <c r="F840" s="1" t="str">
        <f t="shared" ref="F840:F843" si="407">"2021-01-07"</f>
        <v>2021-01-07</v>
      </c>
      <c r="G840" s="1" t="str">
        <f>"CN213812174U"</f>
        <v>CN213812174U</v>
      </c>
      <c r="H840" s="1" t="str">
        <f t="shared" ref="H840:H845" si="408">"2021-07-27"</f>
        <v>2021-07-27</v>
      </c>
      <c r="I840" s="1" t="str">
        <f t="shared" ref="I840:I842" si="409">"赵勇"</f>
        <v>赵勇</v>
      </c>
      <c r="J840" s="1" t="str">
        <f t="shared" si="392"/>
        <v>天津普天单向器有限公司</v>
      </c>
    </row>
    <row r="841" spans="1:10">
      <c r="A841" s="1" t="str">
        <f t="shared" si="391"/>
        <v>天津普天单向器有限公司</v>
      </c>
      <c r="B841" s="1" t="str">
        <f>"一种孔内带有钢珠的深度测量装置"</f>
        <v>一种孔内带有钢珠的深度测量装置</v>
      </c>
      <c r="C841" s="1" t="str">
        <f t="shared" si="404"/>
        <v>实用新型</v>
      </c>
      <c r="D841" s="1" t="str">
        <f t="shared" si="394"/>
        <v>授权</v>
      </c>
      <c r="E841" s="1" t="str">
        <f>"CN202120031219.3"</f>
        <v>CN202120031219.3</v>
      </c>
      <c r="F841" s="1" t="str">
        <f t="shared" si="407"/>
        <v>2021-01-07</v>
      </c>
      <c r="G841" s="1" t="str">
        <f>"CN213812090U"</f>
        <v>CN213812090U</v>
      </c>
      <c r="H841" s="1" t="str">
        <f t="shared" si="408"/>
        <v>2021-07-27</v>
      </c>
      <c r="I841" s="1" t="str">
        <f t="shared" si="409"/>
        <v>赵勇</v>
      </c>
      <c r="J841" s="1" t="str">
        <f t="shared" si="392"/>
        <v>天津普天单向器有限公司</v>
      </c>
    </row>
    <row r="842" spans="1:10">
      <c r="A842" s="1" t="str">
        <f t="shared" si="391"/>
        <v>天津普天单向器有限公司</v>
      </c>
      <c r="B842" s="1" t="str">
        <f>"一种轴卡槽轴向长度测量装置"</f>
        <v>一种轴卡槽轴向长度测量装置</v>
      </c>
      <c r="C842" s="1" t="str">
        <f t="shared" si="404"/>
        <v>实用新型</v>
      </c>
      <c r="D842" s="1" t="str">
        <f t="shared" si="394"/>
        <v>授权</v>
      </c>
      <c r="E842" s="1" t="str">
        <f>"CN202120053125.6"</f>
        <v>CN202120053125.6</v>
      </c>
      <c r="F842" s="1" t="str">
        <f t="shared" ref="F842:F847" si="410">"2021-01-08"</f>
        <v>2021-01-08</v>
      </c>
      <c r="G842" s="1" t="str">
        <f>"CN213812054U"</f>
        <v>CN213812054U</v>
      </c>
      <c r="H842" s="1" t="str">
        <f t="shared" si="408"/>
        <v>2021-07-27</v>
      </c>
      <c r="I842" s="1" t="str">
        <f t="shared" si="409"/>
        <v>赵勇</v>
      </c>
      <c r="J842" s="1" t="str">
        <f t="shared" si="392"/>
        <v>天津普天单向器有限公司</v>
      </c>
    </row>
    <row r="843" spans="1:10">
      <c r="A843" s="1" t="str">
        <f t="shared" si="391"/>
        <v>天津普天单向器有限公司</v>
      </c>
      <c r="B843" s="1" t="str">
        <f>"一种同轴度检测工装"</f>
        <v>一种同轴度检测工装</v>
      </c>
      <c r="C843" s="1" t="str">
        <f t="shared" si="404"/>
        <v>实用新型</v>
      </c>
      <c r="D843" s="1" t="str">
        <f t="shared" si="394"/>
        <v>授权</v>
      </c>
      <c r="E843" s="1" t="str">
        <f>"CN202120031247.5"</f>
        <v>CN202120031247.5</v>
      </c>
      <c r="F843" s="1" t="str">
        <f t="shared" si="407"/>
        <v>2021-01-07</v>
      </c>
      <c r="G843" s="1" t="str">
        <f>"CN213812111U"</f>
        <v>CN213812111U</v>
      </c>
      <c r="H843" s="1" t="str">
        <f t="shared" si="408"/>
        <v>2021-07-27</v>
      </c>
      <c r="I843" s="1" t="str">
        <f>"曹卫卫"</f>
        <v>曹卫卫</v>
      </c>
      <c r="J843" s="1" t="str">
        <f t="shared" si="392"/>
        <v>天津普天单向器有限公司</v>
      </c>
    </row>
    <row r="844" spans="1:10">
      <c r="A844" s="1" t="str">
        <f t="shared" si="391"/>
        <v>天津普天单向器有限公司</v>
      </c>
      <c r="B844" s="1" t="str">
        <f>"一种定性与定量检测单向器的自动装置"</f>
        <v>一种定性与定量检测单向器的自动装置</v>
      </c>
      <c r="C844" s="1" t="str">
        <f t="shared" si="404"/>
        <v>实用新型</v>
      </c>
      <c r="D844" s="1" t="str">
        <f t="shared" si="394"/>
        <v>授权</v>
      </c>
      <c r="E844" s="1" t="str">
        <f>"CN202120040655.7"</f>
        <v>CN202120040655.7</v>
      </c>
      <c r="F844" s="1" t="str">
        <f t="shared" si="410"/>
        <v>2021-01-08</v>
      </c>
      <c r="G844" s="1" t="str">
        <f>"CN213812853U"</f>
        <v>CN213812853U</v>
      </c>
      <c r="H844" s="1" t="str">
        <f t="shared" si="408"/>
        <v>2021-07-27</v>
      </c>
      <c r="I844" s="1" t="str">
        <f>"黄世清"</f>
        <v>黄世清</v>
      </c>
      <c r="J844" s="1" t="str">
        <f t="shared" si="392"/>
        <v>天津普天单向器有限公司</v>
      </c>
    </row>
    <row r="845" spans="1:10">
      <c r="A845" s="1" t="str">
        <f t="shared" si="391"/>
        <v>天津普天单向器有限公司</v>
      </c>
      <c r="B845" s="1" t="str">
        <f>"一种圆球体中心与任意截面间距的检测装置"</f>
        <v>一种圆球体中心与任意截面间距的检测装置</v>
      </c>
      <c r="C845" s="1" t="str">
        <f t="shared" si="404"/>
        <v>实用新型</v>
      </c>
      <c r="D845" s="1" t="str">
        <f t="shared" si="394"/>
        <v>授权</v>
      </c>
      <c r="E845" s="1" t="str">
        <f>"CN202120111290.2"</f>
        <v>CN202120111290.2</v>
      </c>
      <c r="F845" s="1" t="str">
        <f>"2021-01-15"</f>
        <v>2021-01-15</v>
      </c>
      <c r="G845" s="1" t="str">
        <f>"CN213812079U"</f>
        <v>CN213812079U</v>
      </c>
      <c r="H845" s="1" t="str">
        <f t="shared" si="408"/>
        <v>2021-07-27</v>
      </c>
      <c r="I845" s="1" t="str">
        <f>"刘士旺"</f>
        <v>刘士旺</v>
      </c>
      <c r="J845" s="1" t="str">
        <f t="shared" si="392"/>
        <v>天津普天单向器有限公司</v>
      </c>
    </row>
    <row r="846" spans="1:10">
      <c r="A846" s="1" t="str">
        <f t="shared" si="391"/>
        <v>天津普天单向器有限公司</v>
      </c>
      <c r="B846" s="1" t="str">
        <f>"一种棱圆度的测量方法"</f>
        <v>一种棱圆度的测量方法</v>
      </c>
      <c r="C846" s="1" t="str">
        <f>"发明公布"</f>
        <v>发明公布</v>
      </c>
      <c r="D846" s="1" t="str">
        <f>"公布撤回"</f>
        <v>公布撤回</v>
      </c>
      <c r="E846" s="1" t="str">
        <f>"CN202110015429.8"</f>
        <v>CN202110015429.8</v>
      </c>
      <c r="F846" s="1" t="str">
        <f>"2021-01-05"</f>
        <v>2021-01-05</v>
      </c>
      <c r="G846" s="1" t="str">
        <f>"CN112815905A"</f>
        <v>CN112815905A</v>
      </c>
      <c r="H846" s="1" t="str">
        <f>"2021-05-18"</f>
        <v>2021-05-18</v>
      </c>
      <c r="I846" s="1" t="str">
        <f>"刘士旺"</f>
        <v>刘士旺</v>
      </c>
      <c r="J846" s="1" t="str">
        <f t="shared" si="392"/>
        <v>天津普天单向器有限公司</v>
      </c>
    </row>
    <row r="847" spans="1:10">
      <c r="A847" s="1" t="str">
        <f t="shared" si="391"/>
        <v>天津普天单向器有限公司</v>
      </c>
      <c r="B847" s="1" t="str">
        <f>"一种定性与定量检测单向器的自动装置及方法"</f>
        <v>一种定性与定量检测单向器的自动装置及方法</v>
      </c>
      <c r="C847" s="1" t="str">
        <f>"发明公布"</f>
        <v>发明公布</v>
      </c>
      <c r="D847" s="1" t="str">
        <f>"实质审查"</f>
        <v>实质审查</v>
      </c>
      <c r="E847" s="1" t="str">
        <f>"CN202110035439.8"</f>
        <v>CN202110035439.8</v>
      </c>
      <c r="F847" s="1" t="str">
        <f t="shared" si="410"/>
        <v>2021-01-08</v>
      </c>
      <c r="G847" s="1" t="str">
        <f>"CN112781854A"</f>
        <v>CN112781854A</v>
      </c>
      <c r="H847" s="1" t="str">
        <f>"2021-05-11"</f>
        <v>2021-05-11</v>
      </c>
      <c r="I847" s="1" t="str">
        <f>"黄世清"</f>
        <v>黄世清</v>
      </c>
      <c r="J847" s="1" t="str">
        <f t="shared" si="392"/>
        <v>天津普天单向器有限公司</v>
      </c>
    </row>
    <row r="848" spans="1:10">
      <c r="A848" s="1" t="str">
        <f t="shared" si="391"/>
        <v>天津普天单向器有限公司</v>
      </c>
      <c r="B848" s="1" t="str">
        <f>"一种滚珠进料装置"</f>
        <v>一种滚珠进料装置</v>
      </c>
      <c r="C848" s="1" t="str">
        <f t="shared" ref="C848:C852" si="411">"实用新型"</f>
        <v>实用新型</v>
      </c>
      <c r="D848" s="1" t="str">
        <f t="shared" ref="D848:D852" si="412">"授权"</f>
        <v>授权</v>
      </c>
      <c r="E848" s="1" t="str">
        <f>"CN202020989913.1"</f>
        <v>CN202020989913.1</v>
      </c>
      <c r="F848" s="1" t="str">
        <f>"2020-06-01"</f>
        <v>2020-06-01</v>
      </c>
      <c r="G848" s="1" t="str">
        <f>"CN212374243U"</f>
        <v>CN212374243U</v>
      </c>
      <c r="H848" s="1" t="str">
        <f>"2021-01-19"</f>
        <v>2021-01-19</v>
      </c>
      <c r="I848" s="1" t="str">
        <f t="shared" ref="I848:I853" si="413">"曹卫卫"</f>
        <v>曹卫卫</v>
      </c>
      <c r="J848" s="1" t="str">
        <f t="shared" si="392"/>
        <v>天津普天单向器有限公司</v>
      </c>
    </row>
    <row r="849" spans="1:10">
      <c r="A849" s="1" t="str">
        <f t="shared" si="391"/>
        <v>天津普天单向器有限公司</v>
      </c>
      <c r="B849" s="1" t="str">
        <f>"一种传动轴三销装配工装"</f>
        <v>一种传动轴三销装配工装</v>
      </c>
      <c r="C849" s="1" t="str">
        <f t="shared" si="411"/>
        <v>实用新型</v>
      </c>
      <c r="D849" s="1" t="str">
        <f t="shared" si="412"/>
        <v>授权</v>
      </c>
      <c r="E849" s="1" t="str">
        <f>"CN202020073092.7"</f>
        <v>CN202020073092.7</v>
      </c>
      <c r="F849" s="1" t="str">
        <f>"2020-01-14"</f>
        <v>2020-01-14</v>
      </c>
      <c r="G849" s="1" t="str">
        <f>"CN211638046U"</f>
        <v>CN211638046U</v>
      </c>
      <c r="H849" s="1" t="str">
        <f>"2020-10-09"</f>
        <v>2020-10-09</v>
      </c>
      <c r="I849" s="1" t="str">
        <f>"傅霖"</f>
        <v>傅霖</v>
      </c>
      <c r="J849" s="1" t="str">
        <f t="shared" si="392"/>
        <v>天津普天单向器有限公司</v>
      </c>
    </row>
    <row r="850" spans="1:10">
      <c r="A850" s="1" t="str">
        <f t="shared" si="391"/>
        <v>天津普天单向器有限公司</v>
      </c>
      <c r="B850" s="1" t="str">
        <f>"一种塑胶件粘合装置"</f>
        <v>一种塑胶件粘合装置</v>
      </c>
      <c r="C850" s="1" t="str">
        <f t="shared" si="411"/>
        <v>实用新型</v>
      </c>
      <c r="D850" s="1" t="str">
        <f t="shared" si="412"/>
        <v>授权</v>
      </c>
      <c r="E850" s="1" t="str">
        <f>"CN202020098476.4"</f>
        <v>CN202020098476.4</v>
      </c>
      <c r="F850" s="1" t="str">
        <f t="shared" ref="F850:F854" si="414">"2020-01-15"</f>
        <v>2020-01-15</v>
      </c>
      <c r="G850" s="1" t="str">
        <f>"CN211641035U"</f>
        <v>CN211641035U</v>
      </c>
      <c r="H850" s="1" t="str">
        <f>"2020-10-09"</f>
        <v>2020-10-09</v>
      </c>
      <c r="I850" s="1" t="str">
        <f t="shared" si="413"/>
        <v>曹卫卫</v>
      </c>
      <c r="J850" s="1" t="str">
        <f t="shared" si="392"/>
        <v>天津普天单向器有限公司</v>
      </c>
    </row>
    <row r="851" spans="1:10">
      <c r="A851" s="1" t="str">
        <f t="shared" si="391"/>
        <v>天津普天单向器有限公司</v>
      </c>
      <c r="B851" s="1" t="str">
        <f>"一种多用途弹簧挡圈装卸工具"</f>
        <v>一种多用途弹簧挡圈装卸工具</v>
      </c>
      <c r="C851" s="1" t="str">
        <f t="shared" si="411"/>
        <v>实用新型</v>
      </c>
      <c r="D851" s="1" t="str">
        <f t="shared" si="412"/>
        <v>授权</v>
      </c>
      <c r="E851" s="1" t="str">
        <f>"CN202020076922.1"</f>
        <v>CN202020076922.1</v>
      </c>
      <c r="F851" s="1" t="str">
        <f>"2020-01-14"</f>
        <v>2020-01-14</v>
      </c>
      <c r="G851" s="1" t="str">
        <f>"CN211541086U"</f>
        <v>CN211541086U</v>
      </c>
      <c r="H851" s="1" t="str">
        <f>"2020-09-22"</f>
        <v>2020-09-22</v>
      </c>
      <c r="I851" s="1" t="str">
        <f t="shared" ref="I851:I854" si="415">"刘士旺"</f>
        <v>刘士旺</v>
      </c>
      <c r="J851" s="1" t="str">
        <f t="shared" si="392"/>
        <v>天津普天单向器有限公司</v>
      </c>
    </row>
    <row r="852" spans="1:10">
      <c r="A852" s="1" t="str">
        <f t="shared" si="391"/>
        <v>天津普天单向器有限公司</v>
      </c>
      <c r="B852" s="1" t="str">
        <f>"一种离合夹紧装置与非停主轴的匹配机构"</f>
        <v>一种离合夹紧装置与非停主轴的匹配机构</v>
      </c>
      <c r="C852" s="1" t="str">
        <f t="shared" si="411"/>
        <v>实用新型</v>
      </c>
      <c r="D852" s="1" t="str">
        <f t="shared" si="412"/>
        <v>授权</v>
      </c>
      <c r="E852" s="1" t="str">
        <f>"CN202020090597.4"</f>
        <v>CN202020090597.4</v>
      </c>
      <c r="F852" s="1" t="str">
        <f t="shared" si="414"/>
        <v>2020-01-15</v>
      </c>
      <c r="G852" s="1" t="str">
        <f>"CN211539505U"</f>
        <v>CN211539505U</v>
      </c>
      <c r="H852" s="1" t="str">
        <f>"2020-09-22"</f>
        <v>2020-09-22</v>
      </c>
      <c r="I852" s="1" t="str">
        <f t="shared" si="415"/>
        <v>刘士旺</v>
      </c>
      <c r="J852" s="1" t="str">
        <f t="shared" si="392"/>
        <v>天津普天单向器有限公司</v>
      </c>
    </row>
    <row r="853" spans="1:10">
      <c r="A853" s="1" t="str">
        <f t="shared" si="391"/>
        <v>天津普天单向器有限公司</v>
      </c>
      <c r="B853" s="1" t="str">
        <f>"一种塑胶件粘合装置"</f>
        <v>一种塑胶件粘合装置</v>
      </c>
      <c r="C853" s="1" t="str">
        <f>"发明公布"</f>
        <v>发明公布</v>
      </c>
      <c r="D853" s="1" t="str">
        <f>"实质审查"</f>
        <v>实质审查</v>
      </c>
      <c r="E853" s="1" t="str">
        <f>"CN202010044177.7"</f>
        <v>CN202010044177.7</v>
      </c>
      <c r="F853" s="1" t="str">
        <f t="shared" si="414"/>
        <v>2020-01-15</v>
      </c>
      <c r="G853" s="1" t="str">
        <f>"CN111136922A"</f>
        <v>CN111136922A</v>
      </c>
      <c r="H853" s="1" t="str">
        <f>"2020-05-12"</f>
        <v>2020-05-12</v>
      </c>
      <c r="I853" s="1" t="str">
        <f t="shared" si="413"/>
        <v>曹卫卫</v>
      </c>
      <c r="J853" s="1" t="str">
        <f t="shared" si="392"/>
        <v>天津普天单向器有限公司</v>
      </c>
    </row>
    <row r="854" spans="1:10">
      <c r="A854" s="1" t="str">
        <f t="shared" si="391"/>
        <v>天津普天单向器有限公司</v>
      </c>
      <c r="B854" s="1" t="str">
        <f>"一种离合夹紧装置与非停主轴的匹配机构及应用方法"</f>
        <v>一种离合夹紧装置与非停主轴的匹配机构及应用方法</v>
      </c>
      <c r="C854" s="1" t="str">
        <f>"发明公布"</f>
        <v>发明公布</v>
      </c>
      <c r="D854" s="1" t="str">
        <f>"实质审查"</f>
        <v>实质审查</v>
      </c>
      <c r="E854" s="1" t="str">
        <f>"CN202010044184.7"</f>
        <v>CN202010044184.7</v>
      </c>
      <c r="F854" s="1" t="str">
        <f t="shared" si="414"/>
        <v>2020-01-15</v>
      </c>
      <c r="G854" s="1" t="str">
        <f>"CN111097932A"</f>
        <v>CN111097932A</v>
      </c>
      <c r="H854" s="1" t="str">
        <f>"2020-05-05"</f>
        <v>2020-05-05</v>
      </c>
      <c r="I854" s="1" t="str">
        <f t="shared" si="415"/>
        <v>刘士旺</v>
      </c>
      <c r="J854" s="1" t="str">
        <f t="shared" si="392"/>
        <v>天津普天单向器有限公司</v>
      </c>
    </row>
    <row r="855" spans="1:10">
      <c r="A855" s="1" t="str">
        <f t="shared" si="391"/>
        <v>天津普天单向器有限公司</v>
      </c>
      <c r="B855" s="1" t="str">
        <f>"一种倒角组合装置控制电路"</f>
        <v>一种倒角组合装置控制电路</v>
      </c>
      <c r="C855" s="1" t="str">
        <f t="shared" ref="C855:C869" si="416">"实用新型"</f>
        <v>实用新型</v>
      </c>
      <c r="D855" s="1" t="str">
        <f>"避重放弃"</f>
        <v>避重放弃</v>
      </c>
      <c r="E855" s="1" t="str">
        <f>"CN201920434436.X"</f>
        <v>CN201920434436.X</v>
      </c>
      <c r="F855" s="1" t="str">
        <f t="shared" ref="F855:F857" si="417">"2019-04-02"</f>
        <v>2019-04-02</v>
      </c>
      <c r="G855" s="1" t="str">
        <f>"CN210080868U"</f>
        <v>CN210080868U</v>
      </c>
      <c r="H855" s="1" t="str">
        <f>"2020-02-18"</f>
        <v>2020-02-18</v>
      </c>
      <c r="I855" s="1" t="str">
        <f>"王斌"</f>
        <v>王斌</v>
      </c>
      <c r="J855" s="1" t="str">
        <f t="shared" si="392"/>
        <v>天津普天单向器有限公司</v>
      </c>
    </row>
    <row r="856" spans="1:10">
      <c r="A856" s="1" t="str">
        <f t="shared" si="391"/>
        <v>天津普天单向器有限公司</v>
      </c>
      <c r="B856" s="1" t="str">
        <f>"一种代替外圆弹簧夹具手段的专用内胀夹具"</f>
        <v>一种代替外圆弹簧夹具手段的专用内胀夹具</v>
      </c>
      <c r="C856" s="1" t="str">
        <f t="shared" si="416"/>
        <v>实用新型</v>
      </c>
      <c r="D856" s="1" t="str">
        <f t="shared" ref="D856:D867" si="418">"未缴年费专利权终止"</f>
        <v>未缴年费专利权终止</v>
      </c>
      <c r="E856" s="1" t="str">
        <f>"CN201920439830.2"</f>
        <v>CN201920439830.2</v>
      </c>
      <c r="F856" s="1" t="str">
        <f t="shared" si="417"/>
        <v>2019-04-02</v>
      </c>
      <c r="G856" s="1" t="str">
        <f>"CN210080757U"</f>
        <v>CN210080757U</v>
      </c>
      <c r="H856" s="1" t="str">
        <f>"2020-02-18"</f>
        <v>2020-02-18</v>
      </c>
      <c r="I856" s="1" t="str">
        <f>"胡亮辉"</f>
        <v>胡亮辉</v>
      </c>
      <c r="J856" s="1" t="str">
        <f t="shared" si="392"/>
        <v>天津普天单向器有限公司</v>
      </c>
    </row>
    <row r="857" spans="1:10">
      <c r="A857" s="1" t="str">
        <f t="shared" si="391"/>
        <v>天津普天单向器有限公司</v>
      </c>
      <c r="B857" s="1" t="str">
        <f>"一种单向器罩盖的装配模具"</f>
        <v>一种单向器罩盖的装配模具</v>
      </c>
      <c r="C857" s="1" t="str">
        <f t="shared" si="416"/>
        <v>实用新型</v>
      </c>
      <c r="D857" s="1" t="str">
        <f t="shared" si="418"/>
        <v>未缴年费专利权终止</v>
      </c>
      <c r="E857" s="1" t="str">
        <f>"CN201920434429.X"</f>
        <v>CN201920434429.X</v>
      </c>
      <c r="F857" s="1" t="str">
        <f t="shared" si="417"/>
        <v>2019-04-02</v>
      </c>
      <c r="G857" s="1" t="str">
        <f>"CN210045879U"</f>
        <v>CN210045879U</v>
      </c>
      <c r="H857" s="1" t="str">
        <f>"2020-02-11"</f>
        <v>2020-02-11</v>
      </c>
      <c r="I857" s="1" t="str">
        <f>"乔金长"</f>
        <v>乔金长</v>
      </c>
      <c r="J857" s="1" t="str">
        <f t="shared" si="392"/>
        <v>天津普天单向器有限公司</v>
      </c>
    </row>
    <row r="858" spans="1:10">
      <c r="A858" s="1" t="str">
        <f t="shared" si="391"/>
        <v>天津普天单向器有限公司</v>
      </c>
      <c r="B858" s="1" t="str">
        <f>"一种输出轴齿部注油工装"</f>
        <v>一种输出轴齿部注油工装</v>
      </c>
      <c r="C858" s="1" t="str">
        <f t="shared" si="416"/>
        <v>实用新型</v>
      </c>
      <c r="D858" s="1" t="str">
        <f t="shared" si="418"/>
        <v>未缴年费专利权终止</v>
      </c>
      <c r="E858" s="1" t="str">
        <f>"CN201920360249.1"</f>
        <v>CN201920360249.1</v>
      </c>
      <c r="F858" s="1" t="str">
        <f t="shared" ref="F858:F860" si="419">"2019-03-21"</f>
        <v>2019-03-21</v>
      </c>
      <c r="G858" s="1" t="str">
        <f>"CN209815660U"</f>
        <v>CN209815660U</v>
      </c>
      <c r="H858" s="1" t="str">
        <f>"2019-12-20"</f>
        <v>2019-12-20</v>
      </c>
      <c r="I858" s="1" t="str">
        <f>"于子斌"</f>
        <v>于子斌</v>
      </c>
      <c r="J858" s="1" t="str">
        <f t="shared" si="392"/>
        <v>天津普天单向器有限公司</v>
      </c>
    </row>
    <row r="859" spans="1:10">
      <c r="A859" s="1" t="str">
        <f t="shared" si="391"/>
        <v>天津普天单向器有限公司</v>
      </c>
      <c r="B859" s="1" t="str">
        <f>"一种新型三孔冲压模具"</f>
        <v>一种新型三孔冲压模具</v>
      </c>
      <c r="C859" s="1" t="str">
        <f t="shared" si="416"/>
        <v>实用新型</v>
      </c>
      <c r="D859" s="1" t="str">
        <f t="shared" si="418"/>
        <v>未缴年费专利权终止</v>
      </c>
      <c r="E859" s="1" t="str">
        <f>"CN201920360227.5"</f>
        <v>CN201920360227.5</v>
      </c>
      <c r="F859" s="1" t="str">
        <f t="shared" si="419"/>
        <v>2019-03-21</v>
      </c>
      <c r="G859" s="1" t="str">
        <f>"CN209811016U"</f>
        <v>CN209811016U</v>
      </c>
      <c r="H859" s="1" t="str">
        <f>"2019-12-20"</f>
        <v>2019-12-20</v>
      </c>
      <c r="I859" s="1" t="str">
        <f>"傅霖"</f>
        <v>傅霖</v>
      </c>
      <c r="J859" s="1" t="str">
        <f t="shared" si="392"/>
        <v>天津普天单向器有限公司</v>
      </c>
    </row>
    <row r="860" spans="1:10">
      <c r="A860" s="1" t="str">
        <f t="shared" si="391"/>
        <v>天津普天单向器有限公司</v>
      </c>
      <c r="B860" s="1" t="str">
        <f>"一种新型压装卡簧工装"</f>
        <v>一种新型压装卡簧工装</v>
      </c>
      <c r="C860" s="1" t="str">
        <f t="shared" si="416"/>
        <v>实用新型</v>
      </c>
      <c r="D860" s="1" t="str">
        <f t="shared" si="418"/>
        <v>未缴年费专利权终止</v>
      </c>
      <c r="E860" s="1" t="str">
        <f>"CN201920360238.3"</f>
        <v>CN201920360238.3</v>
      </c>
      <c r="F860" s="1" t="str">
        <f t="shared" si="419"/>
        <v>2019-03-21</v>
      </c>
      <c r="G860" s="1" t="str">
        <f>"CN209598644U"</f>
        <v>CN209598644U</v>
      </c>
      <c r="H860" s="1" t="str">
        <f>"2019-11-08"</f>
        <v>2019-11-08</v>
      </c>
      <c r="I860" s="1" t="str">
        <f>"侯庆磊"</f>
        <v>侯庆磊</v>
      </c>
      <c r="J860" s="1" t="str">
        <f t="shared" si="392"/>
        <v>天津普天单向器有限公司</v>
      </c>
    </row>
    <row r="861" spans="1:10">
      <c r="A861" s="1" t="str">
        <f t="shared" si="391"/>
        <v>天津普天单向器有限公司</v>
      </c>
      <c r="B861" s="1" t="str">
        <f>"一种小型多轴器"</f>
        <v>一种小型多轴器</v>
      </c>
      <c r="C861" s="1" t="str">
        <f t="shared" si="416"/>
        <v>实用新型</v>
      </c>
      <c r="D861" s="1" t="str">
        <f t="shared" si="418"/>
        <v>未缴年费专利权终止</v>
      </c>
      <c r="E861" s="1" t="str">
        <f>"CN201920093307.9"</f>
        <v>CN201920093307.9</v>
      </c>
      <c r="F861" s="1" t="str">
        <f t="shared" ref="F861:F864" si="420">"2019-01-21"</f>
        <v>2019-01-21</v>
      </c>
      <c r="G861" s="1" t="str">
        <f>"CN209379961U"</f>
        <v>CN209379961U</v>
      </c>
      <c r="H861" s="1" t="str">
        <f t="shared" ref="H861:H863" si="421">"2019-09-13"</f>
        <v>2019-09-13</v>
      </c>
      <c r="I861" s="1" t="str">
        <f t="shared" ref="I861:I864" si="422">"刘士旺"</f>
        <v>刘士旺</v>
      </c>
      <c r="J861" s="1" t="str">
        <f t="shared" si="392"/>
        <v>天津普天单向器有限公司</v>
      </c>
    </row>
    <row r="862" spans="1:10">
      <c r="A862" s="1" t="str">
        <f t="shared" si="391"/>
        <v>天津普天单向器有限公司</v>
      </c>
      <c r="B862" s="1" t="str">
        <f>"一种新型快速夹紧机构"</f>
        <v>一种新型快速夹紧机构</v>
      </c>
      <c r="C862" s="1" t="str">
        <f t="shared" si="416"/>
        <v>实用新型</v>
      </c>
      <c r="D862" s="1" t="str">
        <f t="shared" si="418"/>
        <v>未缴年费专利权终止</v>
      </c>
      <c r="E862" s="1" t="str">
        <f>"CN201920092921.3"</f>
        <v>CN201920092921.3</v>
      </c>
      <c r="F862" s="1" t="str">
        <f t="shared" si="420"/>
        <v>2019-01-21</v>
      </c>
      <c r="G862" s="1" t="str">
        <f>"CN209380357U"</f>
        <v>CN209380357U</v>
      </c>
      <c r="H862" s="1" t="str">
        <f t="shared" si="421"/>
        <v>2019-09-13</v>
      </c>
      <c r="I862" s="1" t="str">
        <f t="shared" si="422"/>
        <v>刘士旺</v>
      </c>
      <c r="J862" s="1" t="str">
        <f t="shared" si="392"/>
        <v>天津普天单向器有限公司</v>
      </c>
    </row>
    <row r="863" spans="1:10">
      <c r="A863" s="1" t="str">
        <f t="shared" ref="A863:A884" si="423">"天津普天单向器有限公司"</f>
        <v>天津普天单向器有限公司</v>
      </c>
      <c r="B863" s="1" t="str">
        <f>"一种倒角组合装置"</f>
        <v>一种倒角组合装置</v>
      </c>
      <c r="C863" s="1" t="str">
        <f t="shared" si="416"/>
        <v>实用新型</v>
      </c>
      <c r="D863" s="1" t="str">
        <f t="shared" si="418"/>
        <v>未缴年费专利权终止</v>
      </c>
      <c r="E863" s="1" t="str">
        <f>"CN201920093293.0"</f>
        <v>CN201920093293.0</v>
      </c>
      <c r="F863" s="1" t="str">
        <f t="shared" si="420"/>
        <v>2019-01-21</v>
      </c>
      <c r="G863" s="1" t="str">
        <f>"CN209379960U"</f>
        <v>CN209379960U</v>
      </c>
      <c r="H863" s="1" t="str">
        <f t="shared" si="421"/>
        <v>2019-09-13</v>
      </c>
      <c r="I863" s="1" t="str">
        <f t="shared" si="422"/>
        <v>刘士旺</v>
      </c>
      <c r="J863" s="1" t="str">
        <f t="shared" ref="J863:J884" si="424">"天津普天单向器有限公司"</f>
        <v>天津普天单向器有限公司</v>
      </c>
    </row>
    <row r="864" spans="1:10">
      <c r="A864" s="1" t="str">
        <f t="shared" si="423"/>
        <v>天津普天单向器有限公司</v>
      </c>
      <c r="B864" s="1" t="str">
        <f>"一种测量圆锥体截面高度的检具"</f>
        <v>一种测量圆锥体截面高度的检具</v>
      </c>
      <c r="C864" s="1" t="str">
        <f t="shared" si="416"/>
        <v>实用新型</v>
      </c>
      <c r="D864" s="1" t="str">
        <f t="shared" si="418"/>
        <v>未缴年费专利权终止</v>
      </c>
      <c r="E864" s="1" t="str">
        <f>"CN201920092725.6"</f>
        <v>CN201920092725.6</v>
      </c>
      <c r="F864" s="1" t="str">
        <f t="shared" si="420"/>
        <v>2019-01-21</v>
      </c>
      <c r="G864" s="1" t="str">
        <f>"CN209197635U"</f>
        <v>CN209197635U</v>
      </c>
      <c r="H864" s="1" t="str">
        <f>"2019-08-02"</f>
        <v>2019-08-02</v>
      </c>
      <c r="I864" s="1" t="str">
        <f t="shared" si="422"/>
        <v>刘士旺</v>
      </c>
      <c r="J864" s="1" t="str">
        <f t="shared" si="424"/>
        <v>天津普天单向器有限公司</v>
      </c>
    </row>
    <row r="865" spans="1:10">
      <c r="A865" s="1" t="str">
        <f t="shared" si="423"/>
        <v>天津普天单向器有限公司</v>
      </c>
      <c r="B865" s="1" t="str">
        <f>"一种旋转挤压斜齿内齿轮的新型模具"</f>
        <v>一种旋转挤压斜齿内齿轮的新型模具</v>
      </c>
      <c r="C865" s="1" t="str">
        <f t="shared" si="416"/>
        <v>实用新型</v>
      </c>
      <c r="D865" s="1" t="str">
        <f t="shared" si="418"/>
        <v>未缴年费专利权终止</v>
      </c>
      <c r="E865" s="1" t="str">
        <f>"CN201821049564.4"</f>
        <v>CN201821049564.4</v>
      </c>
      <c r="F865" s="1" t="str">
        <f>"2018-07-04"</f>
        <v>2018-07-04</v>
      </c>
      <c r="G865" s="1" t="str">
        <f>"CN208495420U"</f>
        <v>CN208495420U</v>
      </c>
      <c r="H865" s="1" t="str">
        <f>"2019-02-15"</f>
        <v>2019-02-15</v>
      </c>
      <c r="I865" s="1" t="str">
        <f t="shared" ref="I865:I883" si="425">"黄世清"</f>
        <v>黄世清</v>
      </c>
      <c r="J865" s="1" t="str">
        <f t="shared" si="424"/>
        <v>天津普天单向器有限公司</v>
      </c>
    </row>
    <row r="866" spans="1:10">
      <c r="A866" s="1" t="str">
        <f t="shared" si="423"/>
        <v>天津普天单向器有限公司</v>
      </c>
      <c r="B866" s="1" t="str">
        <f>"一种零间隙地机械检测孔位的装置"</f>
        <v>一种零间隙地机械检测孔位的装置</v>
      </c>
      <c r="C866" s="1" t="str">
        <f t="shared" si="416"/>
        <v>实用新型</v>
      </c>
      <c r="D866" s="1" t="str">
        <f t="shared" si="418"/>
        <v>未缴年费专利权终止</v>
      </c>
      <c r="E866" s="1" t="str">
        <f>"CN201821057666.0"</f>
        <v>CN201821057666.0</v>
      </c>
      <c r="F866" s="1" t="str">
        <f>"2018-07-05"</f>
        <v>2018-07-05</v>
      </c>
      <c r="G866" s="1" t="str">
        <f>"CN208476108U"</f>
        <v>CN208476108U</v>
      </c>
      <c r="H866" s="1" t="str">
        <f>"2019-02-05"</f>
        <v>2019-02-05</v>
      </c>
      <c r="I866" s="1" t="str">
        <f t="shared" si="425"/>
        <v>黄世清</v>
      </c>
      <c r="J866" s="1" t="str">
        <f t="shared" si="424"/>
        <v>天津普天单向器有限公司</v>
      </c>
    </row>
    <row r="867" spans="1:10">
      <c r="A867" s="1" t="str">
        <f t="shared" si="423"/>
        <v>天津普天单向器有限公司</v>
      </c>
      <c r="B867" s="1" t="str">
        <f>"一种电机齿轮轴检测专用检验装置"</f>
        <v>一种电机齿轮轴检测专用检验装置</v>
      </c>
      <c r="C867" s="1" t="str">
        <f t="shared" si="416"/>
        <v>实用新型</v>
      </c>
      <c r="D867" s="1" t="str">
        <f t="shared" si="418"/>
        <v>未缴年费专利权终止</v>
      </c>
      <c r="E867" s="1" t="str">
        <f>"CN201821049561.0"</f>
        <v>CN201821049561.0</v>
      </c>
      <c r="F867" s="1" t="str">
        <f>"2018-07-04"</f>
        <v>2018-07-04</v>
      </c>
      <c r="G867" s="1" t="str">
        <f>"CN208383011U"</f>
        <v>CN208383011U</v>
      </c>
      <c r="H867" s="1" t="str">
        <f>"2019-01-15"</f>
        <v>2019-01-15</v>
      </c>
      <c r="I867" s="1" t="str">
        <f t="shared" si="425"/>
        <v>黄世清</v>
      </c>
      <c r="J867" s="1" t="str">
        <f t="shared" si="424"/>
        <v>天津普天单向器有限公司</v>
      </c>
    </row>
    <row r="868" spans="1:10">
      <c r="A868" s="1" t="str">
        <f t="shared" si="423"/>
        <v>天津普天单向器有限公司</v>
      </c>
      <c r="B868" s="1" t="str">
        <f>"一种圆弧位置监测装置"</f>
        <v>一种圆弧位置监测装置</v>
      </c>
      <c r="C868" s="1" t="str">
        <f t="shared" si="416"/>
        <v>实用新型</v>
      </c>
      <c r="D868" s="1" t="str">
        <f>"避重放弃"</f>
        <v>避重放弃</v>
      </c>
      <c r="E868" s="1" t="str">
        <f>"CN201820764665.3"</f>
        <v>CN201820764665.3</v>
      </c>
      <c r="F868" s="1" t="str">
        <f>"2018-05-22"</f>
        <v>2018-05-22</v>
      </c>
      <c r="G868" s="1" t="str">
        <f>"CN208206019U"</f>
        <v>CN208206019U</v>
      </c>
      <c r="H868" s="1" t="str">
        <f>"2018-12-07"</f>
        <v>2018-12-07</v>
      </c>
      <c r="I868" s="1" t="str">
        <f t="shared" si="425"/>
        <v>黄世清</v>
      </c>
      <c r="J868" s="1" t="str">
        <f t="shared" si="424"/>
        <v>天津普天单向器有限公司</v>
      </c>
    </row>
    <row r="869" spans="1:10">
      <c r="A869" s="1" t="str">
        <f t="shared" si="423"/>
        <v>天津普天单向器有限公司</v>
      </c>
      <c r="B869" s="1" t="str">
        <f>"离脱力校验装置"</f>
        <v>离脱力校验装置</v>
      </c>
      <c r="C869" s="1" t="str">
        <f t="shared" si="416"/>
        <v>实用新型</v>
      </c>
      <c r="D869" s="1" t="str">
        <f>"未缴年费专利权终止"</f>
        <v>未缴年费专利权终止</v>
      </c>
      <c r="E869" s="1" t="str">
        <f>"CN201820766183.1"</f>
        <v>CN201820766183.1</v>
      </c>
      <c r="F869" s="1" t="str">
        <f>"2018-05-22"</f>
        <v>2018-05-22</v>
      </c>
      <c r="G869" s="1" t="str">
        <f>"CN208206385U"</f>
        <v>CN208206385U</v>
      </c>
      <c r="H869" s="1" t="str">
        <f>"2018-12-07"</f>
        <v>2018-12-07</v>
      </c>
      <c r="I869" s="1" t="str">
        <f t="shared" si="425"/>
        <v>黄世清</v>
      </c>
      <c r="J869" s="1" t="str">
        <f t="shared" si="424"/>
        <v>天津普天单向器有限公司</v>
      </c>
    </row>
    <row r="870" spans="1:10">
      <c r="A870" s="1" t="str">
        <f t="shared" si="423"/>
        <v>天津普天单向器有限公司</v>
      </c>
      <c r="B870" s="1" t="str">
        <f>"一种传动轴衬套压装与矫正用装置"</f>
        <v>一种传动轴衬套压装与矫正用装置</v>
      </c>
      <c r="C870" s="1" t="str">
        <f>"发明授权"</f>
        <v>发明授权</v>
      </c>
      <c r="D870" s="1" t="str">
        <f t="shared" ref="D870:D873" si="426">"授权"</f>
        <v>授权</v>
      </c>
      <c r="E870" s="1" t="str">
        <f>"CN201710300335.9"</f>
        <v>CN201710300335.9</v>
      </c>
      <c r="F870" s="1" t="str">
        <f t="shared" ref="F870:F875" si="427">"2017-05-02"</f>
        <v>2017-05-02</v>
      </c>
      <c r="G870" s="1" t="str">
        <f>"CN106985115B"</f>
        <v>CN106985115B</v>
      </c>
      <c r="H870" s="1" t="str">
        <f>"2018-10-12"</f>
        <v>2018-10-12</v>
      </c>
      <c r="I870" s="1" t="str">
        <f t="shared" si="425"/>
        <v>黄世清</v>
      </c>
      <c r="J870" s="1" t="str">
        <f t="shared" si="424"/>
        <v>天津普天单向器有限公司</v>
      </c>
    </row>
    <row r="871" spans="1:10">
      <c r="A871" s="1" t="str">
        <f t="shared" si="423"/>
        <v>天津普天单向器有限公司</v>
      </c>
      <c r="B871" s="1" t="str">
        <f>"一种电机齿轮轴检测专用检验装置"</f>
        <v>一种电机齿轮轴检测专用检验装置</v>
      </c>
      <c r="C871" s="1" t="str">
        <f>"发明公布"</f>
        <v>发明公布</v>
      </c>
      <c r="D871" s="1" t="str">
        <f>"公布驳回"</f>
        <v>公布驳回</v>
      </c>
      <c r="E871" s="1" t="str">
        <f>"CN201810721865.5"</f>
        <v>CN201810721865.5</v>
      </c>
      <c r="F871" s="1" t="str">
        <f>"2018-07-04"</f>
        <v>2018-07-04</v>
      </c>
      <c r="G871" s="1" t="str">
        <f>"CN108469212A"</f>
        <v>CN108469212A</v>
      </c>
      <c r="H871" s="1" t="str">
        <f>"2018-08-31"</f>
        <v>2018-08-31</v>
      </c>
      <c r="I871" s="1" t="str">
        <f t="shared" si="425"/>
        <v>黄世清</v>
      </c>
      <c r="J871" s="1" t="str">
        <f t="shared" si="424"/>
        <v>天津普天单向器有限公司</v>
      </c>
    </row>
    <row r="872" spans="1:10">
      <c r="A872" s="1" t="str">
        <f t="shared" si="423"/>
        <v>天津普天单向器有限公司</v>
      </c>
      <c r="B872" s="1" t="str">
        <f>"矩形组合六面体压缩弹簧自动输出装置"</f>
        <v>矩形组合六面体压缩弹簧自动输出装置</v>
      </c>
      <c r="C872" s="1" t="str">
        <f t="shared" ref="C872:C875" si="428">"实用新型"</f>
        <v>实用新型</v>
      </c>
      <c r="D872" s="1" t="str">
        <f t="shared" si="426"/>
        <v>授权</v>
      </c>
      <c r="E872" s="1" t="str">
        <f>"CN201721426971.8"</f>
        <v>CN201721426971.8</v>
      </c>
      <c r="F872" s="1" t="str">
        <f t="shared" ref="F872:F876" si="429">"2017-10-31"</f>
        <v>2017-10-31</v>
      </c>
      <c r="G872" s="1" t="str">
        <f>"CN207631961U"</f>
        <v>CN207631961U</v>
      </c>
      <c r="H872" s="1" t="str">
        <f>"2018-07-20"</f>
        <v>2018-07-20</v>
      </c>
      <c r="I872" s="1" t="str">
        <f t="shared" si="425"/>
        <v>黄世清</v>
      </c>
      <c r="J872" s="1" t="str">
        <f t="shared" si="424"/>
        <v>天津普天单向器有限公司</v>
      </c>
    </row>
    <row r="873" spans="1:10">
      <c r="A873" s="1" t="str">
        <f t="shared" si="423"/>
        <v>天津普天单向器有限公司</v>
      </c>
      <c r="B873" s="1" t="str">
        <f>"一种圆柱形滚柱自动输出装置"</f>
        <v>一种圆柱形滚柱自动输出装置</v>
      </c>
      <c r="C873" s="1" t="str">
        <f t="shared" si="428"/>
        <v>实用新型</v>
      </c>
      <c r="D873" s="1" t="str">
        <f t="shared" si="426"/>
        <v>授权</v>
      </c>
      <c r="E873" s="1" t="str">
        <f>"CN201721423406.6"</f>
        <v>CN201721423406.6</v>
      </c>
      <c r="F873" s="1" t="str">
        <f t="shared" si="429"/>
        <v>2017-10-31</v>
      </c>
      <c r="G873" s="1" t="str">
        <f>"CN207632015U"</f>
        <v>CN207632015U</v>
      </c>
      <c r="H873" s="1" t="str">
        <f>"2018-07-20"</f>
        <v>2018-07-20</v>
      </c>
      <c r="I873" s="1" t="str">
        <f t="shared" si="425"/>
        <v>黄世清</v>
      </c>
      <c r="J873" s="1" t="str">
        <f t="shared" si="424"/>
        <v>天津普天单向器有限公司</v>
      </c>
    </row>
    <row r="874" spans="1:10">
      <c r="A874" s="1" t="str">
        <f t="shared" si="423"/>
        <v>天津普天单向器有限公司</v>
      </c>
      <c r="B874" s="1" t="str">
        <f>"一种行星轮轴定位用压装装置"</f>
        <v>一种行星轮轴定位用压装装置</v>
      </c>
      <c r="C874" s="1" t="str">
        <f t="shared" si="428"/>
        <v>实用新型</v>
      </c>
      <c r="D874" s="1" t="str">
        <f>"未缴年费专利权终止"</f>
        <v>未缴年费专利权终止</v>
      </c>
      <c r="E874" s="1" t="str">
        <f>"CN201720473445.0"</f>
        <v>CN201720473445.0</v>
      </c>
      <c r="F874" s="1" t="str">
        <f t="shared" si="427"/>
        <v>2017-05-02</v>
      </c>
      <c r="G874" s="1" t="str">
        <f>"CN207077162U"</f>
        <v>CN207077162U</v>
      </c>
      <c r="H874" s="1" t="str">
        <f>"2018-03-09"</f>
        <v>2018-03-09</v>
      </c>
      <c r="I874" s="1" t="str">
        <f t="shared" si="425"/>
        <v>黄世清</v>
      </c>
      <c r="J874" s="1" t="str">
        <f t="shared" si="424"/>
        <v>天津普天单向器有限公司</v>
      </c>
    </row>
    <row r="875" spans="1:10">
      <c r="A875" s="1" t="str">
        <f t="shared" si="423"/>
        <v>天津普天单向器有限公司</v>
      </c>
      <c r="B875" s="1" t="str">
        <f>"一种多功能通用型传动轴检测装置"</f>
        <v>一种多功能通用型传动轴检测装置</v>
      </c>
      <c r="C875" s="1" t="str">
        <f t="shared" si="428"/>
        <v>实用新型</v>
      </c>
      <c r="D875" s="1" t="str">
        <f>"避重放弃"</f>
        <v>避重放弃</v>
      </c>
      <c r="E875" s="1" t="str">
        <f>"CN201720473443.1"</f>
        <v>CN201720473443.1</v>
      </c>
      <c r="F875" s="1" t="str">
        <f t="shared" si="427"/>
        <v>2017-05-02</v>
      </c>
      <c r="G875" s="1" t="str">
        <f>"CN207019654U"</f>
        <v>CN207019654U</v>
      </c>
      <c r="H875" s="1" t="str">
        <f>"2018-02-16"</f>
        <v>2018-02-16</v>
      </c>
      <c r="I875" s="1" t="str">
        <f t="shared" si="425"/>
        <v>黄世清</v>
      </c>
      <c r="J875" s="1" t="str">
        <f t="shared" si="424"/>
        <v>天津普天单向器有限公司</v>
      </c>
    </row>
    <row r="876" spans="1:10">
      <c r="A876" s="1" t="str">
        <f t="shared" si="423"/>
        <v>天津普天单向器有限公司</v>
      </c>
      <c r="B876" s="1" t="str">
        <f>"一种压缩弹簧自动输出装置"</f>
        <v>一种压缩弹簧自动输出装置</v>
      </c>
      <c r="C876" s="1" t="str">
        <f>"发明公布"</f>
        <v>发明公布</v>
      </c>
      <c r="D876" s="1" t="str">
        <f>"公布撤回"</f>
        <v>公布撤回</v>
      </c>
      <c r="E876" s="1" t="str">
        <f>"CN201711045275.7"</f>
        <v>CN201711045275.7</v>
      </c>
      <c r="F876" s="1" t="str">
        <f t="shared" si="429"/>
        <v>2017-10-31</v>
      </c>
      <c r="G876" s="1" t="str">
        <f>"CN107673010A"</f>
        <v>CN107673010A</v>
      </c>
      <c r="H876" s="1" t="str">
        <f>"2018-02-09"</f>
        <v>2018-02-09</v>
      </c>
      <c r="I876" s="1" t="str">
        <f t="shared" si="425"/>
        <v>黄世清</v>
      </c>
      <c r="J876" s="1" t="str">
        <f t="shared" si="424"/>
        <v>天津普天单向器有限公司</v>
      </c>
    </row>
    <row r="877" spans="1:10">
      <c r="A877" s="1" t="str">
        <f t="shared" si="423"/>
        <v>天津普天单向器有限公司</v>
      </c>
      <c r="B877" s="1" t="str">
        <f>"一种传动轴衬套压装与矫正用装置"</f>
        <v>一种传动轴衬套压装与矫正用装置</v>
      </c>
      <c r="C877" s="1" t="str">
        <f t="shared" ref="C877:C882" si="430">"实用新型"</f>
        <v>实用新型</v>
      </c>
      <c r="D877" s="1" t="str">
        <f>"避重放弃"</f>
        <v>避重放弃</v>
      </c>
      <c r="E877" s="1" t="str">
        <f>"CN201720473119.X"</f>
        <v>CN201720473119.X</v>
      </c>
      <c r="F877" s="1" t="str">
        <f>"2017-05-02"</f>
        <v>2017-05-02</v>
      </c>
      <c r="G877" s="1" t="str">
        <f>"CN206952890U"</f>
        <v>CN206952890U</v>
      </c>
      <c r="H877" s="1" t="str">
        <f>"2018-02-02"</f>
        <v>2018-02-02</v>
      </c>
      <c r="I877" s="1" t="str">
        <f t="shared" si="425"/>
        <v>黄世清</v>
      </c>
      <c r="J877" s="1" t="str">
        <f t="shared" si="424"/>
        <v>天津普天单向器有限公司</v>
      </c>
    </row>
    <row r="878" spans="1:10">
      <c r="A878" s="1" t="str">
        <f t="shared" si="423"/>
        <v>天津普天单向器有限公司</v>
      </c>
      <c r="B878" s="1" t="str">
        <f>"一种滚柱自动输出装置"</f>
        <v>一种滚柱自动输出装置</v>
      </c>
      <c r="C878" s="1" t="str">
        <f>"发明公布"</f>
        <v>发明公布</v>
      </c>
      <c r="D878" s="1" t="str">
        <f>"公布撤回"</f>
        <v>公布撤回</v>
      </c>
      <c r="E878" s="1" t="str">
        <f>"CN201711044095.7"</f>
        <v>CN201711044095.7</v>
      </c>
      <c r="F878" s="1" t="str">
        <f>"2017-10-31"</f>
        <v>2017-10-31</v>
      </c>
      <c r="G878" s="1" t="str">
        <f>"CN107651418A"</f>
        <v>CN107651418A</v>
      </c>
      <c r="H878" s="1" t="str">
        <f>"2018-02-02"</f>
        <v>2018-02-02</v>
      </c>
      <c r="I878" s="1" t="str">
        <f t="shared" si="425"/>
        <v>黄世清</v>
      </c>
      <c r="J878" s="1" t="str">
        <f t="shared" si="424"/>
        <v>天津普天单向器有限公司</v>
      </c>
    </row>
    <row r="879" spans="1:10">
      <c r="A879" s="1" t="str">
        <f t="shared" si="423"/>
        <v>天津普天单向器有限公司</v>
      </c>
      <c r="B879" s="1" t="str">
        <f>"一种单向超越离合器驱动齿轮结构"</f>
        <v>一种单向超越离合器驱动齿轮结构</v>
      </c>
      <c r="C879" s="1" t="str">
        <f t="shared" si="430"/>
        <v>实用新型</v>
      </c>
      <c r="D879" s="1" t="str">
        <f t="shared" ref="D879:D882" si="431">"未缴年费专利权终止"</f>
        <v>未缴年费专利权终止</v>
      </c>
      <c r="E879" s="1" t="str">
        <f>"CN201620458438.9"</f>
        <v>CN201620458438.9</v>
      </c>
      <c r="F879" s="1" t="str">
        <f t="shared" ref="F879:F883" si="432">"2016-05-19"</f>
        <v>2016-05-19</v>
      </c>
      <c r="G879" s="1" t="str">
        <f>"CN205877116U"</f>
        <v>CN205877116U</v>
      </c>
      <c r="H879" s="1" t="str">
        <f>"2017-01-11"</f>
        <v>2017-01-11</v>
      </c>
      <c r="I879" s="1" t="str">
        <f t="shared" si="425"/>
        <v>黄世清</v>
      </c>
      <c r="J879" s="1" t="str">
        <f t="shared" si="424"/>
        <v>天津普天单向器有限公司</v>
      </c>
    </row>
    <row r="880" spans="1:10">
      <c r="A880" s="1" t="str">
        <f t="shared" si="423"/>
        <v>天津普天单向器有限公司</v>
      </c>
      <c r="B880" s="1" t="str">
        <f>"一种单向器起动齿轮结构的冷挤压成型装置"</f>
        <v>一种单向器起动齿轮结构的冷挤压成型装置</v>
      </c>
      <c r="C880" s="1" t="str">
        <f t="shared" si="430"/>
        <v>实用新型</v>
      </c>
      <c r="D880" s="1" t="str">
        <f t="shared" si="431"/>
        <v>未缴年费专利权终止</v>
      </c>
      <c r="E880" s="1" t="str">
        <f>"CN201620458356.4"</f>
        <v>CN201620458356.4</v>
      </c>
      <c r="F880" s="1" t="str">
        <f t="shared" si="432"/>
        <v>2016-05-19</v>
      </c>
      <c r="G880" s="1" t="str">
        <f>"CN205763016U"</f>
        <v>CN205763016U</v>
      </c>
      <c r="H880" s="1" t="str">
        <f>"2016-12-07"</f>
        <v>2016-12-07</v>
      </c>
      <c r="I880" s="1" t="str">
        <f t="shared" si="425"/>
        <v>黄世清</v>
      </c>
      <c r="J880" s="1" t="str">
        <f t="shared" si="424"/>
        <v>天津普天单向器有限公司</v>
      </c>
    </row>
    <row r="881" spans="1:10">
      <c r="A881" s="1" t="str">
        <f t="shared" si="423"/>
        <v>天津普天单向器有限公司</v>
      </c>
      <c r="B881" s="1" t="str">
        <f>"一种行星轮轴与销轴位置度快速检验装置"</f>
        <v>一种行星轮轴与销轴位置度快速检验装置</v>
      </c>
      <c r="C881" s="1" t="str">
        <f t="shared" si="430"/>
        <v>实用新型</v>
      </c>
      <c r="D881" s="1" t="str">
        <f t="shared" si="431"/>
        <v>未缴年费专利权终止</v>
      </c>
      <c r="E881" s="1" t="str">
        <f>"CN201620467474.1"</f>
        <v>CN201620467474.1</v>
      </c>
      <c r="F881" s="1" t="str">
        <f t="shared" si="432"/>
        <v>2016-05-19</v>
      </c>
      <c r="G881" s="1" t="str">
        <f>"CN205748166U"</f>
        <v>CN205748166U</v>
      </c>
      <c r="H881" s="1" t="str">
        <f>"2016-11-30"</f>
        <v>2016-11-30</v>
      </c>
      <c r="I881" s="1" t="str">
        <f t="shared" si="425"/>
        <v>黄世清</v>
      </c>
      <c r="J881" s="1" t="str">
        <f t="shared" si="424"/>
        <v>天津普天单向器有限公司</v>
      </c>
    </row>
    <row r="882" spans="1:10">
      <c r="A882" s="1" t="str">
        <f t="shared" si="423"/>
        <v>天津普天单向器有限公司</v>
      </c>
      <c r="B882" s="1" t="str">
        <f>"一种起动齿轮压装衬套压力监控装置"</f>
        <v>一种起动齿轮压装衬套压力监控装置</v>
      </c>
      <c r="C882" s="1" t="str">
        <f t="shared" si="430"/>
        <v>实用新型</v>
      </c>
      <c r="D882" s="1" t="str">
        <f t="shared" si="431"/>
        <v>未缴年费专利权终止</v>
      </c>
      <c r="E882" s="1" t="str">
        <f>"CN201620458393.5"</f>
        <v>CN201620458393.5</v>
      </c>
      <c r="F882" s="1" t="str">
        <f t="shared" si="432"/>
        <v>2016-05-19</v>
      </c>
      <c r="G882" s="1" t="str">
        <f>"CN205748726U"</f>
        <v>CN205748726U</v>
      </c>
      <c r="H882" s="1" t="str">
        <f>"2016-11-30"</f>
        <v>2016-11-30</v>
      </c>
      <c r="I882" s="1" t="str">
        <f t="shared" si="425"/>
        <v>黄世清</v>
      </c>
      <c r="J882" s="1" t="str">
        <f t="shared" si="424"/>
        <v>天津普天单向器有限公司</v>
      </c>
    </row>
    <row r="883" spans="1:10">
      <c r="A883" s="1" t="str">
        <f t="shared" si="423"/>
        <v>天津普天单向器有限公司</v>
      </c>
      <c r="B883" s="1" t="str">
        <f>"一种单向超越离合器驱动齿轮结构"</f>
        <v>一种单向超越离合器驱动齿轮结构</v>
      </c>
      <c r="C883" s="1" t="str">
        <f>"发明公布"</f>
        <v>发明公布</v>
      </c>
      <c r="D883" s="1" t="str">
        <f>"公布视为撤回"</f>
        <v>公布视为撤回</v>
      </c>
      <c r="E883" s="1" t="str">
        <f>"CN201610340043.3"</f>
        <v>CN201610340043.3</v>
      </c>
      <c r="F883" s="1" t="str">
        <f t="shared" si="432"/>
        <v>2016-05-19</v>
      </c>
      <c r="G883" s="1" t="str">
        <f>"CN105889457A"</f>
        <v>CN105889457A</v>
      </c>
      <c r="H883" s="1" t="str">
        <f>"2016-08-24"</f>
        <v>2016-08-24</v>
      </c>
      <c r="I883" s="1" t="str">
        <f t="shared" si="425"/>
        <v>黄世清</v>
      </c>
      <c r="J883" s="1" t="str">
        <f t="shared" si="424"/>
        <v>天津普天单向器有限公司</v>
      </c>
    </row>
    <row r="884" spans="1:10">
      <c r="A884" s="1" t="str">
        <f t="shared" si="423"/>
        <v>天津普天单向器有限公司</v>
      </c>
      <c r="B884" s="1" t="str">
        <f>"一种超越离合器定向套筒的制作方法及其模具"</f>
        <v>一种超越离合器定向套筒的制作方法及其模具</v>
      </c>
      <c r="C884" s="1" t="str">
        <f>"发明授权"</f>
        <v>发明授权</v>
      </c>
      <c r="D884" s="1" t="str">
        <f>"授权"</f>
        <v>授权</v>
      </c>
      <c r="E884" s="1" t="str">
        <f>"CN201210291666.8"</f>
        <v>CN201210291666.8</v>
      </c>
      <c r="F884" s="1" t="str">
        <f>"2012-08-16"</f>
        <v>2012-08-16</v>
      </c>
      <c r="G884" s="1" t="str">
        <f>"CN102773676B"</f>
        <v>CN102773676B</v>
      </c>
      <c r="H884" s="1" t="str">
        <f>"2015-04-22"</f>
        <v>2015-04-22</v>
      </c>
      <c r="I884" s="1" t="str">
        <f>"李福兴"</f>
        <v>李福兴</v>
      </c>
      <c r="J884" s="1" t="str">
        <f t="shared" si="424"/>
        <v>天津普天单向器有限公司</v>
      </c>
    </row>
    <row r="885" spans="1:10">
      <c r="A885" s="1" t="str">
        <f t="shared" ref="A885:A893" si="433">"天津市益中汽车安全带有限公司"</f>
        <v>天津市益中汽车安全带有限公司</v>
      </c>
      <c r="B885" s="1" t="str">
        <f>"低摩擦安全带卷收器"</f>
        <v>低摩擦安全带卷收器</v>
      </c>
      <c r="C885" s="1" t="str">
        <f t="shared" ref="C885:C898" si="434">"实用新型"</f>
        <v>实用新型</v>
      </c>
      <c r="D885" s="1" t="str">
        <f t="shared" ref="D885:D893" si="435">"未缴年费专利权终止"</f>
        <v>未缴年费专利权终止</v>
      </c>
      <c r="E885" s="1" t="str">
        <f>"CN201320525867.X"</f>
        <v>CN201320525867.X</v>
      </c>
      <c r="F885" s="1" t="str">
        <f>"2013-08-27"</f>
        <v>2013-08-27</v>
      </c>
      <c r="G885" s="1" t="str">
        <f>"CN203427744U"</f>
        <v>CN203427744U</v>
      </c>
      <c r="H885" s="1" t="str">
        <f t="shared" ref="H885:H890" si="436">"2014-02-12"</f>
        <v>2014-02-12</v>
      </c>
      <c r="I885" s="1" t="str">
        <f t="shared" ref="I885:I890" si="437">"苑久润"</f>
        <v>苑久润</v>
      </c>
      <c r="J885" s="1" t="str">
        <f t="shared" ref="J885:J893" si="438">"天津市益中汽车安全带厂"</f>
        <v>天津市益中汽车安全带厂</v>
      </c>
    </row>
    <row r="886" spans="1:10">
      <c r="A886" s="1" t="str">
        <f t="shared" si="433"/>
        <v>天津市益中汽车安全带有限公司</v>
      </c>
      <c r="B886" s="1" t="str">
        <f>"安全带带扣"</f>
        <v>安全带带扣</v>
      </c>
      <c r="C886" s="1" t="str">
        <f t="shared" si="434"/>
        <v>实用新型</v>
      </c>
      <c r="D886" s="1" t="str">
        <f t="shared" si="435"/>
        <v>未缴年费专利权终止</v>
      </c>
      <c r="E886" s="1" t="str">
        <f>"CN201320544294.5"</f>
        <v>CN201320544294.5</v>
      </c>
      <c r="F886" s="1" t="str">
        <f>"2013-09-03"</f>
        <v>2013-09-03</v>
      </c>
      <c r="G886" s="1" t="str">
        <f>"CN203427741U"</f>
        <v>CN203427741U</v>
      </c>
      <c r="H886" s="1" t="str">
        <f t="shared" si="436"/>
        <v>2014-02-12</v>
      </c>
      <c r="I886" s="1" t="str">
        <f t="shared" si="437"/>
        <v>苑久润</v>
      </c>
      <c r="J886" s="1" t="str">
        <f t="shared" si="438"/>
        <v>天津市益中汽车安全带厂</v>
      </c>
    </row>
    <row r="887" spans="1:10">
      <c r="A887" s="1" t="str">
        <f t="shared" si="433"/>
        <v>天津市益中汽车安全带有限公司</v>
      </c>
      <c r="B887" s="1" t="str">
        <f>"带感器实验台"</f>
        <v>带感器实验台</v>
      </c>
      <c r="C887" s="1" t="str">
        <f t="shared" si="434"/>
        <v>实用新型</v>
      </c>
      <c r="D887" s="1" t="str">
        <f t="shared" si="435"/>
        <v>未缴年费专利权终止</v>
      </c>
      <c r="E887" s="1" t="str">
        <f>"CN201320537934.X"</f>
        <v>CN201320537934.X</v>
      </c>
      <c r="F887" s="1" t="str">
        <f t="shared" ref="F887:F890" si="439">"2013-08-29"</f>
        <v>2013-08-29</v>
      </c>
      <c r="G887" s="1" t="str">
        <f>"CN203432792U"</f>
        <v>CN203432792U</v>
      </c>
      <c r="H887" s="1" t="str">
        <f t="shared" si="436"/>
        <v>2014-02-12</v>
      </c>
      <c r="I887" s="1" t="str">
        <f t="shared" si="437"/>
        <v>苑久润</v>
      </c>
      <c r="J887" s="1" t="str">
        <f t="shared" si="438"/>
        <v>天津市益中汽车安全带厂</v>
      </c>
    </row>
    <row r="888" spans="1:10">
      <c r="A888" s="1" t="str">
        <f t="shared" si="433"/>
        <v>天津市益中汽车安全带有限公司</v>
      </c>
      <c r="B888" s="1" t="str">
        <f>"高速拉力试验台"</f>
        <v>高速拉力试验台</v>
      </c>
      <c r="C888" s="1" t="str">
        <f t="shared" si="434"/>
        <v>实用新型</v>
      </c>
      <c r="D888" s="1" t="str">
        <f t="shared" si="435"/>
        <v>未缴年费专利权终止</v>
      </c>
      <c r="E888" s="1" t="str">
        <f>"CN201320537932.0"</f>
        <v>CN201320537932.0</v>
      </c>
      <c r="F888" s="1" t="str">
        <f t="shared" si="439"/>
        <v>2013-08-29</v>
      </c>
      <c r="G888" s="1" t="str">
        <f>"CN203432791U"</f>
        <v>CN203432791U</v>
      </c>
      <c r="H888" s="1" t="str">
        <f t="shared" si="436"/>
        <v>2014-02-12</v>
      </c>
      <c r="I888" s="1" t="str">
        <f t="shared" si="437"/>
        <v>苑久润</v>
      </c>
      <c r="J888" s="1" t="str">
        <f t="shared" si="438"/>
        <v>天津市益中汽车安全带厂</v>
      </c>
    </row>
    <row r="889" spans="1:10">
      <c r="A889" s="1" t="str">
        <f t="shared" si="433"/>
        <v>天津市益中汽车安全带有限公司</v>
      </c>
      <c r="B889" s="1" t="str">
        <f>"汽车安全带卷收器"</f>
        <v>汽车安全带卷收器</v>
      </c>
      <c r="C889" s="1" t="str">
        <f t="shared" si="434"/>
        <v>实用新型</v>
      </c>
      <c r="D889" s="1" t="str">
        <f t="shared" si="435"/>
        <v>未缴年费专利权终止</v>
      </c>
      <c r="E889" s="1" t="str">
        <f>"CN201320525866.5"</f>
        <v>CN201320525866.5</v>
      </c>
      <c r="F889" s="1" t="str">
        <f>"2013-08-27"</f>
        <v>2013-08-27</v>
      </c>
      <c r="G889" s="1" t="str">
        <f>"CN203427743U"</f>
        <v>CN203427743U</v>
      </c>
      <c r="H889" s="1" t="str">
        <f t="shared" si="436"/>
        <v>2014-02-12</v>
      </c>
      <c r="I889" s="1" t="str">
        <f t="shared" si="437"/>
        <v>苑久润</v>
      </c>
      <c r="J889" s="1" t="str">
        <f t="shared" si="438"/>
        <v>天津市益中汽车安全带厂</v>
      </c>
    </row>
    <row r="890" spans="1:10">
      <c r="A890" s="1" t="str">
        <f t="shared" si="433"/>
        <v>天津市益中汽车安全带有限公司</v>
      </c>
      <c r="B890" s="1" t="str">
        <f>"预紧式卷收器"</f>
        <v>预紧式卷收器</v>
      </c>
      <c r="C890" s="1" t="str">
        <f t="shared" si="434"/>
        <v>实用新型</v>
      </c>
      <c r="D890" s="1" t="str">
        <f t="shared" si="435"/>
        <v>未缴年费专利权终止</v>
      </c>
      <c r="E890" s="1" t="str">
        <f>"CN201320531256.6"</f>
        <v>CN201320531256.6</v>
      </c>
      <c r="F890" s="1" t="str">
        <f t="shared" si="439"/>
        <v>2013-08-29</v>
      </c>
      <c r="G890" s="1" t="str">
        <f>"CN203427745U"</f>
        <v>CN203427745U</v>
      </c>
      <c r="H890" s="1" t="str">
        <f t="shared" si="436"/>
        <v>2014-02-12</v>
      </c>
      <c r="I890" s="1" t="str">
        <f t="shared" si="437"/>
        <v>苑久润</v>
      </c>
      <c r="J890" s="1" t="str">
        <f t="shared" si="438"/>
        <v>天津市益中汽车安全带厂</v>
      </c>
    </row>
    <row r="891" spans="1:10">
      <c r="A891" s="1" t="str">
        <f t="shared" si="433"/>
        <v>天津市益中汽车安全带有限公司</v>
      </c>
      <c r="B891" s="1" t="str">
        <f>"预紧式安全带"</f>
        <v>预紧式安全带</v>
      </c>
      <c r="C891" s="1" t="str">
        <f t="shared" si="434"/>
        <v>实用新型</v>
      </c>
      <c r="D891" s="1" t="str">
        <f t="shared" si="435"/>
        <v>未缴年费专利权终止</v>
      </c>
      <c r="E891" s="1" t="str">
        <f>"CN201220574313.4"</f>
        <v>CN201220574313.4</v>
      </c>
      <c r="F891" s="1" t="str">
        <f>"2012-11-02"</f>
        <v>2012-11-02</v>
      </c>
      <c r="G891" s="1" t="str">
        <f>"CN203078467U"</f>
        <v>CN203078467U</v>
      </c>
      <c r="H891" s="1" t="str">
        <f>"2013-07-24"</f>
        <v>2013-07-24</v>
      </c>
      <c r="I891" s="1" t="s">
        <v>4926</v>
      </c>
      <c r="J891" s="1" t="str">
        <f t="shared" si="438"/>
        <v>天津市益中汽车安全带厂</v>
      </c>
    </row>
    <row r="892" spans="1:10">
      <c r="A892" s="1" t="str">
        <f t="shared" si="433"/>
        <v>天津市益中汽车安全带有限公司</v>
      </c>
      <c r="B892" s="1" t="str">
        <f>"预紧式安全带"</f>
        <v>预紧式安全带</v>
      </c>
      <c r="C892" s="1" t="str">
        <f t="shared" si="434"/>
        <v>实用新型</v>
      </c>
      <c r="D892" s="1" t="str">
        <f t="shared" si="435"/>
        <v>未缴年费专利权终止</v>
      </c>
      <c r="E892" s="1" t="str">
        <f>"CN200720096967.X"</f>
        <v>CN200720096967.X</v>
      </c>
      <c r="F892" s="1" t="str">
        <f>"2007-08-03"</f>
        <v>2007-08-03</v>
      </c>
      <c r="G892" s="1" t="str">
        <f>"CN201102521"</f>
        <v>CN201102521</v>
      </c>
      <c r="H892" s="1" t="str">
        <f>"2008-08-20"</f>
        <v>2008-08-20</v>
      </c>
      <c r="I892" s="1" t="s">
        <v>4926</v>
      </c>
      <c r="J892" s="1" t="str">
        <f t="shared" si="438"/>
        <v>天津市益中汽车安全带厂</v>
      </c>
    </row>
    <row r="893" spans="1:10">
      <c r="A893" s="1" t="str">
        <f t="shared" si="433"/>
        <v>天津市益中汽车安全带有限公司</v>
      </c>
      <c r="B893" s="1" t="str">
        <f>"连续等温淬火炉中的淬火装置"</f>
        <v>连续等温淬火炉中的淬火装置</v>
      </c>
      <c r="C893" s="1" t="str">
        <f t="shared" si="434"/>
        <v>实用新型</v>
      </c>
      <c r="D893" s="1" t="str">
        <f t="shared" si="435"/>
        <v>未缴年费专利权终止</v>
      </c>
      <c r="E893" s="1" t="str">
        <f>"CN01259383.4"</f>
        <v>CN01259383.4</v>
      </c>
      <c r="F893" s="1" t="str">
        <f>"2001-09-07"</f>
        <v>2001-09-07</v>
      </c>
      <c r="G893" s="1" t="str">
        <f>"CN2499404"</f>
        <v>CN2499404</v>
      </c>
      <c r="H893" s="1" t="str">
        <f>"2002-07-10"</f>
        <v>2002-07-10</v>
      </c>
      <c r="I893" s="1" t="str">
        <f>"苑久润"</f>
        <v>苑久润</v>
      </c>
      <c r="J893" s="1" t="str">
        <f t="shared" si="438"/>
        <v>天津市益中汽车安全带厂</v>
      </c>
    </row>
    <row r="894" spans="1:10">
      <c r="A894" s="1" t="str">
        <f t="shared" ref="A894:A902" si="440">"天津安骏挂车制造有限公司"</f>
        <v>天津安骏挂车制造有限公司</v>
      </c>
      <c r="B894" s="1" t="str">
        <f>"轿运车可移动的过桥装置"</f>
        <v>轿运车可移动的过桥装置</v>
      </c>
      <c r="C894" s="1" t="str">
        <f t="shared" si="434"/>
        <v>实用新型</v>
      </c>
      <c r="D894" s="1" t="str">
        <f t="shared" ref="D894:D898" si="441">"授权"</f>
        <v>授权</v>
      </c>
      <c r="E894" s="1" t="str">
        <f>"CN202422676579.5"</f>
        <v>CN202422676579.5</v>
      </c>
      <c r="F894" s="1" t="str">
        <f>"2024-11-04"</f>
        <v>2024-11-04</v>
      </c>
      <c r="G894" s="1" t="str">
        <f>"CN223373537U"</f>
        <v>CN223373537U</v>
      </c>
      <c r="H894" s="1" t="str">
        <f>"2025-09-23"</f>
        <v>2025-09-23</v>
      </c>
      <c r="I894" s="1" t="s">
        <v>4927</v>
      </c>
      <c r="J894" s="1" t="str">
        <f t="shared" ref="J894:J898" si="442">"天津安骏挂车制造有限公司"</f>
        <v>天津安骏挂车制造有限公司</v>
      </c>
    </row>
    <row r="895" spans="1:10">
      <c r="A895" s="1" t="str">
        <f t="shared" si="440"/>
        <v>天津安骏挂车制造有限公司</v>
      </c>
      <c r="B895" s="1" t="str">
        <f>"一种钢包专用运输半挂车"</f>
        <v>一种钢包专用运输半挂车</v>
      </c>
      <c r="C895" s="1" t="str">
        <f t="shared" si="434"/>
        <v>实用新型</v>
      </c>
      <c r="D895" s="1" t="str">
        <f t="shared" si="441"/>
        <v>授权</v>
      </c>
      <c r="E895" s="1" t="str">
        <f>"CN202422733609.1"</f>
        <v>CN202422733609.1</v>
      </c>
      <c r="F895" s="1" t="str">
        <f>"2024-11-11"</f>
        <v>2024-11-11</v>
      </c>
      <c r="G895" s="1" t="str">
        <f>"CN223302597U"</f>
        <v>CN223302597U</v>
      </c>
      <c r="H895" s="1" t="str">
        <f>"2025-09-05"</f>
        <v>2025-09-05</v>
      </c>
      <c r="I895" s="1" t="s">
        <v>4927</v>
      </c>
      <c r="J895" s="1" t="str">
        <f t="shared" si="442"/>
        <v>天津安骏挂车制造有限公司</v>
      </c>
    </row>
    <row r="896" spans="1:10">
      <c r="A896" s="1" t="str">
        <f t="shared" si="440"/>
        <v>天津安骏挂车制造有限公司</v>
      </c>
      <c r="B896" s="1" t="str">
        <f>"骨架车可旋转式集装箱锁装置"</f>
        <v>骨架车可旋转式集装箱锁装置</v>
      </c>
      <c r="C896" s="1" t="str">
        <f t="shared" si="434"/>
        <v>实用新型</v>
      </c>
      <c r="D896" s="1" t="str">
        <f t="shared" si="441"/>
        <v>授权</v>
      </c>
      <c r="E896" s="1" t="str">
        <f>"CN202422676582.7"</f>
        <v>CN202422676582.7</v>
      </c>
      <c r="F896" s="1" t="str">
        <f>"2024-11-04"</f>
        <v>2024-11-04</v>
      </c>
      <c r="G896" s="1" t="str">
        <f>"CN223266687U"</f>
        <v>CN223266687U</v>
      </c>
      <c r="H896" s="1" t="str">
        <f>"2025-08-26"</f>
        <v>2025-08-26</v>
      </c>
      <c r="I896" s="1" t="s">
        <v>4927</v>
      </c>
      <c r="J896" s="1" t="str">
        <f t="shared" si="442"/>
        <v>天津安骏挂车制造有限公司</v>
      </c>
    </row>
    <row r="897" spans="1:10">
      <c r="A897" s="1" t="str">
        <f t="shared" si="440"/>
        <v>天津安骏挂车制造有限公司</v>
      </c>
      <c r="B897" s="1" t="str">
        <f>"拉羊车辆运输车平台结构"</f>
        <v>拉羊车辆运输车平台结构</v>
      </c>
      <c r="C897" s="1" t="str">
        <f t="shared" si="434"/>
        <v>实用新型</v>
      </c>
      <c r="D897" s="1" t="str">
        <f t="shared" si="441"/>
        <v>授权</v>
      </c>
      <c r="E897" s="1" t="str">
        <f>"CN202422868134.7"</f>
        <v>CN202422868134.7</v>
      </c>
      <c r="F897" s="1" t="str">
        <f>"2024-11-25"</f>
        <v>2024-11-25</v>
      </c>
      <c r="G897" s="1" t="str">
        <f>"CN223237474U"</f>
        <v>CN223237474U</v>
      </c>
      <c r="H897" s="1" t="str">
        <f>"2025-08-19"</f>
        <v>2025-08-19</v>
      </c>
      <c r="I897" s="1" t="s">
        <v>4927</v>
      </c>
      <c r="J897" s="1" t="str">
        <f t="shared" si="442"/>
        <v>天津安骏挂车制造有限公司</v>
      </c>
    </row>
    <row r="898" spans="1:10">
      <c r="A898" s="1" t="str">
        <f t="shared" si="440"/>
        <v>天津安骏挂车制造有限公司</v>
      </c>
      <c r="B898" s="1" t="str">
        <f>"低平板折叠加宽装置"</f>
        <v>低平板折叠加宽装置</v>
      </c>
      <c r="C898" s="1" t="str">
        <f t="shared" si="434"/>
        <v>实用新型</v>
      </c>
      <c r="D898" s="1" t="str">
        <f t="shared" si="441"/>
        <v>授权</v>
      </c>
      <c r="E898" s="1" t="str">
        <f>"CN202422634876.3"</f>
        <v>CN202422634876.3</v>
      </c>
      <c r="F898" s="1" t="str">
        <f>"2024-10-30"</f>
        <v>2024-10-30</v>
      </c>
      <c r="G898" s="1" t="str">
        <f>"CN223161854U"</f>
        <v>CN223161854U</v>
      </c>
      <c r="H898" s="1" t="str">
        <f>"2025-07-29"</f>
        <v>2025-07-29</v>
      </c>
      <c r="I898" s="1" t="s">
        <v>4927</v>
      </c>
      <c r="J898" s="1" t="str">
        <f t="shared" si="442"/>
        <v>天津安骏挂车制造有限公司</v>
      </c>
    </row>
    <row r="899" spans="1:10">
      <c r="A899" s="1" t="str">
        <f t="shared" si="440"/>
        <v>天津安骏挂车制造有限公司</v>
      </c>
      <c r="B899" s="1" t="str">
        <f>"可调整伸缩牵引臂的中置轴车辆运输挂车列车"</f>
        <v>可调整伸缩牵引臂的中置轴车辆运输挂车列车</v>
      </c>
      <c r="C899" s="1" t="str">
        <f t="shared" ref="C899:C901" si="443">"外观设计"</f>
        <v>外观设计</v>
      </c>
      <c r="D899" s="1" t="str">
        <f>"期限届满专利权终止"</f>
        <v>期限届满专利权终止</v>
      </c>
      <c r="E899" s="1" t="str">
        <f>"CN200530023377.0"</f>
        <v>CN200530023377.0</v>
      </c>
      <c r="F899" s="1" t="str">
        <f>"2005-06-01"</f>
        <v>2005-06-01</v>
      </c>
      <c r="G899" s="1" t="str">
        <f>"CN3648924"</f>
        <v>CN3648924</v>
      </c>
      <c r="H899" s="1" t="str">
        <f>"2007-05-23"</f>
        <v>2007-05-23</v>
      </c>
      <c r="I899" s="1" t="str">
        <f t="shared" ref="I899:I902" si="444">"崔洪金"</f>
        <v>崔洪金</v>
      </c>
      <c r="J899" s="1" t="str">
        <f t="shared" ref="J899:J902" si="445">"天津劳尔工业有限公司"</f>
        <v>天津劳尔工业有限公司</v>
      </c>
    </row>
    <row r="900" spans="1:10">
      <c r="A900" s="1" t="str">
        <f t="shared" si="440"/>
        <v>天津安骏挂车制造有限公司</v>
      </c>
      <c r="B900" s="1" t="str">
        <f>"低底盘中置轴车辆运输挂车列车"</f>
        <v>低底盘中置轴车辆运输挂车列车</v>
      </c>
      <c r="C900" s="1" t="str">
        <f t="shared" si="443"/>
        <v>外观设计</v>
      </c>
      <c r="D900" s="1" t="str">
        <f t="shared" ref="D900:D902" si="446">"未缴年费专利权终止"</f>
        <v>未缴年费专利权终止</v>
      </c>
      <c r="E900" s="1" t="str">
        <f>"CN200430025751.6"</f>
        <v>CN200430025751.6</v>
      </c>
      <c r="F900" s="1" t="str">
        <f>"2004-07-19"</f>
        <v>2004-07-19</v>
      </c>
      <c r="G900" s="1" t="str">
        <f>"CN3439156"</f>
        <v>CN3439156</v>
      </c>
      <c r="H900" s="1" t="str">
        <f>"2005-04-13"</f>
        <v>2005-04-13</v>
      </c>
      <c r="I900" s="1" t="s">
        <v>4928</v>
      </c>
      <c r="J900" s="1" t="str">
        <f t="shared" si="445"/>
        <v>天津劳尔工业有限公司</v>
      </c>
    </row>
    <row r="901" spans="1:10">
      <c r="A901" s="1" t="str">
        <f t="shared" si="440"/>
        <v>天津安骏挂车制造有限公司</v>
      </c>
      <c r="B901" s="1" t="str">
        <f>"车辆运输半挂车"</f>
        <v>车辆运输半挂车</v>
      </c>
      <c r="C901" s="1" t="str">
        <f t="shared" si="443"/>
        <v>外观设计</v>
      </c>
      <c r="D901" s="1" t="str">
        <f t="shared" si="446"/>
        <v>未缴年费专利权终止</v>
      </c>
      <c r="E901" s="1" t="str">
        <f>"CN97310191.1"</f>
        <v>CN97310191.1</v>
      </c>
      <c r="F901" s="1" t="str">
        <f>"1997-05-08"</f>
        <v>1997-05-08</v>
      </c>
      <c r="G901" s="1" t="str">
        <f>"CN3112574"</f>
        <v>CN3112574</v>
      </c>
      <c r="H901" s="1" t="str">
        <f>"1999-06-09"</f>
        <v>1999-06-09</v>
      </c>
      <c r="I901" s="1" t="str">
        <f t="shared" si="444"/>
        <v>崔洪金</v>
      </c>
      <c r="J901" s="1" t="str">
        <f t="shared" si="445"/>
        <v>天津劳尔工业有限公司</v>
      </c>
    </row>
    <row r="902" spans="1:10">
      <c r="A902" s="1" t="str">
        <f t="shared" si="440"/>
        <v>天津安骏挂车制造有限公司</v>
      </c>
      <c r="B902" s="1" t="str">
        <f>"车辆运输半挂车"</f>
        <v>车辆运输半挂车</v>
      </c>
      <c r="C902" s="1" t="str">
        <f t="shared" ref="C902:C907" si="447">"实用新型"</f>
        <v>实用新型</v>
      </c>
      <c r="D902" s="1" t="str">
        <f t="shared" si="446"/>
        <v>未缴年费专利权终止</v>
      </c>
      <c r="E902" s="1" t="str">
        <f>"CN97216325.5"</f>
        <v>CN97216325.5</v>
      </c>
      <c r="F902" s="1" t="str">
        <f>"1997-05-08"</f>
        <v>1997-05-08</v>
      </c>
      <c r="G902" s="1" t="str">
        <f>"CN2294870"</f>
        <v>CN2294870</v>
      </c>
      <c r="H902" s="1" t="str">
        <f>"1998-10-21"</f>
        <v>1998-10-21</v>
      </c>
      <c r="I902" s="1" t="str">
        <f t="shared" si="444"/>
        <v>崔洪金</v>
      </c>
      <c r="J902" s="1" t="str">
        <f t="shared" si="445"/>
        <v>天津劳尔工业有限公司</v>
      </c>
    </row>
    <row r="903" spans="1:10">
      <c r="A903" s="1" t="str">
        <f t="shared" ref="A903:A919" si="448">"天津恒福赛汽车部件有限公司"</f>
        <v>天津恒福赛汽车部件有限公司</v>
      </c>
      <c r="B903" s="1" t="str">
        <f>"一种汽车扶手生产线烘干机构"</f>
        <v>一种汽车扶手生产线烘干机构</v>
      </c>
      <c r="C903" s="1" t="str">
        <f t="shared" si="447"/>
        <v>实用新型</v>
      </c>
      <c r="D903" s="1" t="str">
        <f t="shared" ref="D903:D910" si="449">"授权"</f>
        <v>授权</v>
      </c>
      <c r="E903" s="1" t="str">
        <f>"CN202420693643.8"</f>
        <v>CN202420693643.8</v>
      </c>
      <c r="F903" s="1" t="str">
        <f>"2024-04-07"</f>
        <v>2024-04-07</v>
      </c>
      <c r="G903" s="1" t="str">
        <f>"CN222481055U"</f>
        <v>CN222481055U</v>
      </c>
      <c r="H903" s="1" t="str">
        <f>"2025-02-14"</f>
        <v>2025-02-14</v>
      </c>
      <c r="I903" s="1" t="s">
        <v>4929</v>
      </c>
      <c r="J903" s="1" t="str">
        <f t="shared" ref="J903:J919" si="450">"天津恒福赛汽车部件有限公司"</f>
        <v>天津恒福赛汽车部件有限公司</v>
      </c>
    </row>
    <row r="904" spans="1:10">
      <c r="A904" s="1" t="str">
        <f t="shared" si="448"/>
        <v>天津恒福赛汽车部件有限公司</v>
      </c>
      <c r="B904" s="1" t="str">
        <f>"一种汽车侧翼出风口加工工装"</f>
        <v>一种汽车侧翼出风口加工工装</v>
      </c>
      <c r="C904" s="1" t="str">
        <f t="shared" si="447"/>
        <v>实用新型</v>
      </c>
      <c r="D904" s="1" t="str">
        <f t="shared" si="449"/>
        <v>授权</v>
      </c>
      <c r="E904" s="1" t="str">
        <f>"CN202420460996.3"</f>
        <v>CN202420460996.3</v>
      </c>
      <c r="F904" s="1" t="str">
        <f>"2024-03-11"</f>
        <v>2024-03-11</v>
      </c>
      <c r="G904" s="1" t="str">
        <f>"CN222430493U"</f>
        <v>CN222430493U</v>
      </c>
      <c r="H904" s="1" t="str">
        <f>"2025-02-07"</f>
        <v>2025-02-07</v>
      </c>
      <c r="I904" s="1" t="s">
        <v>4930</v>
      </c>
      <c r="J904" s="1" t="str">
        <f t="shared" si="450"/>
        <v>天津恒福赛汽车部件有限公司</v>
      </c>
    </row>
    <row r="905" spans="1:10">
      <c r="A905" s="1" t="str">
        <f t="shared" si="448"/>
        <v>天津恒福赛汽车部件有限公司</v>
      </c>
      <c r="B905" s="1" t="str">
        <f>"一种汽车扶手加工的冲孔机"</f>
        <v>一种汽车扶手加工的冲孔机</v>
      </c>
      <c r="C905" s="1" t="str">
        <f t="shared" si="447"/>
        <v>实用新型</v>
      </c>
      <c r="D905" s="1" t="str">
        <f t="shared" si="449"/>
        <v>授权</v>
      </c>
      <c r="E905" s="1" t="str">
        <f>"CN202420692984.3"</f>
        <v>CN202420692984.3</v>
      </c>
      <c r="F905" s="1" t="str">
        <f>"2024-04-07"</f>
        <v>2024-04-07</v>
      </c>
      <c r="G905" s="1" t="str">
        <f>"CN222429030U"</f>
        <v>CN222429030U</v>
      </c>
      <c r="H905" s="1" t="str">
        <f>"2025-02-07"</f>
        <v>2025-02-07</v>
      </c>
      <c r="I905" s="1" t="s">
        <v>4931</v>
      </c>
      <c r="J905" s="1" t="str">
        <f t="shared" si="450"/>
        <v>天津恒福赛汽车部件有限公司</v>
      </c>
    </row>
    <row r="906" spans="1:10">
      <c r="A906" s="1" t="str">
        <f t="shared" si="448"/>
        <v>天津恒福赛汽车部件有限公司</v>
      </c>
      <c r="B906" s="1" t="str">
        <f>"一种内开拉手件用浇口剪切装置"</f>
        <v>一种内开拉手件用浇口剪切装置</v>
      </c>
      <c r="C906" s="1" t="str">
        <f t="shared" si="447"/>
        <v>实用新型</v>
      </c>
      <c r="D906" s="1" t="str">
        <f t="shared" si="449"/>
        <v>授权</v>
      </c>
      <c r="E906" s="1" t="str">
        <f>"CN202420458082.3"</f>
        <v>CN202420458082.3</v>
      </c>
      <c r="F906" s="1" t="str">
        <f>"2024-03-11"</f>
        <v>2024-03-11</v>
      </c>
      <c r="G906" s="1" t="str">
        <f>"CN222115933U"</f>
        <v>CN222115933U</v>
      </c>
      <c r="H906" s="1" t="str">
        <f>"2024-12-06"</f>
        <v>2024-12-06</v>
      </c>
      <c r="I906" s="1" t="s">
        <v>4932</v>
      </c>
      <c r="J906" s="1" t="str">
        <f t="shared" si="450"/>
        <v>天津恒福赛汽车部件有限公司</v>
      </c>
    </row>
    <row r="907" spans="1:10">
      <c r="A907" s="1" t="str">
        <f t="shared" si="448"/>
        <v>天津恒福赛汽车部件有限公司</v>
      </c>
      <c r="B907" s="1" t="str">
        <f>"一种汽车出风口的装配机构"</f>
        <v>一种汽车出风口的装配机构</v>
      </c>
      <c r="C907" s="1" t="str">
        <f t="shared" si="447"/>
        <v>实用新型</v>
      </c>
      <c r="D907" s="1" t="str">
        <f t="shared" si="449"/>
        <v>授权</v>
      </c>
      <c r="E907" s="1" t="str">
        <f>"CN202420561298.2"</f>
        <v>CN202420561298.2</v>
      </c>
      <c r="F907" s="1" t="str">
        <f>"2024-03-22"</f>
        <v>2024-03-22</v>
      </c>
      <c r="G907" s="1" t="str">
        <f>"CN222116099U"</f>
        <v>CN222116099U</v>
      </c>
      <c r="H907" s="1" t="str">
        <f>"2024-12-06"</f>
        <v>2024-12-06</v>
      </c>
      <c r="I907" s="1" t="s">
        <v>4933</v>
      </c>
      <c r="J907" s="1" t="str">
        <f t="shared" si="450"/>
        <v>天津恒福赛汽车部件有限公司</v>
      </c>
    </row>
    <row r="908" spans="1:10">
      <c r="A908" s="1" t="str">
        <f t="shared" si="448"/>
        <v>天津恒福赛汽车部件有限公司</v>
      </c>
      <c r="B908" s="1" t="str">
        <f>"一种汽车内饰塑料件加工防松动注塑模具"</f>
        <v>一种汽车内饰塑料件加工防松动注塑模具</v>
      </c>
      <c r="C908" s="1" t="str">
        <f>"发明授权"</f>
        <v>发明授权</v>
      </c>
      <c r="D908" s="1" t="str">
        <f t="shared" si="449"/>
        <v>授权</v>
      </c>
      <c r="E908" s="1" t="str">
        <f>"CN202410077103.1"</f>
        <v>CN202410077103.1</v>
      </c>
      <c r="F908" s="1" t="str">
        <f>"2024-01-19"</f>
        <v>2024-01-19</v>
      </c>
      <c r="G908" s="1" t="str">
        <f>"CN117584371B"</f>
        <v>CN117584371B</v>
      </c>
      <c r="H908" s="1" t="str">
        <f>"2024-05-17"</f>
        <v>2024-05-17</v>
      </c>
      <c r="I908" s="1" t="s">
        <v>4934</v>
      </c>
      <c r="J908" s="1" t="str">
        <f t="shared" si="450"/>
        <v>天津恒福赛汽车部件有限公司</v>
      </c>
    </row>
    <row r="909" spans="1:10">
      <c r="A909" s="1" t="str">
        <f t="shared" si="448"/>
        <v>天津恒福赛汽车部件有限公司</v>
      </c>
      <c r="B909" s="1" t="str">
        <f>"一种用于汽车储物盒的热转印装置"</f>
        <v>一种用于汽车储物盒的热转印装置</v>
      </c>
      <c r="C909" s="1" t="str">
        <f t="shared" ref="C909:C929" si="451">"实用新型"</f>
        <v>实用新型</v>
      </c>
      <c r="D909" s="1" t="str">
        <f t="shared" si="449"/>
        <v>授权</v>
      </c>
      <c r="E909" s="1" t="str">
        <f>"CN202321515461.3"</f>
        <v>CN202321515461.3</v>
      </c>
      <c r="F909" s="1" t="str">
        <f>"2023-06-14"</f>
        <v>2023-06-14</v>
      </c>
      <c r="G909" s="1" t="str">
        <f>"CN220594345U"</f>
        <v>CN220594345U</v>
      </c>
      <c r="H909" s="1" t="str">
        <f>"2024-03-15"</f>
        <v>2024-03-15</v>
      </c>
      <c r="I909" s="1" t="s">
        <v>4935</v>
      </c>
      <c r="J909" s="1" t="str">
        <f t="shared" si="450"/>
        <v>天津恒福赛汽车部件有限公司</v>
      </c>
    </row>
    <row r="910" spans="1:10">
      <c r="A910" s="1" t="str">
        <f t="shared" si="448"/>
        <v>天津恒福赛汽车部件有限公司</v>
      </c>
      <c r="B910" s="1" t="str">
        <f>"一种用于生产汽车内饰件的模压凸模"</f>
        <v>一种用于生产汽车内饰件的模压凸模</v>
      </c>
      <c r="C910" s="1" t="str">
        <f t="shared" si="451"/>
        <v>实用新型</v>
      </c>
      <c r="D910" s="1" t="str">
        <f t="shared" si="449"/>
        <v>授权</v>
      </c>
      <c r="E910" s="1" t="str">
        <f>"CN202321690264.5"</f>
        <v>CN202321690264.5</v>
      </c>
      <c r="F910" s="1" t="str">
        <f>"2023-06-30"</f>
        <v>2023-06-30</v>
      </c>
      <c r="G910" s="1" t="str">
        <f>"CN220594033U"</f>
        <v>CN220594033U</v>
      </c>
      <c r="H910" s="1" t="str">
        <f>"2024-03-15"</f>
        <v>2024-03-15</v>
      </c>
      <c r="I910" s="1" t="s">
        <v>4936</v>
      </c>
      <c r="J910" s="1" t="str">
        <f t="shared" si="450"/>
        <v>天津恒福赛汽车部件有限公司</v>
      </c>
    </row>
    <row r="911" spans="1:10">
      <c r="A911" s="1" t="str">
        <f t="shared" si="448"/>
        <v>天津恒福赛汽车部件有限公司</v>
      </c>
      <c r="B911" s="1" t="str">
        <f>"一种便于脱模的汽车内饰塑料件生产用的注塑装置"</f>
        <v>一种便于脱模的汽车内饰塑料件生产用的注塑装置</v>
      </c>
      <c r="C911" s="1" t="str">
        <f>"发明公布"</f>
        <v>发明公布</v>
      </c>
      <c r="D911" s="1" t="str">
        <f>"公布撤回"</f>
        <v>公布撤回</v>
      </c>
      <c r="E911" s="1" t="str">
        <f>"CN202410065479.0"</f>
        <v>CN202410065479.0</v>
      </c>
      <c r="F911" s="1" t="str">
        <f>"2024-01-17"</f>
        <v>2024-01-17</v>
      </c>
      <c r="G911" s="1" t="str">
        <f>"CN117584357A"</f>
        <v>CN117584357A</v>
      </c>
      <c r="H911" s="1" t="str">
        <f>"2024-02-23"</f>
        <v>2024-02-23</v>
      </c>
      <c r="I911" s="1" t="s">
        <v>4937</v>
      </c>
      <c r="J911" s="1" t="str">
        <f t="shared" si="450"/>
        <v>天津恒福赛汽车部件有限公司</v>
      </c>
    </row>
    <row r="912" spans="1:10">
      <c r="A912" s="1" t="str">
        <f t="shared" si="448"/>
        <v>天津恒福赛汽车部件有限公司</v>
      </c>
      <c r="B912" s="1" t="str">
        <f>"一种用于生产汽车空调出风口的冲剪刀模"</f>
        <v>一种用于生产汽车空调出风口的冲剪刀模</v>
      </c>
      <c r="C912" s="1" t="str">
        <f t="shared" si="451"/>
        <v>实用新型</v>
      </c>
      <c r="D912" s="1" t="str">
        <f t="shared" ref="D912:D926" si="452">"授权"</f>
        <v>授权</v>
      </c>
      <c r="E912" s="1" t="str">
        <f>"CN202321515741.4"</f>
        <v>CN202321515741.4</v>
      </c>
      <c r="F912" s="1" t="str">
        <f>"2023-06-14"</f>
        <v>2023-06-14</v>
      </c>
      <c r="G912" s="1" t="str">
        <f>"CN220426490U"</f>
        <v>CN220426490U</v>
      </c>
      <c r="H912" s="1" t="str">
        <f>"2024-02-02"</f>
        <v>2024-02-02</v>
      </c>
      <c r="I912" s="1" t="s">
        <v>4938</v>
      </c>
      <c r="J912" s="1" t="str">
        <f t="shared" si="450"/>
        <v>天津恒福赛汽车部件有限公司</v>
      </c>
    </row>
    <row r="913" spans="1:10">
      <c r="A913" s="1" t="str">
        <f t="shared" si="448"/>
        <v>天津恒福赛汽车部件有限公司</v>
      </c>
      <c r="B913" s="1" t="str">
        <f>"一种汽车门把手开关加工用进料装置"</f>
        <v>一种汽车门把手开关加工用进料装置</v>
      </c>
      <c r="C913" s="1" t="str">
        <f t="shared" si="451"/>
        <v>实用新型</v>
      </c>
      <c r="D913" s="1" t="str">
        <f t="shared" si="452"/>
        <v>授权</v>
      </c>
      <c r="E913" s="1" t="str">
        <f>"CN202320812096.6"</f>
        <v>CN202320812096.6</v>
      </c>
      <c r="F913" s="1" t="str">
        <f>"2023-04-13"</f>
        <v>2023-04-13</v>
      </c>
      <c r="G913" s="1" t="str">
        <f>"CN220409466U"</f>
        <v>CN220409466U</v>
      </c>
      <c r="H913" s="1" t="str">
        <f t="shared" ref="H913:H915" si="453">"2024-01-30"</f>
        <v>2024-01-30</v>
      </c>
      <c r="I913" s="1" t="s">
        <v>4939</v>
      </c>
      <c r="J913" s="1" t="str">
        <f t="shared" si="450"/>
        <v>天津恒福赛汽车部件有限公司</v>
      </c>
    </row>
    <row r="914" spans="1:10">
      <c r="A914" s="1" t="str">
        <f t="shared" si="448"/>
        <v>天津恒福赛汽车部件有限公司</v>
      </c>
      <c r="B914" s="1" t="str">
        <f>"一种用于加工汽车窗户开关的废料收集装置"</f>
        <v>一种用于加工汽车窗户开关的废料收集装置</v>
      </c>
      <c r="C914" s="1" t="str">
        <f t="shared" si="451"/>
        <v>实用新型</v>
      </c>
      <c r="D914" s="1" t="str">
        <f t="shared" si="452"/>
        <v>授权</v>
      </c>
      <c r="E914" s="1" t="str">
        <f>"CN202320964531.7"</f>
        <v>CN202320964531.7</v>
      </c>
      <c r="F914" s="1" t="str">
        <f>"2023-04-25"</f>
        <v>2023-04-25</v>
      </c>
      <c r="G914" s="1" t="str">
        <f>"CN220408956U"</f>
        <v>CN220408956U</v>
      </c>
      <c r="H914" s="1" t="str">
        <f t="shared" si="453"/>
        <v>2024-01-30</v>
      </c>
      <c r="I914" s="1" t="s">
        <v>4940</v>
      </c>
      <c r="J914" s="1" t="str">
        <f t="shared" si="450"/>
        <v>天津恒福赛汽车部件有限公司</v>
      </c>
    </row>
    <row r="915" spans="1:10">
      <c r="A915" s="1" t="str">
        <f t="shared" si="448"/>
        <v>天津恒福赛汽车部件有限公司</v>
      </c>
      <c r="B915" s="1" t="str">
        <f>"一种汽车内饰件圆孔自动包覆装置"</f>
        <v>一种汽车内饰件圆孔自动包覆装置</v>
      </c>
      <c r="C915" s="1" t="str">
        <f t="shared" si="451"/>
        <v>实用新型</v>
      </c>
      <c r="D915" s="1" t="str">
        <f t="shared" si="452"/>
        <v>授权</v>
      </c>
      <c r="E915" s="1" t="str">
        <f>"CN202320950498.2"</f>
        <v>CN202320950498.2</v>
      </c>
      <c r="F915" s="1" t="str">
        <f>"2023-04-25"</f>
        <v>2023-04-25</v>
      </c>
      <c r="G915" s="1" t="str">
        <f>"CN220409691U"</f>
        <v>CN220409691U</v>
      </c>
      <c r="H915" s="1" t="str">
        <f t="shared" si="453"/>
        <v>2024-01-30</v>
      </c>
      <c r="I915" s="1" t="s">
        <v>4941</v>
      </c>
      <c r="J915" s="1" t="str">
        <f t="shared" si="450"/>
        <v>天津恒福赛汽车部件有限公司</v>
      </c>
    </row>
    <row r="916" spans="1:10">
      <c r="A916" s="1" t="str">
        <f t="shared" si="448"/>
        <v>天津恒福赛汽车部件有限公司</v>
      </c>
      <c r="B916" s="1" t="str">
        <f>"一种汽车换挡面板用裁切装置"</f>
        <v>一种汽车换挡面板用裁切装置</v>
      </c>
      <c r="C916" s="1" t="str">
        <f t="shared" si="451"/>
        <v>实用新型</v>
      </c>
      <c r="D916" s="1" t="str">
        <f t="shared" si="452"/>
        <v>授权</v>
      </c>
      <c r="E916" s="1" t="str">
        <f>"CN202320810982.5"</f>
        <v>CN202320810982.5</v>
      </c>
      <c r="F916" s="1" t="str">
        <f>"2023-04-13"</f>
        <v>2023-04-13</v>
      </c>
      <c r="G916" s="1" t="str">
        <f>"CN220178416U"</f>
        <v>CN220178416U</v>
      </c>
      <c r="H916" s="1" t="str">
        <f>"2023-12-15"</f>
        <v>2023-12-15</v>
      </c>
      <c r="I916" s="1" t="s">
        <v>4942</v>
      </c>
      <c r="J916" s="1" t="str">
        <f t="shared" si="450"/>
        <v>天津恒福赛汽车部件有限公司</v>
      </c>
    </row>
    <row r="917" spans="1:10">
      <c r="A917" s="1" t="str">
        <f t="shared" si="448"/>
        <v>天津恒福赛汽车部件有限公司</v>
      </c>
      <c r="B917" s="1" t="str">
        <f>"一种轻量化汽车换挡面板的一体成型设备"</f>
        <v>一种轻量化汽车换挡面板的一体成型设备</v>
      </c>
      <c r="C917" s="1" t="str">
        <f t="shared" si="451"/>
        <v>实用新型</v>
      </c>
      <c r="D917" s="1" t="str">
        <f t="shared" si="452"/>
        <v>授权</v>
      </c>
      <c r="E917" s="1" t="str">
        <f>"CN202320315029.3"</f>
        <v>CN202320315029.3</v>
      </c>
      <c r="F917" s="1" t="str">
        <f>"2023-02-24"</f>
        <v>2023-02-24</v>
      </c>
      <c r="G917" s="1" t="str">
        <f>"CN219634339U"</f>
        <v>CN219634339U</v>
      </c>
      <c r="H917" s="1" t="str">
        <f>"2023-09-05"</f>
        <v>2023-09-05</v>
      </c>
      <c r="I917" s="1" t="s">
        <v>4943</v>
      </c>
      <c r="J917" s="1" t="str">
        <f t="shared" si="450"/>
        <v>天津恒福赛汽车部件有限公司</v>
      </c>
    </row>
    <row r="918" spans="1:10">
      <c r="A918" s="1" t="str">
        <f t="shared" si="448"/>
        <v>天津恒福赛汽车部件有限公司</v>
      </c>
      <c r="B918" s="1" t="str">
        <f>"一种汽车杯托加工用运料装置"</f>
        <v>一种汽车杯托加工用运料装置</v>
      </c>
      <c r="C918" s="1" t="str">
        <f t="shared" si="451"/>
        <v>实用新型</v>
      </c>
      <c r="D918" s="1" t="str">
        <f t="shared" si="452"/>
        <v>授权</v>
      </c>
      <c r="E918" s="1" t="str">
        <f>"CN202320305105.2"</f>
        <v>CN202320305105.2</v>
      </c>
      <c r="F918" s="1" t="str">
        <f>"2023-02-24"</f>
        <v>2023-02-24</v>
      </c>
      <c r="G918" s="1" t="str">
        <f>"CN219602579U"</f>
        <v>CN219602579U</v>
      </c>
      <c r="H918" s="1" t="str">
        <f>"2023-08-29"</f>
        <v>2023-08-29</v>
      </c>
      <c r="I918" s="1" t="s">
        <v>4944</v>
      </c>
      <c r="J918" s="1" t="str">
        <f t="shared" si="450"/>
        <v>天津恒福赛汽车部件有限公司</v>
      </c>
    </row>
    <row r="919" spans="1:10">
      <c r="A919" s="1" t="str">
        <f t="shared" si="448"/>
        <v>天津恒福赛汽车部件有限公司</v>
      </c>
      <c r="B919" s="1" t="str">
        <f>"一种汽车后背门内饰件防撕裂的热压模具"</f>
        <v>一种汽车后背门内饰件防撕裂的热压模具</v>
      </c>
      <c r="C919" s="1" t="str">
        <f t="shared" si="451"/>
        <v>实用新型</v>
      </c>
      <c r="D919" s="1" t="str">
        <f t="shared" si="452"/>
        <v>授权</v>
      </c>
      <c r="E919" s="1" t="str">
        <f>"CN202320321709.6"</f>
        <v>CN202320321709.6</v>
      </c>
      <c r="F919" s="1" t="str">
        <f>"2023-02-27"</f>
        <v>2023-02-27</v>
      </c>
      <c r="G919" s="1" t="str">
        <f>"CN219466979U"</f>
        <v>CN219466979U</v>
      </c>
      <c r="H919" s="1" t="str">
        <f>"2023-08-04"</f>
        <v>2023-08-04</v>
      </c>
      <c r="I919" s="1" t="s">
        <v>4945</v>
      </c>
      <c r="J919" s="1" t="str">
        <f t="shared" si="450"/>
        <v>天津恒福赛汽车部件有限公司</v>
      </c>
    </row>
    <row r="920" spans="1:10">
      <c r="A920" s="1" t="str">
        <f t="shared" ref="A920:A931" si="454">"天津杰作实业有限公司"</f>
        <v>天津杰作实业有限公司</v>
      </c>
      <c r="B920" s="1" t="str">
        <f>"一种汽车空气过滤装置"</f>
        <v>一种汽车空气过滤装置</v>
      </c>
      <c r="C920" s="1" t="str">
        <f t="shared" si="451"/>
        <v>实用新型</v>
      </c>
      <c r="D920" s="1" t="str">
        <f t="shared" si="452"/>
        <v>授权</v>
      </c>
      <c r="E920" s="1" t="str">
        <f>"CN202420276426.9"</f>
        <v>CN202420276426.9</v>
      </c>
      <c r="F920" s="1" t="str">
        <f>"2024-02-05"</f>
        <v>2024-02-05</v>
      </c>
      <c r="G920" s="1" t="str">
        <f>"CN221392965U"</f>
        <v>CN221392965U</v>
      </c>
      <c r="H920" s="1" t="str">
        <f>"2024-07-23"</f>
        <v>2024-07-23</v>
      </c>
      <c r="I920" s="1" t="str">
        <f t="shared" ref="I920:I925" si="455">"何威"</f>
        <v>何威</v>
      </c>
      <c r="J920" s="1" t="str">
        <f t="shared" ref="J920:J931" si="456">"天津杰作实业有限公司"</f>
        <v>天津杰作实业有限公司</v>
      </c>
    </row>
    <row r="921" spans="1:10">
      <c r="A921" s="1" t="str">
        <f t="shared" si="454"/>
        <v>天津杰作实业有限公司</v>
      </c>
      <c r="B921" s="1" t="str">
        <f>"一种用于座椅通风口的风量调节阀"</f>
        <v>一种用于座椅通风口的风量调节阀</v>
      </c>
      <c r="C921" s="1" t="str">
        <f t="shared" si="451"/>
        <v>实用新型</v>
      </c>
      <c r="D921" s="1" t="str">
        <f t="shared" si="452"/>
        <v>授权</v>
      </c>
      <c r="E921" s="1" t="str">
        <f>"CN202322892884.3"</f>
        <v>CN202322892884.3</v>
      </c>
      <c r="F921" s="1" t="str">
        <f>"2023-10-27"</f>
        <v>2023-10-27</v>
      </c>
      <c r="G921" s="1" t="str">
        <f>"CN220980342U"</f>
        <v>CN220980342U</v>
      </c>
      <c r="H921" s="1" t="str">
        <f>"2024-05-17"</f>
        <v>2024-05-17</v>
      </c>
      <c r="I921" s="1" t="str">
        <f>"杨智杰"</f>
        <v>杨智杰</v>
      </c>
      <c r="J921" s="1" t="str">
        <f t="shared" si="456"/>
        <v>天津杰作实业有限公司</v>
      </c>
    </row>
    <row r="922" spans="1:10">
      <c r="A922" s="1" t="str">
        <f t="shared" si="454"/>
        <v>天津杰作实业有限公司</v>
      </c>
      <c r="B922" s="1" t="str">
        <f>"一种便于拆卸的pm2.5空调滤芯"</f>
        <v>一种便于拆卸的pm2.5空调滤芯</v>
      </c>
      <c r="C922" s="1" t="str">
        <f t="shared" si="451"/>
        <v>实用新型</v>
      </c>
      <c r="D922" s="1" t="str">
        <f t="shared" si="452"/>
        <v>授权</v>
      </c>
      <c r="E922" s="1" t="str">
        <f>"CN202322682457.2"</f>
        <v>CN202322682457.2</v>
      </c>
      <c r="F922" s="1" t="str">
        <f>"2023-10-08"</f>
        <v>2023-10-08</v>
      </c>
      <c r="G922" s="1" t="str">
        <f>"CN220871078U"</f>
        <v>CN220871078U</v>
      </c>
      <c r="H922" s="1" t="str">
        <f>"2024-04-30"</f>
        <v>2024-04-30</v>
      </c>
      <c r="I922" s="1" t="str">
        <f t="shared" si="455"/>
        <v>何威</v>
      </c>
      <c r="J922" s="1" t="str">
        <f t="shared" si="456"/>
        <v>天津杰作实业有限公司</v>
      </c>
    </row>
    <row r="923" spans="1:10">
      <c r="A923" s="1" t="str">
        <f t="shared" si="454"/>
        <v>天津杰作实业有限公司</v>
      </c>
      <c r="B923" s="1" t="str">
        <f>"一种电动座椅升降调节机构"</f>
        <v>一种电动座椅升降调节机构</v>
      </c>
      <c r="C923" s="1" t="str">
        <f t="shared" si="451"/>
        <v>实用新型</v>
      </c>
      <c r="D923" s="1" t="str">
        <f t="shared" si="452"/>
        <v>授权</v>
      </c>
      <c r="E923" s="1" t="str">
        <f>"CN202322757597.1"</f>
        <v>CN202322757597.1</v>
      </c>
      <c r="F923" s="1" t="str">
        <f>"2023-10-13"</f>
        <v>2023-10-13</v>
      </c>
      <c r="G923" s="1" t="str">
        <f>"CN220785524U"</f>
        <v>CN220785524U</v>
      </c>
      <c r="H923" s="1" t="str">
        <f>"2024-04-16"</f>
        <v>2024-04-16</v>
      </c>
      <c r="I923" s="1" t="str">
        <f t="shared" si="455"/>
        <v>何威</v>
      </c>
      <c r="J923" s="1" t="str">
        <f t="shared" si="456"/>
        <v>天津杰作实业有限公司</v>
      </c>
    </row>
    <row r="924" spans="1:10">
      <c r="A924" s="1" t="str">
        <f t="shared" si="454"/>
        <v>天津杰作实业有限公司</v>
      </c>
      <c r="B924" s="1" t="str">
        <f>"一种新型座椅通风装置"</f>
        <v>一种新型座椅通风装置</v>
      </c>
      <c r="C924" s="1" t="str">
        <f t="shared" si="451"/>
        <v>实用新型</v>
      </c>
      <c r="D924" s="1" t="str">
        <f t="shared" si="452"/>
        <v>授权</v>
      </c>
      <c r="E924" s="1" t="str">
        <f>"CN202223199466.8"</f>
        <v>CN202223199466.8</v>
      </c>
      <c r="F924" s="1" t="str">
        <f>"2022-11-30"</f>
        <v>2022-11-30</v>
      </c>
      <c r="G924" s="1" t="str">
        <f>"CN218651064U"</f>
        <v>CN218651064U</v>
      </c>
      <c r="H924" s="1" t="str">
        <f>"2023-03-21"</f>
        <v>2023-03-21</v>
      </c>
      <c r="I924" s="1" t="str">
        <f t="shared" si="455"/>
        <v>何威</v>
      </c>
      <c r="J924" s="1" t="str">
        <f t="shared" si="456"/>
        <v>天津杰作实业有限公司</v>
      </c>
    </row>
    <row r="925" spans="1:10">
      <c r="A925" s="1" t="str">
        <f t="shared" si="454"/>
        <v>天津杰作实业有限公司</v>
      </c>
      <c r="B925" s="1" t="str">
        <f>"新型座椅加热装置"</f>
        <v>新型座椅加热装置</v>
      </c>
      <c r="C925" s="1" t="str">
        <f t="shared" si="451"/>
        <v>实用新型</v>
      </c>
      <c r="D925" s="1" t="str">
        <f t="shared" si="452"/>
        <v>授权</v>
      </c>
      <c r="E925" s="1" t="str">
        <f>"CN202223245600.3"</f>
        <v>CN202223245600.3</v>
      </c>
      <c r="F925" s="1" t="str">
        <f>"2022-12-05"</f>
        <v>2022-12-05</v>
      </c>
      <c r="G925" s="1" t="str">
        <f>"CN218616368U"</f>
        <v>CN218616368U</v>
      </c>
      <c r="H925" s="1" t="str">
        <f>"2023-03-14"</f>
        <v>2023-03-14</v>
      </c>
      <c r="I925" s="1" t="str">
        <f t="shared" si="455"/>
        <v>何威</v>
      </c>
      <c r="J925" s="1" t="str">
        <f t="shared" si="456"/>
        <v>天津杰作实业有限公司</v>
      </c>
    </row>
    <row r="926" spans="1:10">
      <c r="A926" s="1" t="str">
        <f t="shared" si="454"/>
        <v>天津杰作实业有限公司</v>
      </c>
      <c r="B926" s="1" t="str">
        <f>"一种车载加热座椅"</f>
        <v>一种车载加热座椅</v>
      </c>
      <c r="C926" s="1" t="str">
        <f t="shared" si="451"/>
        <v>实用新型</v>
      </c>
      <c r="D926" s="1" t="str">
        <f t="shared" si="452"/>
        <v>授权</v>
      </c>
      <c r="E926" s="1" t="str">
        <f>"CN202021515367.4"</f>
        <v>CN202021515367.4</v>
      </c>
      <c r="F926" s="1" t="str">
        <f>"2020-07-28"</f>
        <v>2020-07-28</v>
      </c>
      <c r="G926" s="1" t="str">
        <f>"CN213262069U"</f>
        <v>CN213262069U</v>
      </c>
      <c r="H926" s="1" t="str">
        <f>"2021-05-25"</f>
        <v>2021-05-25</v>
      </c>
      <c r="I926" s="1" t="str">
        <f>"古龙"</f>
        <v>古龙</v>
      </c>
      <c r="J926" s="1" t="str">
        <f t="shared" si="456"/>
        <v>天津杰作实业有限公司</v>
      </c>
    </row>
    <row r="927" spans="1:10">
      <c r="A927" s="1" t="str">
        <f t="shared" si="454"/>
        <v>天津杰作实业有限公司</v>
      </c>
      <c r="B927" s="1" t="str">
        <f>"一种防雾化夜视车载摄像头"</f>
        <v>一种防雾化夜视车载摄像头</v>
      </c>
      <c r="C927" s="1" t="str">
        <f t="shared" si="451"/>
        <v>实用新型</v>
      </c>
      <c r="D927" s="1" t="str">
        <f t="shared" ref="D927:D929" si="457">"未缴年费专利权终止"</f>
        <v>未缴年费专利权终止</v>
      </c>
      <c r="E927" s="1" t="str">
        <f>"CN202021878346.9"</f>
        <v>CN202021878346.9</v>
      </c>
      <c r="F927" s="1" t="str">
        <f>"2020-09-01"</f>
        <v>2020-09-01</v>
      </c>
      <c r="G927" s="1" t="str">
        <f>"CN213126160U"</f>
        <v>CN213126160U</v>
      </c>
      <c r="H927" s="1" t="str">
        <f>"2021-05-04"</f>
        <v>2021-05-04</v>
      </c>
      <c r="I927" s="1" t="str">
        <f>"岩兴底"</f>
        <v>岩兴底</v>
      </c>
      <c r="J927" s="1" t="str">
        <f t="shared" si="456"/>
        <v>天津杰作实业有限公司</v>
      </c>
    </row>
    <row r="928" spans="1:10">
      <c r="A928" s="1" t="str">
        <f t="shared" si="454"/>
        <v>天津杰作实业有限公司</v>
      </c>
      <c r="B928" s="1" t="str">
        <f>"一种汽车用中控面板"</f>
        <v>一种汽车用中控面板</v>
      </c>
      <c r="C928" s="1" t="str">
        <f t="shared" si="451"/>
        <v>实用新型</v>
      </c>
      <c r="D928" s="1" t="str">
        <f t="shared" si="457"/>
        <v>未缴年费专利权终止</v>
      </c>
      <c r="E928" s="1" t="str">
        <f>"CN202021823970.9"</f>
        <v>CN202021823970.9</v>
      </c>
      <c r="F928" s="1" t="str">
        <f>"2020-08-27"</f>
        <v>2020-08-27</v>
      </c>
      <c r="G928" s="1" t="str">
        <f>"CN213056710U"</f>
        <v>CN213056710U</v>
      </c>
      <c r="H928" s="1" t="str">
        <f>"2021-04-27"</f>
        <v>2021-04-27</v>
      </c>
      <c r="I928" s="1" t="str">
        <f>"师文雅"</f>
        <v>师文雅</v>
      </c>
      <c r="J928" s="1" t="str">
        <f t="shared" si="456"/>
        <v>天津杰作实业有限公司</v>
      </c>
    </row>
    <row r="929" spans="1:10">
      <c r="A929" s="1" t="str">
        <f t="shared" si="454"/>
        <v>天津杰作实业有限公司</v>
      </c>
      <c r="B929" s="1" t="str">
        <f>"一种5G行车记录仪"</f>
        <v>一种5G行车记录仪</v>
      </c>
      <c r="C929" s="1" t="str">
        <f t="shared" si="451"/>
        <v>实用新型</v>
      </c>
      <c r="D929" s="1" t="str">
        <f t="shared" si="457"/>
        <v>未缴年费专利权终止</v>
      </c>
      <c r="E929" s="1" t="str">
        <f>"CN202020968915.2"</f>
        <v>CN202020968915.2</v>
      </c>
      <c r="F929" s="1" t="str">
        <f>"2020-06-01"</f>
        <v>2020-06-01</v>
      </c>
      <c r="G929" s="1" t="str">
        <f>"CN213069917U"</f>
        <v>CN213069917U</v>
      </c>
      <c r="H929" s="1" t="str">
        <f>"2021-04-27"</f>
        <v>2021-04-27</v>
      </c>
      <c r="I929" s="1" t="str">
        <f>"郭彩玲"</f>
        <v>郭彩玲</v>
      </c>
      <c r="J929" s="1" t="str">
        <f t="shared" si="456"/>
        <v>天津杰作实业有限公司</v>
      </c>
    </row>
    <row r="930" spans="1:10">
      <c r="A930" s="1" t="str">
        <f t="shared" si="454"/>
        <v>天津杰作实业有限公司</v>
      </c>
      <c r="B930" s="1" t="str">
        <f>"一种多媒体信息传递到车载主机的方法"</f>
        <v>一种多媒体信息传递到车载主机的方法</v>
      </c>
      <c r="C930" s="1" t="str">
        <f>"发明公布"</f>
        <v>发明公布</v>
      </c>
      <c r="D930" s="1" t="str">
        <f>"公布驳回"</f>
        <v>公布驳回</v>
      </c>
      <c r="E930" s="1" t="str">
        <f>"CN201810616710.5"</f>
        <v>CN201810616710.5</v>
      </c>
      <c r="F930" s="1" t="str">
        <f>"2018-06-15"</f>
        <v>2018-06-15</v>
      </c>
      <c r="G930" s="1" t="str">
        <f>"CN110611686A"</f>
        <v>CN110611686A</v>
      </c>
      <c r="H930" s="1" t="str">
        <f>"2019-12-24"</f>
        <v>2019-12-24</v>
      </c>
      <c r="I930" s="1" t="str">
        <f>"杨智杰"</f>
        <v>杨智杰</v>
      </c>
      <c r="J930" s="1" t="str">
        <f t="shared" si="456"/>
        <v>天津杰作实业有限公司</v>
      </c>
    </row>
    <row r="931" spans="1:10">
      <c r="A931" s="1" t="str">
        <f t="shared" si="454"/>
        <v>天津杰作实业有限公司</v>
      </c>
      <c r="B931" s="1" t="str">
        <f>"一种汽车集成化信息处理系统"</f>
        <v>一种汽车集成化信息处理系统</v>
      </c>
      <c r="C931" s="1" t="str">
        <f t="shared" ref="C931:C935" si="458">"实用新型"</f>
        <v>实用新型</v>
      </c>
      <c r="D931" s="1" t="str">
        <f t="shared" ref="D931:D935" si="459">"未缴年费专利权终止"</f>
        <v>未缴年费专利权终止</v>
      </c>
      <c r="E931" s="1" t="str">
        <f>"CN201620983761.8"</f>
        <v>CN201620983761.8</v>
      </c>
      <c r="F931" s="1" t="str">
        <f>"2016-08-26"</f>
        <v>2016-08-26</v>
      </c>
      <c r="G931" s="1" t="str">
        <f>"CN206510860U"</f>
        <v>CN206510860U</v>
      </c>
      <c r="H931" s="1" t="str">
        <f>"2017-09-22"</f>
        <v>2017-09-22</v>
      </c>
      <c r="I931" s="1" t="str">
        <f>"王冕"</f>
        <v>王冕</v>
      </c>
      <c r="J931" s="1" t="str">
        <f t="shared" si="456"/>
        <v>天津杰作实业有限公司</v>
      </c>
    </row>
    <row r="932" spans="1:10">
      <c r="A932" s="1" t="str">
        <f t="shared" ref="A932:A971" si="460">"天津远达滤清器股份有限公司"</f>
        <v>天津远达滤清器股份有限公司</v>
      </c>
      <c r="B932" s="1" t="str">
        <f>"一种汽车空调滤清器"</f>
        <v>一种汽车空调滤清器</v>
      </c>
      <c r="C932" s="1" t="str">
        <f t="shared" si="458"/>
        <v>实用新型</v>
      </c>
      <c r="D932" s="1" t="str">
        <f t="shared" si="459"/>
        <v>未缴年费专利权终止</v>
      </c>
      <c r="E932" s="1" t="str">
        <f>"CN201821529072.5"</f>
        <v>CN201821529072.5</v>
      </c>
      <c r="F932" s="1" t="str">
        <f t="shared" ref="F932:F942" si="461">"2018-09-19"</f>
        <v>2018-09-19</v>
      </c>
      <c r="G932" s="1" t="str">
        <f>"CN209020074U"</f>
        <v>CN209020074U</v>
      </c>
      <c r="H932" s="1" t="str">
        <f t="shared" ref="H932:H935" si="462">"2019-06-25"</f>
        <v>2019-06-25</v>
      </c>
      <c r="I932" s="1" t="str">
        <f t="shared" ref="I932:I971" si="463">"许远达"</f>
        <v>许远达</v>
      </c>
      <c r="J932" s="1" t="str">
        <f t="shared" ref="J932:J969" si="464">"天津远达滤清器股份有限公司"</f>
        <v>天津远达滤清器股份有限公司</v>
      </c>
    </row>
    <row r="933" spans="1:10">
      <c r="A933" s="1" t="str">
        <f t="shared" si="460"/>
        <v>天津远达滤清器股份有限公司</v>
      </c>
      <c r="B933" s="1" t="str">
        <f>"一种可更换滤芯的汽车滤清器"</f>
        <v>一种可更换滤芯的汽车滤清器</v>
      </c>
      <c r="C933" s="1" t="str">
        <f t="shared" si="458"/>
        <v>实用新型</v>
      </c>
      <c r="D933" s="1" t="str">
        <f t="shared" si="459"/>
        <v>未缴年费专利权终止</v>
      </c>
      <c r="E933" s="1" t="str">
        <f>"CN201821529116.4"</f>
        <v>CN201821529116.4</v>
      </c>
      <c r="F933" s="1" t="str">
        <f t="shared" si="461"/>
        <v>2018-09-19</v>
      </c>
      <c r="G933" s="1" t="str">
        <f>"CN209020075U"</f>
        <v>CN209020075U</v>
      </c>
      <c r="H933" s="1" t="str">
        <f t="shared" si="462"/>
        <v>2019-06-25</v>
      </c>
      <c r="I933" s="1" t="str">
        <f t="shared" si="463"/>
        <v>许远达</v>
      </c>
      <c r="J933" s="1" t="str">
        <f t="shared" si="464"/>
        <v>天津远达滤清器股份有限公司</v>
      </c>
    </row>
    <row r="934" spans="1:10">
      <c r="A934" s="1" t="str">
        <f t="shared" si="460"/>
        <v>天津远达滤清器股份有限公司</v>
      </c>
      <c r="B934" s="1" t="str">
        <f>"一种防杂质堆积的汽车滤清器"</f>
        <v>一种防杂质堆积的汽车滤清器</v>
      </c>
      <c r="C934" s="1" t="str">
        <f t="shared" si="458"/>
        <v>实用新型</v>
      </c>
      <c r="D934" s="1" t="str">
        <f t="shared" si="459"/>
        <v>未缴年费专利权终止</v>
      </c>
      <c r="E934" s="1" t="str">
        <f>"CN201821529566.3"</f>
        <v>CN201821529566.3</v>
      </c>
      <c r="F934" s="1" t="str">
        <f t="shared" si="461"/>
        <v>2018-09-19</v>
      </c>
      <c r="G934" s="1" t="str">
        <f>"CN209025778U"</f>
        <v>CN209025778U</v>
      </c>
      <c r="H934" s="1" t="str">
        <f t="shared" si="462"/>
        <v>2019-06-25</v>
      </c>
      <c r="I934" s="1" t="str">
        <f t="shared" si="463"/>
        <v>许远达</v>
      </c>
      <c r="J934" s="1" t="str">
        <f t="shared" si="464"/>
        <v>天津远达滤清器股份有限公司</v>
      </c>
    </row>
    <row r="935" spans="1:10">
      <c r="A935" s="1" t="str">
        <f t="shared" si="460"/>
        <v>天津远达滤清器股份有限公司</v>
      </c>
      <c r="B935" s="1" t="str">
        <f>"一种汽车滤清器的除尘装置"</f>
        <v>一种汽车滤清器的除尘装置</v>
      </c>
      <c r="C935" s="1" t="str">
        <f t="shared" si="458"/>
        <v>实用新型</v>
      </c>
      <c r="D935" s="1" t="str">
        <f t="shared" si="459"/>
        <v>未缴年费专利权终止</v>
      </c>
      <c r="E935" s="1" t="str">
        <f>"CN201821529079.7"</f>
        <v>CN201821529079.7</v>
      </c>
      <c r="F935" s="1" t="str">
        <f t="shared" si="461"/>
        <v>2018-09-19</v>
      </c>
      <c r="G935" s="1" t="str">
        <f>"CN209020057U"</f>
        <v>CN209020057U</v>
      </c>
      <c r="H935" s="1" t="str">
        <f t="shared" si="462"/>
        <v>2019-06-25</v>
      </c>
      <c r="I935" s="1" t="str">
        <f t="shared" si="463"/>
        <v>许远达</v>
      </c>
      <c r="J935" s="1" t="str">
        <f t="shared" si="464"/>
        <v>天津远达滤清器股份有限公司</v>
      </c>
    </row>
    <row r="936" spans="1:10">
      <c r="A936" s="1" t="str">
        <f t="shared" si="460"/>
        <v>天津远达滤清器股份有限公司</v>
      </c>
      <c r="B936" s="1" t="str">
        <f>"一种新型汽车滤清器"</f>
        <v>一种新型汽车滤清器</v>
      </c>
      <c r="C936" s="1" t="str">
        <f t="shared" ref="C936:C942" si="465">"发明公布"</f>
        <v>发明公布</v>
      </c>
      <c r="D936" s="1" t="str">
        <f t="shared" ref="D936:D942" si="466">"公布驳回"</f>
        <v>公布驳回</v>
      </c>
      <c r="E936" s="1" t="str">
        <f>"CN201811091788.6"</f>
        <v>CN201811091788.6</v>
      </c>
      <c r="F936" s="1" t="str">
        <f t="shared" si="461"/>
        <v>2018-09-19</v>
      </c>
      <c r="G936" s="1" t="str">
        <f>"CN109236520A"</f>
        <v>CN109236520A</v>
      </c>
      <c r="H936" s="1" t="str">
        <f>"2019-01-18"</f>
        <v>2019-01-18</v>
      </c>
      <c r="I936" s="1" t="str">
        <f t="shared" si="463"/>
        <v>许远达</v>
      </c>
      <c r="J936" s="1" t="str">
        <f t="shared" si="464"/>
        <v>天津远达滤清器股份有限公司</v>
      </c>
    </row>
    <row r="937" spans="1:10">
      <c r="A937" s="1" t="str">
        <f t="shared" si="460"/>
        <v>天津远达滤清器股份有限公司</v>
      </c>
      <c r="B937" s="1" t="str">
        <f>"新型汽车空调滤清器"</f>
        <v>新型汽车空调滤清器</v>
      </c>
      <c r="C937" s="1" t="str">
        <f t="shared" si="465"/>
        <v>发明公布</v>
      </c>
      <c r="D937" s="1" t="str">
        <f t="shared" si="466"/>
        <v>公布驳回</v>
      </c>
      <c r="E937" s="1" t="str">
        <f>"CN201811091777.8"</f>
        <v>CN201811091777.8</v>
      </c>
      <c r="F937" s="1" t="str">
        <f t="shared" si="461"/>
        <v>2018-09-19</v>
      </c>
      <c r="G937" s="1" t="str">
        <f>"CN109203927A"</f>
        <v>CN109203927A</v>
      </c>
      <c r="H937" s="1" t="str">
        <f>"2019-01-15"</f>
        <v>2019-01-15</v>
      </c>
      <c r="I937" s="1" t="str">
        <f t="shared" si="463"/>
        <v>许远达</v>
      </c>
      <c r="J937" s="1" t="str">
        <f t="shared" si="464"/>
        <v>天津远达滤清器股份有限公司</v>
      </c>
    </row>
    <row r="938" spans="1:10">
      <c r="A938" s="1" t="str">
        <f t="shared" si="460"/>
        <v>天津远达滤清器股份有限公司</v>
      </c>
      <c r="B938" s="1" t="str">
        <f>"一种新型可更换滤芯的汽车滤清器"</f>
        <v>一种新型可更换滤芯的汽车滤清器</v>
      </c>
      <c r="C938" s="1" t="str">
        <f t="shared" si="465"/>
        <v>发明公布</v>
      </c>
      <c r="D938" s="1" t="str">
        <f t="shared" si="466"/>
        <v>公布驳回</v>
      </c>
      <c r="E938" s="1" t="str">
        <f>"CN201811092039.5"</f>
        <v>CN201811092039.5</v>
      </c>
      <c r="F938" s="1" t="str">
        <f t="shared" si="461"/>
        <v>2018-09-19</v>
      </c>
      <c r="G938" s="1" t="str">
        <f>"CN109045858A"</f>
        <v>CN109045858A</v>
      </c>
      <c r="H938" s="1" t="str">
        <f>"2018-12-21"</f>
        <v>2018-12-21</v>
      </c>
      <c r="I938" s="1" t="str">
        <f t="shared" si="463"/>
        <v>许远达</v>
      </c>
      <c r="J938" s="1" t="str">
        <f t="shared" si="464"/>
        <v>天津远达滤清器股份有限公司</v>
      </c>
    </row>
    <row r="939" spans="1:10">
      <c r="A939" s="1" t="str">
        <f t="shared" si="460"/>
        <v>天津远达滤清器股份有限公司</v>
      </c>
      <c r="B939" s="1" t="str">
        <f>"一种新型汽车空调滤清器"</f>
        <v>一种新型汽车空调滤清器</v>
      </c>
      <c r="C939" s="1" t="str">
        <f t="shared" si="465"/>
        <v>发明公布</v>
      </c>
      <c r="D939" s="1" t="str">
        <f t="shared" si="466"/>
        <v>公布驳回</v>
      </c>
      <c r="E939" s="1" t="str">
        <f>"CN201811091776.3"</f>
        <v>CN201811091776.3</v>
      </c>
      <c r="F939" s="1" t="str">
        <f t="shared" si="461"/>
        <v>2018-09-19</v>
      </c>
      <c r="G939" s="1" t="str">
        <f>"CN108939719A"</f>
        <v>CN108939719A</v>
      </c>
      <c r="H939" s="1" t="str">
        <f t="shared" ref="H939:H941" si="467">"2018-12-07"</f>
        <v>2018-12-07</v>
      </c>
      <c r="I939" s="1" t="str">
        <f t="shared" si="463"/>
        <v>许远达</v>
      </c>
      <c r="J939" s="1" t="str">
        <f t="shared" si="464"/>
        <v>天津远达滤清器股份有限公司</v>
      </c>
    </row>
    <row r="940" spans="1:10">
      <c r="A940" s="1" t="str">
        <f t="shared" si="460"/>
        <v>天津远达滤清器股份有限公司</v>
      </c>
      <c r="B940" s="1" t="str">
        <f>"一种新型汽车滤清器的除尘装置"</f>
        <v>一种新型汽车滤清器的除尘装置</v>
      </c>
      <c r="C940" s="1" t="str">
        <f t="shared" si="465"/>
        <v>发明公布</v>
      </c>
      <c r="D940" s="1" t="str">
        <f t="shared" si="466"/>
        <v>公布驳回</v>
      </c>
      <c r="E940" s="1" t="str">
        <f>"CN201811091789.0"</f>
        <v>CN201811091789.0</v>
      </c>
      <c r="F940" s="1" t="str">
        <f t="shared" si="461"/>
        <v>2018-09-19</v>
      </c>
      <c r="G940" s="1" t="str">
        <f>"CN108939699A"</f>
        <v>CN108939699A</v>
      </c>
      <c r="H940" s="1" t="str">
        <f t="shared" si="467"/>
        <v>2018-12-07</v>
      </c>
      <c r="I940" s="1" t="str">
        <f t="shared" si="463"/>
        <v>许远达</v>
      </c>
      <c r="J940" s="1" t="str">
        <f t="shared" si="464"/>
        <v>天津远达滤清器股份有限公司</v>
      </c>
    </row>
    <row r="941" spans="1:10">
      <c r="A941" s="1" t="str">
        <f t="shared" si="460"/>
        <v>天津远达滤清器股份有限公司</v>
      </c>
      <c r="B941" s="1" t="str">
        <f>"一种新型防杂质堆积的汽车滤清器"</f>
        <v>一种新型防杂质堆积的汽车滤清器</v>
      </c>
      <c r="C941" s="1" t="str">
        <f t="shared" si="465"/>
        <v>发明公布</v>
      </c>
      <c r="D941" s="1" t="str">
        <f t="shared" si="466"/>
        <v>公布驳回</v>
      </c>
      <c r="E941" s="1" t="str">
        <f>"CN201811091796.0"</f>
        <v>CN201811091796.0</v>
      </c>
      <c r="F941" s="1" t="str">
        <f t="shared" si="461"/>
        <v>2018-09-19</v>
      </c>
      <c r="G941" s="1" t="str">
        <f>"CN108953021A"</f>
        <v>CN108953021A</v>
      </c>
      <c r="H941" s="1" t="str">
        <f t="shared" si="467"/>
        <v>2018-12-07</v>
      </c>
      <c r="I941" s="1" t="str">
        <f t="shared" si="463"/>
        <v>许远达</v>
      </c>
      <c r="J941" s="1" t="str">
        <f t="shared" si="464"/>
        <v>天津远达滤清器股份有限公司</v>
      </c>
    </row>
    <row r="942" spans="1:10">
      <c r="A942" s="1" t="str">
        <f t="shared" si="460"/>
        <v>天津远达滤清器股份有限公司</v>
      </c>
      <c r="B942" s="1" t="str">
        <f>"一种新型汽车滤清器的清洁装置"</f>
        <v>一种新型汽车滤清器的清洁装置</v>
      </c>
      <c r="C942" s="1" t="str">
        <f t="shared" si="465"/>
        <v>发明公布</v>
      </c>
      <c r="D942" s="1" t="str">
        <f t="shared" si="466"/>
        <v>公布驳回</v>
      </c>
      <c r="E942" s="1" t="str">
        <f>"CN201811091973.5"</f>
        <v>CN201811091973.5</v>
      </c>
      <c r="F942" s="1" t="str">
        <f t="shared" si="461"/>
        <v>2018-09-19</v>
      </c>
      <c r="G942" s="1" t="str">
        <f>"CN108905379A"</f>
        <v>CN108905379A</v>
      </c>
      <c r="H942" s="1" t="str">
        <f>"2018-11-30"</f>
        <v>2018-11-30</v>
      </c>
      <c r="I942" s="1" t="str">
        <f t="shared" si="463"/>
        <v>许远达</v>
      </c>
      <c r="J942" s="1" t="str">
        <f t="shared" si="464"/>
        <v>天津远达滤清器股份有限公司</v>
      </c>
    </row>
    <row r="943" spans="1:10">
      <c r="A943" s="1" t="str">
        <f t="shared" si="460"/>
        <v>天津远达滤清器股份有限公司</v>
      </c>
      <c r="B943" s="1" t="str">
        <f>"一种具有折纸定型装置的滤清器生产系统"</f>
        <v>一种具有折纸定型装置的滤清器生产系统</v>
      </c>
      <c r="C943" s="1" t="str">
        <f t="shared" ref="C943:C950" si="468">"实用新型"</f>
        <v>实用新型</v>
      </c>
      <c r="D943" s="1" t="str">
        <f t="shared" ref="D943:D950" si="469">"未缴年费专利权终止"</f>
        <v>未缴年费专利权终止</v>
      </c>
      <c r="E943" s="1" t="str">
        <f>"CN201721416891.4"</f>
        <v>CN201721416891.4</v>
      </c>
      <c r="F943" s="1" t="str">
        <f t="shared" ref="F943:F957" si="470">"2017-10-30"</f>
        <v>2017-10-30</v>
      </c>
      <c r="G943" s="1" t="str">
        <f>"CN207643815U"</f>
        <v>CN207643815U</v>
      </c>
      <c r="H943" s="1" t="str">
        <f t="shared" ref="H943:H949" si="471">"2018-07-24"</f>
        <v>2018-07-24</v>
      </c>
      <c r="I943" s="1" t="str">
        <f t="shared" si="463"/>
        <v>许远达</v>
      </c>
      <c r="J943" s="1" t="str">
        <f t="shared" si="464"/>
        <v>天津远达滤清器股份有限公司</v>
      </c>
    </row>
    <row r="944" spans="1:10">
      <c r="A944" s="1" t="str">
        <f t="shared" si="460"/>
        <v>天津远达滤清器股份有限公司</v>
      </c>
      <c r="B944" s="1" t="str">
        <f>"一种立式空气净化风机"</f>
        <v>一种立式空气净化风机</v>
      </c>
      <c r="C944" s="1" t="str">
        <f t="shared" si="468"/>
        <v>实用新型</v>
      </c>
      <c r="D944" s="1" t="str">
        <f t="shared" si="469"/>
        <v>未缴年费专利权终止</v>
      </c>
      <c r="E944" s="1" t="str">
        <f>"CN201721420734.0"</f>
        <v>CN201721420734.0</v>
      </c>
      <c r="F944" s="1" t="str">
        <f t="shared" si="470"/>
        <v>2017-10-30</v>
      </c>
      <c r="G944" s="1" t="str">
        <f>"CN207648939U"</f>
        <v>CN207648939U</v>
      </c>
      <c r="H944" s="1" t="str">
        <f t="shared" si="471"/>
        <v>2018-07-24</v>
      </c>
      <c r="I944" s="1" t="str">
        <f t="shared" si="463"/>
        <v>许远达</v>
      </c>
      <c r="J944" s="1" t="str">
        <f t="shared" si="464"/>
        <v>天津远达滤清器股份有限公司</v>
      </c>
    </row>
    <row r="945" spans="1:10">
      <c r="A945" s="1" t="str">
        <f t="shared" si="460"/>
        <v>天津远达滤清器股份有限公司</v>
      </c>
      <c r="B945" s="1" t="str">
        <f>"一种管道式空气净化风机"</f>
        <v>一种管道式空气净化风机</v>
      </c>
      <c r="C945" s="1" t="str">
        <f t="shared" si="468"/>
        <v>实用新型</v>
      </c>
      <c r="D945" s="1" t="str">
        <f t="shared" si="469"/>
        <v>未缴年费专利权终止</v>
      </c>
      <c r="E945" s="1" t="str">
        <f>"CN201721422953.2"</f>
        <v>CN201721422953.2</v>
      </c>
      <c r="F945" s="1" t="str">
        <f t="shared" si="470"/>
        <v>2017-10-30</v>
      </c>
      <c r="G945" s="1" t="str">
        <f>"CN207648940U"</f>
        <v>CN207648940U</v>
      </c>
      <c r="H945" s="1" t="str">
        <f t="shared" si="471"/>
        <v>2018-07-24</v>
      </c>
      <c r="I945" s="1" t="str">
        <f t="shared" si="463"/>
        <v>许远达</v>
      </c>
      <c r="J945" s="1" t="str">
        <f t="shared" si="464"/>
        <v>天津远达滤清器股份有限公司</v>
      </c>
    </row>
    <row r="946" spans="1:10">
      <c r="A946" s="1" t="str">
        <f t="shared" si="460"/>
        <v>天津远达滤清器股份有限公司</v>
      </c>
      <c r="B946" s="1" t="str">
        <f>"一种含有折纸装置的滤清器生产系统"</f>
        <v>一种含有折纸装置的滤清器生产系统</v>
      </c>
      <c r="C946" s="1" t="str">
        <f t="shared" si="468"/>
        <v>实用新型</v>
      </c>
      <c r="D946" s="1" t="str">
        <f t="shared" si="469"/>
        <v>未缴年费专利权终止</v>
      </c>
      <c r="E946" s="1" t="str">
        <f>"CN201721429060.0"</f>
        <v>CN201721429060.0</v>
      </c>
      <c r="F946" s="1" t="str">
        <f t="shared" si="470"/>
        <v>2017-10-30</v>
      </c>
      <c r="G946" s="1" t="str">
        <f>"CN207643818U"</f>
        <v>CN207643818U</v>
      </c>
      <c r="H946" s="1" t="str">
        <f t="shared" si="471"/>
        <v>2018-07-24</v>
      </c>
      <c r="I946" s="1" t="str">
        <f t="shared" si="463"/>
        <v>许远达</v>
      </c>
      <c r="J946" s="1" t="str">
        <f t="shared" si="464"/>
        <v>天津远达滤清器股份有限公司</v>
      </c>
    </row>
    <row r="947" spans="1:10">
      <c r="A947" s="1" t="str">
        <f t="shared" si="460"/>
        <v>天津远达滤清器股份有限公司</v>
      </c>
      <c r="B947" s="1" t="str">
        <f>"一种具有检测修复系统的滤清器生产线"</f>
        <v>一种具有检测修复系统的滤清器生产线</v>
      </c>
      <c r="C947" s="1" t="str">
        <f t="shared" si="468"/>
        <v>实用新型</v>
      </c>
      <c r="D947" s="1" t="str">
        <f t="shared" si="469"/>
        <v>未缴年费专利权终止</v>
      </c>
      <c r="E947" s="1" t="str">
        <f>"CN201721429057.9"</f>
        <v>CN201721429057.9</v>
      </c>
      <c r="F947" s="1" t="str">
        <f t="shared" si="470"/>
        <v>2017-10-30</v>
      </c>
      <c r="G947" s="1" t="str">
        <f>"CN207641180U"</f>
        <v>CN207641180U</v>
      </c>
      <c r="H947" s="1" t="str">
        <f t="shared" si="471"/>
        <v>2018-07-24</v>
      </c>
      <c r="I947" s="1" t="str">
        <f t="shared" si="463"/>
        <v>许远达</v>
      </c>
      <c r="J947" s="1" t="str">
        <f t="shared" si="464"/>
        <v>天津远达滤清器股份有限公司</v>
      </c>
    </row>
    <row r="948" spans="1:10">
      <c r="A948" s="1" t="str">
        <f t="shared" si="460"/>
        <v>天津远达滤清器股份有限公司</v>
      </c>
      <c r="B948" s="1" t="str">
        <f>"一种用于滤清器的生产线"</f>
        <v>一种用于滤清器的生产线</v>
      </c>
      <c r="C948" s="1" t="str">
        <f t="shared" si="468"/>
        <v>实用新型</v>
      </c>
      <c r="D948" s="1" t="str">
        <f t="shared" si="469"/>
        <v>未缴年费专利权终止</v>
      </c>
      <c r="E948" s="1" t="str">
        <f>"CN201721428392.7"</f>
        <v>CN201721428392.7</v>
      </c>
      <c r="F948" s="1" t="str">
        <f t="shared" si="470"/>
        <v>2017-10-30</v>
      </c>
      <c r="G948" s="1" t="str">
        <f>"CN207643816U"</f>
        <v>CN207643816U</v>
      </c>
      <c r="H948" s="1" t="str">
        <f t="shared" si="471"/>
        <v>2018-07-24</v>
      </c>
      <c r="I948" s="1" t="str">
        <f t="shared" si="463"/>
        <v>许远达</v>
      </c>
      <c r="J948" s="1" t="str">
        <f t="shared" si="464"/>
        <v>天津远达滤清器股份有限公司</v>
      </c>
    </row>
    <row r="949" spans="1:10">
      <c r="A949" s="1" t="str">
        <f t="shared" si="460"/>
        <v>天津远达滤清器股份有限公司</v>
      </c>
      <c r="B949" s="1" t="str">
        <f>"一种吊顶式空气净化风机"</f>
        <v>一种吊顶式空气净化风机</v>
      </c>
      <c r="C949" s="1" t="str">
        <f t="shared" si="468"/>
        <v>实用新型</v>
      </c>
      <c r="D949" s="1" t="str">
        <f t="shared" si="469"/>
        <v>未缴年费专利权终止</v>
      </c>
      <c r="E949" s="1" t="str">
        <f>"CN201721414479.9"</f>
        <v>CN201721414479.9</v>
      </c>
      <c r="F949" s="1" t="str">
        <f t="shared" si="470"/>
        <v>2017-10-30</v>
      </c>
      <c r="G949" s="1" t="str">
        <f>"CN207648955U"</f>
        <v>CN207648955U</v>
      </c>
      <c r="H949" s="1" t="str">
        <f t="shared" si="471"/>
        <v>2018-07-24</v>
      </c>
      <c r="I949" s="1" t="str">
        <f t="shared" si="463"/>
        <v>许远达</v>
      </c>
      <c r="J949" s="1" t="str">
        <f t="shared" si="464"/>
        <v>天津远达滤清器股份有限公司</v>
      </c>
    </row>
    <row r="950" spans="1:10">
      <c r="A950" s="1" t="str">
        <f t="shared" si="460"/>
        <v>天津远达滤清器股份有限公司</v>
      </c>
      <c r="B950" s="1" t="str">
        <f>"一种具有检测贴补系统的滤清器生产线"</f>
        <v>一种具有检测贴补系统的滤清器生产线</v>
      </c>
      <c r="C950" s="1" t="str">
        <f t="shared" si="468"/>
        <v>实用新型</v>
      </c>
      <c r="D950" s="1" t="str">
        <f t="shared" si="469"/>
        <v>未缴年费专利权终止</v>
      </c>
      <c r="E950" s="1" t="str">
        <f>"CN201721429246.6"</f>
        <v>CN201721429246.6</v>
      </c>
      <c r="F950" s="1" t="str">
        <f t="shared" si="470"/>
        <v>2017-10-30</v>
      </c>
      <c r="G950" s="1" t="str">
        <f>"CN207628132U"</f>
        <v>CN207628132U</v>
      </c>
      <c r="H950" s="1" t="str">
        <f>"2018-07-20"</f>
        <v>2018-07-20</v>
      </c>
      <c r="I950" s="1" t="str">
        <f t="shared" si="463"/>
        <v>许远达</v>
      </c>
      <c r="J950" s="1" t="str">
        <f t="shared" si="464"/>
        <v>天津远达滤清器股份有限公司</v>
      </c>
    </row>
    <row r="951" spans="1:10">
      <c r="A951" s="1" t="str">
        <f t="shared" si="460"/>
        <v>天津远达滤清器股份有限公司</v>
      </c>
      <c r="B951" s="1" t="str">
        <f>"一种用于滤清器的过滤纸的检测系统"</f>
        <v>一种用于滤清器的过滤纸的检测系统</v>
      </c>
      <c r="C951" s="1" t="str">
        <f t="shared" ref="C951:C957" si="472">"发明公布"</f>
        <v>发明公布</v>
      </c>
      <c r="D951" s="1" t="str">
        <f t="shared" ref="D951:D957" si="473">"公布驳回"</f>
        <v>公布驳回</v>
      </c>
      <c r="E951" s="1" t="str">
        <f>"CN201711052802.7"</f>
        <v>CN201711052802.7</v>
      </c>
      <c r="F951" s="1" t="str">
        <f t="shared" si="470"/>
        <v>2017-10-30</v>
      </c>
      <c r="G951" s="1" t="str">
        <f>"CN107825763A"</f>
        <v>CN107825763A</v>
      </c>
      <c r="H951" s="1" t="str">
        <f>"2018-03-23"</f>
        <v>2018-03-23</v>
      </c>
      <c r="I951" s="1" t="str">
        <f t="shared" si="463"/>
        <v>许远达</v>
      </c>
      <c r="J951" s="1" t="str">
        <f t="shared" si="464"/>
        <v>天津远达滤清器股份有限公司</v>
      </c>
    </row>
    <row r="952" spans="1:10">
      <c r="A952" s="1" t="str">
        <f t="shared" si="460"/>
        <v>天津远达滤清器股份有限公司</v>
      </c>
      <c r="B952" s="1" t="str">
        <f>"一种过滤纸的检测修复系统"</f>
        <v>一种过滤纸的检测修复系统</v>
      </c>
      <c r="C952" s="1" t="str">
        <f t="shared" si="472"/>
        <v>发明公布</v>
      </c>
      <c r="D952" s="1" t="str">
        <f t="shared" si="473"/>
        <v>公布驳回</v>
      </c>
      <c r="E952" s="1" t="str">
        <f>"CN201711052506.7"</f>
        <v>CN201711052506.7</v>
      </c>
      <c r="F952" s="1" t="str">
        <f t="shared" si="470"/>
        <v>2017-10-30</v>
      </c>
      <c r="G952" s="1" t="str">
        <f>"CN107804037A"</f>
        <v>CN107804037A</v>
      </c>
      <c r="H952" s="1" t="str">
        <f>"2018-03-16"</f>
        <v>2018-03-16</v>
      </c>
      <c r="I952" s="1" t="str">
        <f t="shared" si="463"/>
        <v>许远达</v>
      </c>
      <c r="J952" s="1" t="str">
        <f t="shared" si="464"/>
        <v>天津远达滤清器股份有限公司</v>
      </c>
    </row>
    <row r="953" spans="1:10">
      <c r="A953" s="1" t="str">
        <f t="shared" si="460"/>
        <v>天津远达滤清器股份有限公司</v>
      </c>
      <c r="B953" s="1" t="str">
        <f>"一种净化空气装置"</f>
        <v>一种净化空气装置</v>
      </c>
      <c r="C953" s="1" t="str">
        <f t="shared" si="472"/>
        <v>发明公布</v>
      </c>
      <c r="D953" s="1" t="str">
        <f t="shared" si="473"/>
        <v>公布驳回</v>
      </c>
      <c r="E953" s="1" t="str">
        <f>"CN201711052789.5"</f>
        <v>CN201711052789.5</v>
      </c>
      <c r="F953" s="1" t="str">
        <f t="shared" si="470"/>
        <v>2017-10-30</v>
      </c>
      <c r="G953" s="1" t="str">
        <f>"CN107781909A"</f>
        <v>CN107781909A</v>
      </c>
      <c r="H953" s="1" t="str">
        <f>"2018-03-09"</f>
        <v>2018-03-09</v>
      </c>
      <c r="I953" s="1" t="str">
        <f t="shared" si="463"/>
        <v>许远达</v>
      </c>
      <c r="J953" s="1" t="str">
        <f t="shared" si="464"/>
        <v>天津远达滤清器股份有限公司</v>
      </c>
    </row>
    <row r="954" spans="1:10">
      <c r="A954" s="1" t="str">
        <f t="shared" si="460"/>
        <v>天津远达滤清器股份有限公司</v>
      </c>
      <c r="B954" s="1" t="str">
        <f>"一种滤清器过滤纸的折纸定型装置"</f>
        <v>一种滤清器过滤纸的折纸定型装置</v>
      </c>
      <c r="C954" s="1" t="str">
        <f t="shared" si="472"/>
        <v>发明公布</v>
      </c>
      <c r="D954" s="1" t="str">
        <f t="shared" si="473"/>
        <v>公布驳回</v>
      </c>
      <c r="E954" s="1" t="str">
        <f>"CN201711043319.2"</f>
        <v>CN201711043319.2</v>
      </c>
      <c r="F954" s="1" t="str">
        <f t="shared" si="470"/>
        <v>2017-10-30</v>
      </c>
      <c r="G954" s="1" t="str">
        <f>"CN107639885A"</f>
        <v>CN107639885A</v>
      </c>
      <c r="H954" s="1" t="str">
        <f>"2018-01-30"</f>
        <v>2018-01-30</v>
      </c>
      <c r="I954" s="1" t="str">
        <f t="shared" si="463"/>
        <v>许远达</v>
      </c>
      <c r="J954" s="1" t="str">
        <f t="shared" si="464"/>
        <v>天津远达滤清器股份有限公司</v>
      </c>
    </row>
    <row r="955" spans="1:10">
      <c r="A955" s="1" t="str">
        <f t="shared" si="460"/>
        <v>天津远达滤清器股份有限公司</v>
      </c>
      <c r="B955" s="1" t="str">
        <f>"一种用于滤清器的过滤纸的折纸装置"</f>
        <v>一种用于滤清器的过滤纸的折纸装置</v>
      </c>
      <c r="C955" s="1" t="str">
        <f t="shared" si="472"/>
        <v>发明公布</v>
      </c>
      <c r="D955" s="1" t="str">
        <f t="shared" si="473"/>
        <v>公布驳回</v>
      </c>
      <c r="E955" s="1" t="str">
        <f>"CN201711035566.8"</f>
        <v>CN201711035566.8</v>
      </c>
      <c r="F955" s="1" t="str">
        <f t="shared" si="470"/>
        <v>2017-10-30</v>
      </c>
      <c r="G955" s="1" t="str">
        <f>"CN107627672A"</f>
        <v>CN107627672A</v>
      </c>
      <c r="H955" s="1" t="str">
        <f>"2018-01-26"</f>
        <v>2018-01-26</v>
      </c>
      <c r="I955" s="1" t="str">
        <f t="shared" si="463"/>
        <v>许远达</v>
      </c>
      <c r="J955" s="1" t="str">
        <f t="shared" si="464"/>
        <v>天津远达滤清器股份有限公司</v>
      </c>
    </row>
    <row r="956" spans="1:10">
      <c r="A956" s="1" t="str">
        <f t="shared" si="460"/>
        <v>天津远达滤清器股份有限公司</v>
      </c>
      <c r="B956" s="1" t="str">
        <f>"一种悬挂式净化空气装置"</f>
        <v>一种悬挂式净化空气装置</v>
      </c>
      <c r="C956" s="1" t="str">
        <f t="shared" si="472"/>
        <v>发明公布</v>
      </c>
      <c r="D956" s="1" t="str">
        <f t="shared" si="473"/>
        <v>公布驳回</v>
      </c>
      <c r="E956" s="1" t="str">
        <f>"CN201711040352.X"</f>
        <v>CN201711040352.X</v>
      </c>
      <c r="F956" s="1" t="str">
        <f t="shared" si="470"/>
        <v>2017-10-30</v>
      </c>
      <c r="G956" s="1" t="str">
        <f>"CN107626448A"</f>
        <v>CN107626448A</v>
      </c>
      <c r="H956" s="1" t="str">
        <f>"2018-01-26"</f>
        <v>2018-01-26</v>
      </c>
      <c r="I956" s="1" t="str">
        <f t="shared" si="463"/>
        <v>许远达</v>
      </c>
      <c r="J956" s="1" t="str">
        <f t="shared" si="464"/>
        <v>天津远达滤清器股份有限公司</v>
      </c>
    </row>
    <row r="957" spans="1:10">
      <c r="A957" s="1" t="str">
        <f t="shared" si="460"/>
        <v>天津远达滤清器股份有限公司</v>
      </c>
      <c r="B957" s="1" t="str">
        <f>"一种过滤纸的检测贴补系统"</f>
        <v>一种过滤纸的检测贴补系统</v>
      </c>
      <c r="C957" s="1" t="str">
        <f t="shared" si="472"/>
        <v>发明公布</v>
      </c>
      <c r="D957" s="1" t="str">
        <f t="shared" si="473"/>
        <v>公布驳回</v>
      </c>
      <c r="E957" s="1" t="str">
        <f>"CN201711035559.8"</f>
        <v>CN201711035559.8</v>
      </c>
      <c r="F957" s="1" t="str">
        <f t="shared" si="470"/>
        <v>2017-10-30</v>
      </c>
      <c r="G957" s="1" t="str">
        <f>"CN107584813A"</f>
        <v>CN107584813A</v>
      </c>
      <c r="H957" s="1" t="str">
        <f>"2018-01-16"</f>
        <v>2018-01-16</v>
      </c>
      <c r="I957" s="1" t="str">
        <f t="shared" si="463"/>
        <v>许远达</v>
      </c>
      <c r="J957" s="1" t="str">
        <f t="shared" si="464"/>
        <v>天津远达滤清器股份有限公司</v>
      </c>
    </row>
    <row r="958" spans="1:10">
      <c r="A958" s="1" t="str">
        <f t="shared" si="460"/>
        <v>天津远达滤清器股份有限公司</v>
      </c>
      <c r="B958" s="1" t="str">
        <f>"一种可自动调节折距的滤芯折纸固定装置"</f>
        <v>一种可自动调节折距的滤芯折纸固定装置</v>
      </c>
      <c r="C958" s="1" t="str">
        <f t="shared" ref="C958:C962" si="474">"实用新型"</f>
        <v>实用新型</v>
      </c>
      <c r="D958" s="1" t="str">
        <f t="shared" ref="D958:D962" si="475">"未缴年费专利权终止"</f>
        <v>未缴年费专利权终止</v>
      </c>
      <c r="E958" s="1" t="str">
        <f>"CN201620152335.X"</f>
        <v>CN201620152335.X</v>
      </c>
      <c r="F958" s="1" t="str">
        <f t="shared" ref="F958:F964" si="476">"2016-02-29"</f>
        <v>2016-02-29</v>
      </c>
      <c r="G958" s="1" t="str">
        <f>"CN205575231U"</f>
        <v>CN205575231U</v>
      </c>
      <c r="H958" s="1" t="str">
        <f>"2016-09-14"</f>
        <v>2016-09-14</v>
      </c>
      <c r="I958" s="1" t="str">
        <f t="shared" si="463"/>
        <v>许远达</v>
      </c>
      <c r="J958" s="1" t="str">
        <f t="shared" si="464"/>
        <v>天津远达滤清器股份有限公司</v>
      </c>
    </row>
    <row r="959" spans="1:10">
      <c r="A959" s="1" t="str">
        <f t="shared" si="460"/>
        <v>天津远达滤清器股份有限公司</v>
      </c>
      <c r="B959" s="1" t="str">
        <f>"一种用于滤清器生产线的自动码垛机"</f>
        <v>一种用于滤清器生产线的自动码垛机</v>
      </c>
      <c r="C959" s="1" t="str">
        <f t="shared" si="474"/>
        <v>实用新型</v>
      </c>
      <c r="D959" s="1" t="str">
        <f t="shared" si="475"/>
        <v>未缴年费专利权终止</v>
      </c>
      <c r="E959" s="1" t="str">
        <f>"CN201620152285.5"</f>
        <v>CN201620152285.5</v>
      </c>
      <c r="F959" s="1" t="str">
        <f t="shared" si="476"/>
        <v>2016-02-29</v>
      </c>
      <c r="G959" s="1" t="str">
        <f>"CN205555540U"</f>
        <v>CN205555540U</v>
      </c>
      <c r="H959" s="1" t="str">
        <f>"2016-09-07"</f>
        <v>2016-09-07</v>
      </c>
      <c r="I959" s="1" t="str">
        <f t="shared" si="463"/>
        <v>许远达</v>
      </c>
      <c r="J959" s="1" t="str">
        <f t="shared" si="464"/>
        <v>天津远达滤清器股份有限公司</v>
      </c>
    </row>
    <row r="960" spans="1:10">
      <c r="A960" s="1" t="str">
        <f t="shared" si="460"/>
        <v>天津远达滤清器股份有限公司</v>
      </c>
      <c r="B960" s="1" t="str">
        <f>"一种用于滤清器的滤芯组装设备"</f>
        <v>一种用于滤清器的滤芯组装设备</v>
      </c>
      <c r="C960" s="1" t="str">
        <f t="shared" si="474"/>
        <v>实用新型</v>
      </c>
      <c r="D960" s="1" t="str">
        <f t="shared" si="475"/>
        <v>未缴年费专利权终止</v>
      </c>
      <c r="E960" s="1" t="str">
        <f>"CN201620152545.9"</f>
        <v>CN201620152545.9</v>
      </c>
      <c r="F960" s="1" t="str">
        <f t="shared" si="476"/>
        <v>2016-02-29</v>
      </c>
      <c r="G960" s="1" t="str">
        <f>"CN205551916U"</f>
        <v>CN205551916U</v>
      </c>
      <c r="H960" s="1" t="str">
        <f>"2016-09-07"</f>
        <v>2016-09-07</v>
      </c>
      <c r="I960" s="1" t="str">
        <f t="shared" si="463"/>
        <v>许远达</v>
      </c>
      <c r="J960" s="1" t="str">
        <f t="shared" si="464"/>
        <v>天津远达滤清器股份有限公司</v>
      </c>
    </row>
    <row r="961" spans="1:10">
      <c r="A961" s="1" t="str">
        <f t="shared" si="460"/>
        <v>天津远达滤清器股份有限公司</v>
      </c>
      <c r="B961" s="1" t="str">
        <f>"一种用于滤清器滤芯加工的剪裁装置"</f>
        <v>一种用于滤清器滤芯加工的剪裁装置</v>
      </c>
      <c r="C961" s="1" t="str">
        <f t="shared" si="474"/>
        <v>实用新型</v>
      </c>
      <c r="D961" s="1" t="str">
        <f t="shared" si="475"/>
        <v>未缴年费专利权终止</v>
      </c>
      <c r="E961" s="1" t="str">
        <f>"CN201620150851.9"</f>
        <v>CN201620150851.9</v>
      </c>
      <c r="F961" s="1" t="str">
        <f t="shared" si="476"/>
        <v>2016-02-29</v>
      </c>
      <c r="G961" s="1" t="str">
        <f>"CN205552678U"</f>
        <v>CN205552678U</v>
      </c>
      <c r="H961" s="1" t="str">
        <f>"2016-09-06"</f>
        <v>2016-09-06</v>
      </c>
      <c r="I961" s="1" t="str">
        <f t="shared" si="463"/>
        <v>许远达</v>
      </c>
      <c r="J961" s="1" t="str">
        <f t="shared" si="464"/>
        <v>天津远达滤清器股份有限公司</v>
      </c>
    </row>
    <row r="962" spans="1:10">
      <c r="A962" s="1" t="str">
        <f t="shared" si="460"/>
        <v>天津远达滤清器股份有限公司</v>
      </c>
      <c r="B962" s="1" t="str">
        <f>"一种用于滤清器外壳端盖铆合的设备"</f>
        <v>一种用于滤清器外壳端盖铆合的设备</v>
      </c>
      <c r="C962" s="1" t="str">
        <f t="shared" si="474"/>
        <v>实用新型</v>
      </c>
      <c r="D962" s="1" t="str">
        <f t="shared" si="475"/>
        <v>未缴年费专利权终止</v>
      </c>
      <c r="E962" s="1" t="str">
        <f>"CN201620152411.7"</f>
        <v>CN201620152411.7</v>
      </c>
      <c r="F962" s="1" t="str">
        <f t="shared" si="476"/>
        <v>2016-02-29</v>
      </c>
      <c r="G962" s="1" t="str">
        <f>"CN205551368U"</f>
        <v>CN205551368U</v>
      </c>
      <c r="H962" s="1" t="str">
        <f>"2016-09-06"</f>
        <v>2016-09-06</v>
      </c>
      <c r="I962" s="1" t="str">
        <f t="shared" si="463"/>
        <v>许远达</v>
      </c>
      <c r="J962" s="1" t="str">
        <f t="shared" si="464"/>
        <v>天津远达滤清器股份有限公司</v>
      </c>
    </row>
    <row r="963" spans="1:10">
      <c r="A963" s="1" t="str">
        <f t="shared" si="460"/>
        <v>天津远达滤清器股份有限公司</v>
      </c>
      <c r="B963" s="1" t="str">
        <f>"一种多功能滤芯折纸机"</f>
        <v>一种多功能滤芯折纸机</v>
      </c>
      <c r="C963" s="1" t="str">
        <f t="shared" ref="C963:C967" si="477">"发明公布"</f>
        <v>发明公布</v>
      </c>
      <c r="D963" s="1" t="str">
        <f t="shared" ref="D963:D967" si="478">"公布视为撤回"</f>
        <v>公布视为撤回</v>
      </c>
      <c r="E963" s="1" t="str">
        <f>"CN201610112360.X"</f>
        <v>CN201610112360.X</v>
      </c>
      <c r="F963" s="1" t="str">
        <f t="shared" si="476"/>
        <v>2016-02-29</v>
      </c>
      <c r="G963" s="1" t="str">
        <f>"CN105666954A"</f>
        <v>CN105666954A</v>
      </c>
      <c r="H963" s="1" t="str">
        <f>"2016-06-15"</f>
        <v>2016-06-15</v>
      </c>
      <c r="I963" s="1" t="str">
        <f t="shared" si="463"/>
        <v>许远达</v>
      </c>
      <c r="J963" s="1" t="str">
        <f t="shared" si="464"/>
        <v>天津远达滤清器股份有限公司</v>
      </c>
    </row>
    <row r="964" spans="1:10">
      <c r="A964" s="1" t="str">
        <f t="shared" si="460"/>
        <v>天津远达滤清器股份有限公司</v>
      </c>
      <c r="B964" s="1" t="str">
        <f>"一种用于滤芯生产的自动切割装置"</f>
        <v>一种用于滤芯生产的自动切割装置</v>
      </c>
      <c r="C964" s="1" t="str">
        <f t="shared" si="477"/>
        <v>发明公布</v>
      </c>
      <c r="D964" s="1" t="str">
        <f t="shared" si="478"/>
        <v>公布视为撤回</v>
      </c>
      <c r="E964" s="1" t="str">
        <f>"CN201610111085.X"</f>
        <v>CN201610111085.X</v>
      </c>
      <c r="F964" s="1" t="str">
        <f t="shared" si="476"/>
        <v>2016-02-29</v>
      </c>
      <c r="G964" s="1" t="str">
        <f>"CN105599021A"</f>
        <v>CN105599021A</v>
      </c>
      <c r="H964" s="1" t="str">
        <f t="shared" ref="H964:H969" si="479">"2016-05-25"</f>
        <v>2016-05-25</v>
      </c>
      <c r="I964" s="1" t="str">
        <f t="shared" si="463"/>
        <v>许远达</v>
      </c>
      <c r="J964" s="1" t="str">
        <f t="shared" si="464"/>
        <v>天津远达滤清器股份有限公司</v>
      </c>
    </row>
    <row r="965" spans="1:10">
      <c r="A965" s="1" t="str">
        <f t="shared" si="460"/>
        <v>天津远达滤清器股份有限公司</v>
      </c>
      <c r="B965" s="1" t="str">
        <f>"一种滤清器自动热压装置"</f>
        <v>一种滤清器自动热压装置</v>
      </c>
      <c r="C965" s="1" t="str">
        <f>"实用新型"</f>
        <v>实用新型</v>
      </c>
      <c r="D965" s="1" t="str">
        <f>"未缴年费专利权终止"</f>
        <v>未缴年费专利权终止</v>
      </c>
      <c r="E965" s="1" t="str">
        <f>"CN201521127769.6"</f>
        <v>CN201521127769.6</v>
      </c>
      <c r="F965" s="1" t="str">
        <f>"2015-12-28"</f>
        <v>2015-12-28</v>
      </c>
      <c r="G965" s="1" t="str">
        <f>"CN205255508U"</f>
        <v>CN205255508U</v>
      </c>
      <c r="H965" s="1" t="str">
        <f t="shared" si="479"/>
        <v>2016-05-25</v>
      </c>
      <c r="I965" s="1" t="str">
        <f t="shared" si="463"/>
        <v>许远达</v>
      </c>
      <c r="J965" s="1" t="str">
        <f t="shared" si="464"/>
        <v>天津远达滤清器股份有限公司</v>
      </c>
    </row>
    <row r="966" spans="1:10">
      <c r="A966" s="1" t="str">
        <f t="shared" si="460"/>
        <v>天津远达滤清器股份有限公司</v>
      </c>
      <c r="B966" s="1" t="str">
        <f>"一种空气滤清器装配设备"</f>
        <v>一种空气滤清器装配设备</v>
      </c>
      <c r="C966" s="1" t="str">
        <f t="shared" si="477"/>
        <v>发明公布</v>
      </c>
      <c r="D966" s="1" t="str">
        <f t="shared" si="478"/>
        <v>公布视为撤回</v>
      </c>
      <c r="E966" s="1" t="str">
        <f>"CN201610111136.9"</f>
        <v>CN201610111136.9</v>
      </c>
      <c r="F966" s="1" t="str">
        <f t="shared" ref="F966:F969" si="480">"2016-02-29"</f>
        <v>2016-02-29</v>
      </c>
      <c r="G966" s="1" t="str">
        <f>"CN105598671A"</f>
        <v>CN105598671A</v>
      </c>
      <c r="H966" s="1" t="str">
        <f t="shared" si="479"/>
        <v>2016-05-25</v>
      </c>
      <c r="I966" s="1" t="str">
        <f t="shared" si="463"/>
        <v>许远达</v>
      </c>
      <c r="J966" s="1" t="str">
        <f t="shared" si="464"/>
        <v>天津远达滤清器股份有限公司</v>
      </c>
    </row>
    <row r="967" spans="1:10">
      <c r="A967" s="1" t="str">
        <f t="shared" si="460"/>
        <v>天津远达滤清器股份有限公司</v>
      </c>
      <c r="B967" s="1" t="str">
        <f>"一种用于滤清器外壳喷漆的生产装置"</f>
        <v>一种用于滤清器外壳喷漆的生产装置</v>
      </c>
      <c r="C967" s="1" t="str">
        <f t="shared" si="477"/>
        <v>发明公布</v>
      </c>
      <c r="D967" s="1" t="str">
        <f t="shared" si="478"/>
        <v>公布视为撤回</v>
      </c>
      <c r="E967" s="1" t="str">
        <f>"CN201610112502.2"</f>
        <v>CN201610112502.2</v>
      </c>
      <c r="F967" s="1" t="str">
        <f t="shared" si="480"/>
        <v>2016-02-29</v>
      </c>
      <c r="G967" s="1" t="str">
        <f>"CN105597972A"</f>
        <v>CN105597972A</v>
      </c>
      <c r="H967" s="1" t="str">
        <f t="shared" si="479"/>
        <v>2016-05-25</v>
      </c>
      <c r="I967" s="1" t="str">
        <f t="shared" si="463"/>
        <v>许远达</v>
      </c>
      <c r="J967" s="1" t="str">
        <f t="shared" si="464"/>
        <v>天津远达滤清器股份有限公司</v>
      </c>
    </row>
    <row r="968" spans="1:10">
      <c r="A968" s="1" t="str">
        <f t="shared" si="460"/>
        <v>天津远达滤清器股份有限公司</v>
      </c>
      <c r="B968" s="1" t="str">
        <f>"一种滤清器滤芯端盖的安装装置"</f>
        <v>一种滤清器滤芯端盖的安装装置</v>
      </c>
      <c r="C968" s="1" t="str">
        <f t="shared" ref="C968:C980" si="481">"实用新型"</f>
        <v>实用新型</v>
      </c>
      <c r="D968" s="1" t="str">
        <f>"未缴年费专利权终止"</f>
        <v>未缴年费专利权终止</v>
      </c>
      <c r="E968" s="1" t="str">
        <f>"CN201521128143.7"</f>
        <v>CN201521128143.7</v>
      </c>
      <c r="F968" s="1" t="str">
        <f>"2015-12-28"</f>
        <v>2015-12-28</v>
      </c>
      <c r="G968" s="1" t="str">
        <f>"CN205252733U"</f>
        <v>CN205252733U</v>
      </c>
      <c r="H968" s="1" t="str">
        <f t="shared" si="479"/>
        <v>2016-05-25</v>
      </c>
      <c r="I968" s="1" t="str">
        <f t="shared" si="463"/>
        <v>许远达</v>
      </c>
      <c r="J968" s="1" t="str">
        <f t="shared" si="464"/>
        <v>天津远达滤清器股份有限公司</v>
      </c>
    </row>
    <row r="969" spans="1:10">
      <c r="A969" s="1" t="str">
        <f t="shared" si="460"/>
        <v>天津远达滤清器股份有限公司</v>
      </c>
      <c r="B969" s="1" t="str">
        <f>"一种用于滤清器螺纹管装配的设备"</f>
        <v>一种用于滤清器螺纹管装配的设备</v>
      </c>
      <c r="C969" s="1" t="str">
        <f>"发明公布"</f>
        <v>发明公布</v>
      </c>
      <c r="D969" s="1" t="str">
        <f>"公布视为撤回"</f>
        <v>公布视为撤回</v>
      </c>
      <c r="E969" s="1" t="str">
        <f>"CN201610112388.3"</f>
        <v>CN201610112388.3</v>
      </c>
      <c r="F969" s="1" t="str">
        <f t="shared" si="480"/>
        <v>2016-02-29</v>
      </c>
      <c r="G969" s="1" t="str">
        <f>"CN105598341A"</f>
        <v>CN105598341A</v>
      </c>
      <c r="H969" s="1" t="str">
        <f t="shared" si="479"/>
        <v>2016-05-25</v>
      </c>
      <c r="I969" s="1" t="str">
        <f t="shared" si="463"/>
        <v>许远达</v>
      </c>
      <c r="J969" s="1" t="str">
        <f t="shared" si="464"/>
        <v>天津远达滤清器股份有限公司</v>
      </c>
    </row>
    <row r="970" spans="1:10">
      <c r="A970" s="1" t="str">
        <f t="shared" si="460"/>
        <v>天津远达滤清器股份有限公司</v>
      </c>
      <c r="B970" s="1" t="str">
        <f>"一种方便机油滤清器拆卸的机油滤清器用密封圈"</f>
        <v>一种方便机油滤清器拆卸的机油滤清器用密封圈</v>
      </c>
      <c r="C970" s="1" t="str">
        <f>"发明公布"</f>
        <v>发明公布</v>
      </c>
      <c r="D970" s="1" t="str">
        <f>"公布视为撤回"</f>
        <v>公布视为撤回</v>
      </c>
      <c r="E970" s="1" t="str">
        <f>"CN201210419745.2"</f>
        <v>CN201210419745.2</v>
      </c>
      <c r="F970" s="1" t="str">
        <f>"2012-10-29"</f>
        <v>2012-10-29</v>
      </c>
      <c r="G970" s="1" t="str">
        <f>"CN103791088A"</f>
        <v>CN103791088A</v>
      </c>
      <c r="H970" s="1" t="str">
        <f>"2014-05-14"</f>
        <v>2014-05-14</v>
      </c>
      <c r="I970" s="1" t="str">
        <f t="shared" si="463"/>
        <v>许远达</v>
      </c>
      <c r="J970" s="1" t="str">
        <f>"天津远达滤清器有限公司"</f>
        <v>天津远达滤清器有限公司</v>
      </c>
    </row>
    <row r="971" spans="1:10">
      <c r="A971" s="1" t="str">
        <f t="shared" si="460"/>
        <v>天津远达滤清器股份有限公司</v>
      </c>
      <c r="B971" s="1" t="str">
        <f>"一种方便机油滤清器拆卸的机油滤清器用密封圈"</f>
        <v>一种方便机油滤清器拆卸的机油滤清器用密封圈</v>
      </c>
      <c r="C971" s="1" t="str">
        <f t="shared" si="481"/>
        <v>实用新型</v>
      </c>
      <c r="D971" s="1" t="str">
        <f>"未缴年费专利权终止"</f>
        <v>未缴年费专利权终止</v>
      </c>
      <c r="E971" s="1" t="str">
        <f>"CN201220559897.8"</f>
        <v>CN201220559897.8</v>
      </c>
      <c r="F971" s="1" t="str">
        <f>"2012-10-29"</f>
        <v>2012-10-29</v>
      </c>
      <c r="G971" s="1" t="str">
        <f>"CN202851944U"</f>
        <v>CN202851944U</v>
      </c>
      <c r="H971" s="1" t="str">
        <f>"2013-04-03"</f>
        <v>2013-04-03</v>
      </c>
      <c r="I971" s="1" t="str">
        <f t="shared" si="463"/>
        <v>许远达</v>
      </c>
      <c r="J971" s="1" t="str">
        <f>"天津远达滤清器股份有限公司"</f>
        <v>天津远达滤清器股份有限公司</v>
      </c>
    </row>
    <row r="972" spans="1:10">
      <c r="A972" s="1" t="str">
        <f t="shared" ref="A972:A987" si="482">"通天汽车桥（天津）有限公司"</f>
        <v>通天汽车桥（天津）有限公司</v>
      </c>
      <c r="B972" s="1" t="str">
        <f>"一种盘式行车制动的农用机车驱动桥"</f>
        <v>一种盘式行车制动的农用机车驱动桥</v>
      </c>
      <c r="C972" s="1" t="str">
        <f t="shared" si="481"/>
        <v>实用新型</v>
      </c>
      <c r="D972" s="1" t="str">
        <f t="shared" ref="D972:D976" si="483">"授权"</f>
        <v>授权</v>
      </c>
      <c r="E972" s="1" t="str">
        <f>"CN202123226852.7"</f>
        <v>CN202123226852.7</v>
      </c>
      <c r="F972" s="1" t="str">
        <f>"2021-12-21"</f>
        <v>2021-12-21</v>
      </c>
      <c r="G972" s="1" t="str">
        <f>"CN216467175U"</f>
        <v>CN216467175U</v>
      </c>
      <c r="H972" s="1" t="str">
        <f>"2022-05-10"</f>
        <v>2022-05-10</v>
      </c>
      <c r="I972" s="1" t="s">
        <v>4946</v>
      </c>
      <c r="J972" s="1" t="str">
        <f t="shared" ref="J972:J987" si="484">"通天汽车桥(天津)有限公司"</f>
        <v>通天汽车桥(天津)有限公司</v>
      </c>
    </row>
    <row r="973" spans="1:10">
      <c r="A973" s="1" t="str">
        <f t="shared" si="482"/>
        <v>通天汽车桥（天津）有限公司</v>
      </c>
      <c r="B973" s="1" t="str">
        <f>"一种具有驻车制动功能的车用前置减速器"</f>
        <v>一种具有驻车制动功能的车用前置减速器</v>
      </c>
      <c r="C973" s="1" t="str">
        <f t="shared" si="481"/>
        <v>实用新型</v>
      </c>
      <c r="D973" s="1" t="str">
        <f t="shared" si="483"/>
        <v>授权</v>
      </c>
      <c r="E973" s="1" t="str">
        <f>"CN202023216736.2"</f>
        <v>CN202023216736.2</v>
      </c>
      <c r="F973" s="1" t="str">
        <f t="shared" ref="F973:F976" si="485">"2020-12-28"</f>
        <v>2020-12-28</v>
      </c>
      <c r="G973" s="1" t="str">
        <f>"CN214197176U"</f>
        <v>CN214197176U</v>
      </c>
      <c r="H973" s="1" t="str">
        <f>"2021-09-14"</f>
        <v>2021-09-14</v>
      </c>
      <c r="I973" s="1" t="s">
        <v>4947</v>
      </c>
      <c r="J973" s="1" t="str">
        <f t="shared" si="484"/>
        <v>通天汽车桥(天津)有限公司</v>
      </c>
    </row>
    <row r="974" spans="1:10">
      <c r="A974" s="1" t="str">
        <f t="shared" si="482"/>
        <v>通天汽车桥（天津）有限公司</v>
      </c>
      <c r="B974" s="1" t="str">
        <f>"一种具有原地旋转功能的四轮抢险作业车用底盘"</f>
        <v>一种具有原地旋转功能的四轮抢险作业车用底盘</v>
      </c>
      <c r="C974" s="1" t="str">
        <f t="shared" si="481"/>
        <v>实用新型</v>
      </c>
      <c r="D974" s="1" t="str">
        <f t="shared" si="483"/>
        <v>授权</v>
      </c>
      <c r="E974" s="1" t="str">
        <f>"CN202023216469.9"</f>
        <v>CN202023216469.9</v>
      </c>
      <c r="F974" s="1" t="str">
        <f t="shared" si="485"/>
        <v>2020-12-28</v>
      </c>
      <c r="G974" s="1" t="str">
        <f>"CN214083837U"</f>
        <v>CN214083837U</v>
      </c>
      <c r="H974" s="1" t="str">
        <f t="shared" ref="H974:H976" si="486">"2021-08-31"</f>
        <v>2021-08-31</v>
      </c>
      <c r="I974" s="1" t="s">
        <v>4948</v>
      </c>
      <c r="J974" s="1" t="str">
        <f t="shared" si="484"/>
        <v>通天汽车桥(天津)有限公司</v>
      </c>
    </row>
    <row r="975" spans="1:10">
      <c r="A975" s="1" t="str">
        <f t="shared" si="482"/>
        <v>通天汽车桥（天津）有限公司</v>
      </c>
      <c r="B975" s="1" t="str">
        <f>"一种高效的汽车转向传动机构"</f>
        <v>一种高效的汽车转向传动机构</v>
      </c>
      <c r="C975" s="1" t="str">
        <f t="shared" si="481"/>
        <v>实用新型</v>
      </c>
      <c r="D975" s="1" t="str">
        <f t="shared" si="483"/>
        <v>授权</v>
      </c>
      <c r="E975" s="1" t="str">
        <f>"CN202023216756.X"</f>
        <v>CN202023216756.X</v>
      </c>
      <c r="F975" s="1" t="str">
        <f t="shared" si="485"/>
        <v>2020-12-28</v>
      </c>
      <c r="G975" s="1" t="str">
        <f>"CN214084428U"</f>
        <v>CN214084428U</v>
      </c>
      <c r="H975" s="1" t="str">
        <f t="shared" si="486"/>
        <v>2021-08-31</v>
      </c>
      <c r="I975" s="1" t="s">
        <v>4949</v>
      </c>
      <c r="J975" s="1" t="str">
        <f t="shared" si="484"/>
        <v>通天汽车桥(天津)有限公司</v>
      </c>
    </row>
    <row r="976" spans="1:10">
      <c r="A976" s="1" t="str">
        <f t="shared" si="482"/>
        <v>通天汽车桥（天津）有限公司</v>
      </c>
      <c r="B976" s="1" t="str">
        <f>"一种带有麦克纳姆车轮的纯电动车用底盘"</f>
        <v>一种带有麦克纳姆车轮的纯电动车用底盘</v>
      </c>
      <c r="C976" s="1" t="str">
        <f t="shared" si="481"/>
        <v>实用新型</v>
      </c>
      <c r="D976" s="1" t="str">
        <f t="shared" si="483"/>
        <v>授权</v>
      </c>
      <c r="E976" s="1" t="str">
        <f>"CN202023216463.1"</f>
        <v>CN202023216463.1</v>
      </c>
      <c r="F976" s="1" t="str">
        <f t="shared" si="485"/>
        <v>2020-12-28</v>
      </c>
      <c r="G976" s="1" t="str">
        <f>"CN214083836U"</f>
        <v>CN214083836U</v>
      </c>
      <c r="H976" s="1" t="str">
        <f t="shared" si="486"/>
        <v>2021-08-31</v>
      </c>
      <c r="I976" s="1" t="s">
        <v>4950</v>
      </c>
      <c r="J976" s="1" t="str">
        <f t="shared" si="484"/>
        <v>通天汽车桥(天津)有限公司</v>
      </c>
    </row>
    <row r="977" spans="1:10">
      <c r="A977" s="1" t="str">
        <f t="shared" si="482"/>
        <v>通天汽车桥（天津）有限公司</v>
      </c>
      <c r="B977" s="1" t="str">
        <f>"一种轮边电机驱动的汽车驱动桥总成"</f>
        <v>一种轮边电机驱动的汽车驱动桥总成</v>
      </c>
      <c r="C977" s="1" t="str">
        <f t="shared" si="481"/>
        <v>实用新型</v>
      </c>
      <c r="D977" s="1" t="str">
        <f>"未缴年费专利权终止"</f>
        <v>未缴年费专利权终止</v>
      </c>
      <c r="E977" s="1" t="str">
        <f>"CN202022179846.X"</f>
        <v>CN202022179846.X</v>
      </c>
      <c r="F977" s="1" t="str">
        <f>"2020-09-29"</f>
        <v>2020-09-29</v>
      </c>
      <c r="G977" s="1" t="str">
        <f>"CN213167706U"</f>
        <v>CN213167706U</v>
      </c>
      <c r="H977" s="1" t="str">
        <f>"2021-05-11"</f>
        <v>2021-05-11</v>
      </c>
      <c r="I977" s="1" t="s">
        <v>4951</v>
      </c>
      <c r="J977" s="1" t="str">
        <f t="shared" si="484"/>
        <v>通天汽车桥(天津)有限公司</v>
      </c>
    </row>
    <row r="978" spans="1:10">
      <c r="A978" s="1" t="str">
        <f t="shared" si="482"/>
        <v>通天汽车桥（天津）有限公司</v>
      </c>
      <c r="B978" s="1" t="str">
        <f>"一种防锈蚀内六角圆柱头螺钉"</f>
        <v>一种防锈蚀内六角圆柱头螺钉</v>
      </c>
      <c r="C978" s="1" t="str">
        <f t="shared" si="481"/>
        <v>实用新型</v>
      </c>
      <c r="D978" s="1" t="str">
        <f t="shared" ref="D978:D980" si="487">"授权"</f>
        <v>授权</v>
      </c>
      <c r="E978" s="1" t="str">
        <f>"CN201822111586.5"</f>
        <v>CN201822111586.5</v>
      </c>
      <c r="F978" s="1" t="str">
        <f t="shared" ref="F978:F980" si="488">"2018-12-17"</f>
        <v>2018-12-17</v>
      </c>
      <c r="G978" s="1" t="str">
        <f>"CN209671379U"</f>
        <v>CN209671379U</v>
      </c>
      <c r="H978" s="1" t="str">
        <f>"2019-11-22"</f>
        <v>2019-11-22</v>
      </c>
      <c r="I978" s="1" t="s">
        <v>4952</v>
      </c>
      <c r="J978" s="1" t="str">
        <f t="shared" si="484"/>
        <v>通天汽车桥(天津)有限公司</v>
      </c>
    </row>
    <row r="979" spans="1:10">
      <c r="A979" s="1" t="str">
        <f t="shared" si="482"/>
        <v>通天汽车桥（天津）有限公司</v>
      </c>
      <c r="B979" s="1" t="str">
        <f>"小型电动四轮车用可调式刹车盘"</f>
        <v>小型电动四轮车用可调式刹车盘</v>
      </c>
      <c r="C979" s="1" t="str">
        <f t="shared" si="481"/>
        <v>实用新型</v>
      </c>
      <c r="D979" s="1" t="str">
        <f t="shared" si="487"/>
        <v>授权</v>
      </c>
      <c r="E979" s="1" t="str">
        <f>"CN201822111569.1"</f>
        <v>CN201822111569.1</v>
      </c>
      <c r="F979" s="1" t="str">
        <f t="shared" si="488"/>
        <v>2018-12-17</v>
      </c>
      <c r="G979" s="1" t="str">
        <f>"CN209309189U"</f>
        <v>CN209309189U</v>
      </c>
      <c r="H979" s="1" t="str">
        <f>"2019-08-27"</f>
        <v>2019-08-27</v>
      </c>
      <c r="I979" s="1" t="s">
        <v>4952</v>
      </c>
      <c r="J979" s="1" t="str">
        <f t="shared" si="484"/>
        <v>通天汽车桥(天津)有限公司</v>
      </c>
    </row>
    <row r="980" spans="1:10">
      <c r="A980" s="1" t="str">
        <f t="shared" si="482"/>
        <v>通天汽车桥（天津）有限公司</v>
      </c>
      <c r="B980" s="1" t="str">
        <f>"小型汽车、农用机动车制动卡钳温度监测装置"</f>
        <v>小型汽车、农用机动车制动卡钳温度监测装置</v>
      </c>
      <c r="C980" s="1" t="str">
        <f t="shared" si="481"/>
        <v>实用新型</v>
      </c>
      <c r="D980" s="1" t="str">
        <f t="shared" si="487"/>
        <v>授权</v>
      </c>
      <c r="E980" s="1" t="str">
        <f>"CN201822111570.4"</f>
        <v>CN201822111570.4</v>
      </c>
      <c r="F980" s="1" t="str">
        <f t="shared" si="488"/>
        <v>2018-12-17</v>
      </c>
      <c r="G980" s="1" t="str">
        <f>"CN209264131U"</f>
        <v>CN209264131U</v>
      </c>
      <c r="H980" s="1" t="str">
        <f>"2019-08-16"</f>
        <v>2019-08-16</v>
      </c>
      <c r="I980" s="1" t="s">
        <v>4953</v>
      </c>
      <c r="J980" s="1" t="str">
        <f t="shared" si="484"/>
        <v>通天汽车桥(天津)有限公司</v>
      </c>
    </row>
    <row r="981" spans="1:10">
      <c r="A981" s="1" t="str">
        <f t="shared" si="482"/>
        <v>通天汽车桥（天津）有限公司</v>
      </c>
      <c r="B981" s="1" t="str">
        <f>"一种套筒式汽车转向节总成"</f>
        <v>一种套筒式汽车转向节总成</v>
      </c>
      <c r="C981" s="1" t="str">
        <f>"发明公布"</f>
        <v>发明公布</v>
      </c>
      <c r="D981" s="1" t="str">
        <f>"公布视为撤回"</f>
        <v>公布视为撤回</v>
      </c>
      <c r="E981" s="1" t="str">
        <f>"CN201710907872.X"</f>
        <v>CN201710907872.X</v>
      </c>
      <c r="F981" s="1" t="str">
        <f>"2017-09-29"</f>
        <v>2017-09-29</v>
      </c>
      <c r="G981" s="1" t="str">
        <f>"CN107458462A"</f>
        <v>CN107458462A</v>
      </c>
      <c r="H981" s="1" t="str">
        <f>"2017-12-12"</f>
        <v>2017-12-12</v>
      </c>
      <c r="I981" s="1" t="s">
        <v>4954</v>
      </c>
      <c r="J981" s="1" t="str">
        <f t="shared" si="484"/>
        <v>通天汽车桥(天津)有限公司</v>
      </c>
    </row>
    <row r="982" spans="1:10">
      <c r="A982" s="1" t="str">
        <f t="shared" si="482"/>
        <v>通天汽车桥（天津）有限公司</v>
      </c>
      <c r="B982" s="1" t="str">
        <f>"独立悬挂式前驱动后桥总成"</f>
        <v>独立悬挂式前驱动后桥总成</v>
      </c>
      <c r="C982" s="1" t="str">
        <f t="shared" ref="C982:C985" si="489">"实用新型"</f>
        <v>实用新型</v>
      </c>
      <c r="D982" s="1" t="str">
        <f t="shared" ref="D982:D985" si="490">"未缴年费专利权终止"</f>
        <v>未缴年费专利权终止</v>
      </c>
      <c r="E982" s="1" t="str">
        <f>"CN201621085428.1"</f>
        <v>CN201621085428.1</v>
      </c>
      <c r="F982" s="1" t="str">
        <f t="shared" ref="F982:F987" si="491">"2016-09-28"</f>
        <v>2016-09-28</v>
      </c>
      <c r="G982" s="1" t="str">
        <f>"CN206171044U"</f>
        <v>CN206171044U</v>
      </c>
      <c r="H982" s="1" t="str">
        <f>"2017-05-17"</f>
        <v>2017-05-17</v>
      </c>
      <c r="I982" s="1" t="s">
        <v>4955</v>
      </c>
      <c r="J982" s="1" t="str">
        <f t="shared" si="484"/>
        <v>通天汽车桥(天津)有限公司</v>
      </c>
    </row>
    <row r="983" spans="1:10">
      <c r="A983" s="1" t="str">
        <f t="shared" si="482"/>
        <v>通天汽车桥（天津）有限公司</v>
      </c>
      <c r="B983" s="1" t="str">
        <f>"大中型客车后桥横梁总成"</f>
        <v>大中型客车后桥横梁总成</v>
      </c>
      <c r="C983" s="1" t="str">
        <f t="shared" si="489"/>
        <v>实用新型</v>
      </c>
      <c r="D983" s="1" t="str">
        <f t="shared" si="490"/>
        <v>未缴年费专利权终止</v>
      </c>
      <c r="E983" s="1" t="str">
        <f>"CN201621087389.9"</f>
        <v>CN201621087389.9</v>
      </c>
      <c r="F983" s="1" t="str">
        <f t="shared" si="491"/>
        <v>2016-09-28</v>
      </c>
      <c r="G983" s="1" t="str">
        <f>"CN206067891U"</f>
        <v>CN206067891U</v>
      </c>
      <c r="H983" s="1" t="str">
        <f t="shared" ref="H983:H985" si="492">"2017-04-05"</f>
        <v>2017-04-05</v>
      </c>
      <c r="I983" s="1" t="s">
        <v>4955</v>
      </c>
      <c r="J983" s="1" t="str">
        <f t="shared" si="484"/>
        <v>通天汽车桥(天津)有限公司</v>
      </c>
    </row>
    <row r="984" spans="1:10">
      <c r="A984" s="1" t="str">
        <f t="shared" si="482"/>
        <v>通天汽车桥（天津）有限公司</v>
      </c>
      <c r="B984" s="1" t="str">
        <f>"大、中型载客汽车前驱动机构"</f>
        <v>大、中型载客汽车前驱动机构</v>
      </c>
      <c r="C984" s="1" t="str">
        <f t="shared" si="489"/>
        <v>实用新型</v>
      </c>
      <c r="D984" s="1" t="str">
        <f t="shared" si="490"/>
        <v>未缴年费专利权终止</v>
      </c>
      <c r="E984" s="1" t="str">
        <f>"CN201621087607.9"</f>
        <v>CN201621087607.9</v>
      </c>
      <c r="F984" s="1" t="str">
        <f t="shared" si="491"/>
        <v>2016-09-28</v>
      </c>
      <c r="G984" s="1" t="str">
        <f>"CN206067494U"</f>
        <v>CN206067494U</v>
      </c>
      <c r="H984" s="1" t="str">
        <f t="shared" si="492"/>
        <v>2017-04-05</v>
      </c>
      <c r="I984" s="1" t="s">
        <v>4955</v>
      </c>
      <c r="J984" s="1" t="str">
        <f t="shared" si="484"/>
        <v>通天汽车桥(天津)有限公司</v>
      </c>
    </row>
    <row r="985" spans="1:10">
      <c r="A985" s="1" t="str">
        <f t="shared" si="482"/>
        <v>通天汽车桥（天津）有限公司</v>
      </c>
      <c r="B985" s="1" t="str">
        <f>"独立悬挂式前驱动前桥总成"</f>
        <v>独立悬挂式前驱动前桥总成</v>
      </c>
      <c r="C985" s="1" t="str">
        <f t="shared" si="489"/>
        <v>实用新型</v>
      </c>
      <c r="D985" s="1" t="str">
        <f t="shared" si="490"/>
        <v>未缴年费专利权终止</v>
      </c>
      <c r="E985" s="1" t="str">
        <f>"CN201621089431.0"</f>
        <v>CN201621089431.0</v>
      </c>
      <c r="F985" s="1" t="str">
        <f t="shared" si="491"/>
        <v>2016-09-28</v>
      </c>
      <c r="G985" s="1" t="str">
        <f>"CN206067371U"</f>
        <v>CN206067371U</v>
      </c>
      <c r="H985" s="1" t="str">
        <f t="shared" si="492"/>
        <v>2017-04-05</v>
      </c>
      <c r="I985" s="1" t="s">
        <v>4955</v>
      </c>
      <c r="J985" s="1" t="str">
        <f t="shared" si="484"/>
        <v>通天汽车桥(天津)有限公司</v>
      </c>
    </row>
    <row r="986" spans="1:10">
      <c r="A986" s="1" t="str">
        <f t="shared" si="482"/>
        <v>通天汽车桥（天津）有限公司</v>
      </c>
      <c r="B986" s="1" t="str">
        <f>"独立悬挂式前驱动前桥总成"</f>
        <v>独立悬挂式前驱动前桥总成</v>
      </c>
      <c r="C986" s="1" t="str">
        <f t="shared" ref="C986:C990" si="493">"发明公布"</f>
        <v>发明公布</v>
      </c>
      <c r="D986" s="1" t="str">
        <f>"公布视为撤回"</f>
        <v>公布视为撤回</v>
      </c>
      <c r="E986" s="1" t="str">
        <f>"CN201610856066.X"</f>
        <v>CN201610856066.X</v>
      </c>
      <c r="F986" s="1" t="str">
        <f t="shared" si="491"/>
        <v>2016-09-28</v>
      </c>
      <c r="G986" s="1" t="str">
        <f>"CN106364260A"</f>
        <v>CN106364260A</v>
      </c>
      <c r="H986" s="1" t="str">
        <f>"2017-02-01"</f>
        <v>2017-02-01</v>
      </c>
      <c r="I986" s="1" t="s">
        <v>4955</v>
      </c>
      <c r="J986" s="1" t="str">
        <f t="shared" si="484"/>
        <v>通天汽车桥(天津)有限公司</v>
      </c>
    </row>
    <row r="987" spans="1:10">
      <c r="A987" s="1" t="str">
        <f t="shared" si="482"/>
        <v>通天汽车桥（天津）有限公司</v>
      </c>
      <c r="B987" s="1" t="str">
        <f>"独立悬挂式前驱动后桥总成"</f>
        <v>独立悬挂式前驱动后桥总成</v>
      </c>
      <c r="C987" s="1" t="str">
        <f t="shared" si="493"/>
        <v>发明公布</v>
      </c>
      <c r="D987" s="1" t="str">
        <f>"公布视为撤回"</f>
        <v>公布视为撤回</v>
      </c>
      <c r="E987" s="1" t="str">
        <f>"CN201610860319.0"</f>
        <v>CN201610860319.0</v>
      </c>
      <c r="F987" s="1" t="str">
        <f t="shared" si="491"/>
        <v>2016-09-28</v>
      </c>
      <c r="G987" s="1" t="str">
        <f>"CN106183632A"</f>
        <v>CN106183632A</v>
      </c>
      <c r="H987" s="1" t="str">
        <f>"2016-12-07"</f>
        <v>2016-12-07</v>
      </c>
      <c r="I987" s="1" t="s">
        <v>4955</v>
      </c>
      <c r="J987" s="1" t="str">
        <f t="shared" si="484"/>
        <v>通天汽车桥(天津)有限公司</v>
      </c>
    </row>
    <row r="988" spans="1:10">
      <c r="A988" s="1" t="str">
        <f t="shared" ref="A988:A1002" si="494">"天津大中汽车零部件有限公司"</f>
        <v>天津大中汽车零部件有限公司</v>
      </c>
      <c r="B988" s="1" t="str">
        <f>"一种产品防翘滚切设备"</f>
        <v>一种产品防翘滚切设备</v>
      </c>
      <c r="C988" s="1" t="str">
        <f t="shared" si="493"/>
        <v>发明公布</v>
      </c>
      <c r="D988" s="1" t="str">
        <f t="shared" ref="D988:D990" si="495">"公布驳回"</f>
        <v>公布驳回</v>
      </c>
      <c r="E988" s="1" t="str">
        <f>"CN201510946538.6"</f>
        <v>CN201510946538.6</v>
      </c>
      <c r="F988" s="1" t="str">
        <f t="shared" ref="F988:F990" si="496">"2015-12-15"</f>
        <v>2015-12-15</v>
      </c>
      <c r="G988" s="1" t="str">
        <f>"CN105643697A"</f>
        <v>CN105643697A</v>
      </c>
      <c r="H988" s="1" t="str">
        <f>"2016-06-08"</f>
        <v>2016-06-08</v>
      </c>
      <c r="I988" s="1" t="str">
        <f t="shared" ref="I988:I1002" si="497">"李保华"</f>
        <v>李保华</v>
      </c>
      <c r="J988" s="1" t="str">
        <f t="shared" ref="J988:J1002" si="498">"天津大中汽车零部件有限公司"</f>
        <v>天津大中汽车零部件有限公司</v>
      </c>
    </row>
    <row r="989" spans="1:10">
      <c r="A989" s="1" t="str">
        <f t="shared" si="494"/>
        <v>天津大中汽车零部件有限公司</v>
      </c>
      <c r="B989" s="1" t="str">
        <f>"一种新型滚切机"</f>
        <v>一种新型滚切机</v>
      </c>
      <c r="C989" s="1" t="str">
        <f t="shared" si="493"/>
        <v>发明公布</v>
      </c>
      <c r="D989" s="1" t="str">
        <f t="shared" si="495"/>
        <v>公布驳回</v>
      </c>
      <c r="E989" s="1" t="str">
        <f>"CN201510937087.X"</f>
        <v>CN201510937087.X</v>
      </c>
      <c r="F989" s="1" t="str">
        <f t="shared" si="496"/>
        <v>2015-12-15</v>
      </c>
      <c r="G989" s="1" t="str">
        <f>"CN105538376A"</f>
        <v>CN105538376A</v>
      </c>
      <c r="H989" s="1" t="str">
        <f>"2016-05-04"</f>
        <v>2016-05-04</v>
      </c>
      <c r="I989" s="1" t="str">
        <f t="shared" si="497"/>
        <v>李保华</v>
      </c>
      <c r="J989" s="1" t="str">
        <f t="shared" si="498"/>
        <v>天津大中汽车零部件有限公司</v>
      </c>
    </row>
    <row r="990" spans="1:10">
      <c r="A990" s="1" t="str">
        <f t="shared" si="494"/>
        <v>天津大中汽车零部件有限公司</v>
      </c>
      <c r="B990" s="1" t="str">
        <f>"一种自动化程度高的滚切机"</f>
        <v>一种自动化程度高的滚切机</v>
      </c>
      <c r="C990" s="1" t="str">
        <f t="shared" si="493"/>
        <v>发明公布</v>
      </c>
      <c r="D990" s="1" t="str">
        <f t="shared" si="495"/>
        <v>公布驳回</v>
      </c>
      <c r="E990" s="1" t="str">
        <f>"CN201510937566.1"</f>
        <v>CN201510937566.1</v>
      </c>
      <c r="F990" s="1" t="str">
        <f t="shared" si="496"/>
        <v>2015-12-15</v>
      </c>
      <c r="G990" s="1" t="str">
        <f>"CN105479519A"</f>
        <v>CN105479519A</v>
      </c>
      <c r="H990" s="1" t="str">
        <f>"2016-04-13"</f>
        <v>2016-04-13</v>
      </c>
      <c r="I990" s="1" t="str">
        <f t="shared" si="497"/>
        <v>李保华</v>
      </c>
      <c r="J990" s="1" t="str">
        <f t="shared" si="498"/>
        <v>天津大中汽车零部件有限公司</v>
      </c>
    </row>
    <row r="991" spans="1:10">
      <c r="A991" s="1" t="str">
        <f t="shared" si="494"/>
        <v>天津大中汽车零部件有限公司</v>
      </c>
      <c r="B991" s="1" t="str">
        <f>"一种用于注塑类产品的废料切除装置"</f>
        <v>一种用于注塑类产品的废料切除装置</v>
      </c>
      <c r="C991" s="1" t="str">
        <f t="shared" ref="C991:C993" si="499">"实用新型"</f>
        <v>实用新型</v>
      </c>
      <c r="D991" s="1" t="str">
        <f t="shared" ref="D991:D993" si="500">"未缴年费专利权终止"</f>
        <v>未缴年费专利权终止</v>
      </c>
      <c r="E991" s="1" t="str">
        <f>"CN201420830237.8"</f>
        <v>CN201420830237.8</v>
      </c>
      <c r="F991" s="1" t="str">
        <f t="shared" ref="F991:F996" si="501">"2014-12-23"</f>
        <v>2014-12-23</v>
      </c>
      <c r="G991" s="1" t="str">
        <f>"CN204340126U"</f>
        <v>CN204340126U</v>
      </c>
      <c r="H991" s="1" t="str">
        <f t="shared" ref="H991:H993" si="502">"2015-05-20"</f>
        <v>2015-05-20</v>
      </c>
      <c r="I991" s="1" t="str">
        <f t="shared" si="497"/>
        <v>李保华</v>
      </c>
      <c r="J991" s="1" t="str">
        <f t="shared" si="498"/>
        <v>天津大中汽车零部件有限公司</v>
      </c>
    </row>
    <row r="992" spans="1:10">
      <c r="A992" s="1" t="str">
        <f t="shared" si="494"/>
        <v>天津大中汽车零部件有限公司</v>
      </c>
      <c r="B992" s="1" t="str">
        <f>"一种产品卡簧组装工装"</f>
        <v>一种产品卡簧组装工装</v>
      </c>
      <c r="C992" s="1" t="str">
        <f t="shared" si="499"/>
        <v>实用新型</v>
      </c>
      <c r="D992" s="1" t="str">
        <f t="shared" si="500"/>
        <v>未缴年费专利权终止</v>
      </c>
      <c r="E992" s="1" t="str">
        <f>"CN201420830289.5"</f>
        <v>CN201420830289.5</v>
      </c>
      <c r="F992" s="1" t="str">
        <f t="shared" si="501"/>
        <v>2014-12-23</v>
      </c>
      <c r="G992" s="1" t="str">
        <f>"CN204339731U"</f>
        <v>CN204339731U</v>
      </c>
      <c r="H992" s="1" t="str">
        <f t="shared" si="502"/>
        <v>2015-05-20</v>
      </c>
      <c r="I992" s="1" t="str">
        <f t="shared" si="497"/>
        <v>李保华</v>
      </c>
      <c r="J992" s="1" t="str">
        <f t="shared" si="498"/>
        <v>天津大中汽车零部件有限公司</v>
      </c>
    </row>
    <row r="993" spans="1:10">
      <c r="A993" s="1" t="str">
        <f t="shared" si="494"/>
        <v>天津大中汽车零部件有限公司</v>
      </c>
      <c r="B993" s="1" t="str">
        <f>"一种落料产品组装工装"</f>
        <v>一种落料产品组装工装</v>
      </c>
      <c r="C993" s="1" t="str">
        <f t="shared" si="499"/>
        <v>实用新型</v>
      </c>
      <c r="D993" s="1" t="str">
        <f t="shared" si="500"/>
        <v>未缴年费专利权终止</v>
      </c>
      <c r="E993" s="1" t="str">
        <f>"CN201420832129.4"</f>
        <v>CN201420832129.4</v>
      </c>
      <c r="F993" s="1" t="str">
        <f t="shared" si="501"/>
        <v>2014-12-23</v>
      </c>
      <c r="G993" s="1" t="str">
        <f>"CN204339250U"</f>
        <v>CN204339250U</v>
      </c>
      <c r="H993" s="1" t="str">
        <f t="shared" si="502"/>
        <v>2015-05-20</v>
      </c>
      <c r="I993" s="1" t="str">
        <f t="shared" si="497"/>
        <v>李保华</v>
      </c>
      <c r="J993" s="1" t="str">
        <f t="shared" si="498"/>
        <v>天津大中汽车零部件有限公司</v>
      </c>
    </row>
    <row r="994" spans="1:10">
      <c r="A994" s="1" t="str">
        <f t="shared" si="494"/>
        <v>天津大中汽车零部件有限公司</v>
      </c>
      <c r="B994" s="1" t="str">
        <f>"一种用于注塑类产品的废料切除装置"</f>
        <v>一种用于注塑类产品的废料切除装置</v>
      </c>
      <c r="C994" s="1" t="str">
        <f t="shared" ref="C994:C996" si="503">"发明公布"</f>
        <v>发明公布</v>
      </c>
      <c r="D994" s="1" t="str">
        <f>"公布驳回"</f>
        <v>公布驳回</v>
      </c>
      <c r="E994" s="1" t="str">
        <f>"CN201410814680.0"</f>
        <v>CN201410814680.0</v>
      </c>
      <c r="F994" s="1" t="str">
        <f t="shared" si="501"/>
        <v>2014-12-23</v>
      </c>
      <c r="G994" s="1" t="str">
        <f>"CN104552823A"</f>
        <v>CN104552823A</v>
      </c>
      <c r="H994" s="1" t="str">
        <f>"2015-04-29"</f>
        <v>2015-04-29</v>
      </c>
      <c r="I994" s="1" t="str">
        <f t="shared" si="497"/>
        <v>李保华</v>
      </c>
      <c r="J994" s="1" t="str">
        <f t="shared" si="498"/>
        <v>天津大中汽车零部件有限公司</v>
      </c>
    </row>
    <row r="995" spans="1:10">
      <c r="A995" s="1" t="str">
        <f t="shared" si="494"/>
        <v>天津大中汽车零部件有限公司</v>
      </c>
      <c r="B995" s="1" t="str">
        <f>"一种落料产品组装工装"</f>
        <v>一种落料产品组装工装</v>
      </c>
      <c r="C995" s="1" t="str">
        <f t="shared" si="503"/>
        <v>发明公布</v>
      </c>
      <c r="D995" s="1" t="str">
        <f t="shared" ref="D995:D1000" si="504">"公布视为撤回"</f>
        <v>公布视为撤回</v>
      </c>
      <c r="E995" s="1" t="str">
        <f>"CN201410813936.6"</f>
        <v>CN201410813936.6</v>
      </c>
      <c r="F995" s="1" t="str">
        <f t="shared" si="501"/>
        <v>2014-12-23</v>
      </c>
      <c r="G995" s="1" t="str">
        <f>"CN104526321A"</f>
        <v>CN104526321A</v>
      </c>
      <c r="H995" s="1" t="str">
        <f>"2015-04-22"</f>
        <v>2015-04-22</v>
      </c>
      <c r="I995" s="1" t="str">
        <f t="shared" si="497"/>
        <v>李保华</v>
      </c>
      <c r="J995" s="1" t="str">
        <f t="shared" si="498"/>
        <v>天津大中汽车零部件有限公司</v>
      </c>
    </row>
    <row r="996" spans="1:10">
      <c r="A996" s="1" t="str">
        <f t="shared" si="494"/>
        <v>天津大中汽车零部件有限公司</v>
      </c>
      <c r="B996" s="1" t="str">
        <f>"一种产品卡簧组装工装"</f>
        <v>一种产品卡簧组装工装</v>
      </c>
      <c r="C996" s="1" t="str">
        <f t="shared" si="503"/>
        <v>发明公布</v>
      </c>
      <c r="D996" s="1" t="str">
        <f t="shared" si="504"/>
        <v>公布视为撤回</v>
      </c>
      <c r="E996" s="1" t="str">
        <f>"CN201410816846.2"</f>
        <v>CN201410816846.2</v>
      </c>
      <c r="F996" s="1" t="str">
        <f t="shared" si="501"/>
        <v>2014-12-23</v>
      </c>
      <c r="G996" s="1" t="str">
        <f>"CN104526650A"</f>
        <v>CN104526650A</v>
      </c>
      <c r="H996" s="1" t="str">
        <f>"2015-04-22"</f>
        <v>2015-04-22</v>
      </c>
      <c r="I996" s="1" t="str">
        <f t="shared" si="497"/>
        <v>李保华</v>
      </c>
      <c r="J996" s="1" t="str">
        <f t="shared" si="498"/>
        <v>天津大中汽车零部件有限公司</v>
      </c>
    </row>
    <row r="997" spans="1:10">
      <c r="A997" s="1" t="str">
        <f t="shared" si="494"/>
        <v>天津大中汽车零部件有限公司</v>
      </c>
      <c r="B997" s="1" t="str">
        <f>"金属杆内孔检验装置"</f>
        <v>金属杆内孔检验装置</v>
      </c>
      <c r="C997" s="1" t="str">
        <f t="shared" ref="C997:C1014" si="505">"实用新型"</f>
        <v>实用新型</v>
      </c>
      <c r="D997" s="1" t="str">
        <f t="shared" ref="D997:D1022" si="506">"未缴年费专利权终止"</f>
        <v>未缴年费专利权终止</v>
      </c>
      <c r="E997" s="1" t="str">
        <f>"CN201420670700.7"</f>
        <v>CN201420670700.7</v>
      </c>
      <c r="F997" s="1" t="str">
        <f t="shared" ref="F997:F1000" si="507">"2014-11-11"</f>
        <v>2014-11-11</v>
      </c>
      <c r="G997" s="1" t="str">
        <f>"CN204286403U"</f>
        <v>CN204286403U</v>
      </c>
      <c r="H997" s="1" t="str">
        <f>"2015-04-21"</f>
        <v>2015-04-21</v>
      </c>
      <c r="I997" s="1" t="str">
        <f t="shared" si="497"/>
        <v>李保华</v>
      </c>
      <c r="J997" s="1" t="str">
        <f t="shared" si="498"/>
        <v>天津大中汽车零部件有限公司</v>
      </c>
    </row>
    <row r="998" spans="1:10">
      <c r="A998" s="1" t="str">
        <f t="shared" si="494"/>
        <v>天津大中汽车零部件有限公司</v>
      </c>
      <c r="B998" s="1" t="str">
        <f>"一种金属杆定位长度检验自动化装置"</f>
        <v>一种金属杆定位长度检验自动化装置</v>
      </c>
      <c r="C998" s="1" t="str">
        <f t="shared" si="505"/>
        <v>实用新型</v>
      </c>
      <c r="D998" s="1" t="str">
        <f t="shared" si="506"/>
        <v>未缴年费专利权终止</v>
      </c>
      <c r="E998" s="1" t="str">
        <f>"CN201420670738.4"</f>
        <v>CN201420670738.4</v>
      </c>
      <c r="F998" s="1" t="str">
        <f t="shared" si="507"/>
        <v>2014-11-11</v>
      </c>
      <c r="G998" s="1" t="str">
        <f>"CN204228116U"</f>
        <v>CN204228116U</v>
      </c>
      <c r="H998" s="1" t="str">
        <f>"2015-03-25"</f>
        <v>2015-03-25</v>
      </c>
      <c r="I998" s="1" t="str">
        <f t="shared" si="497"/>
        <v>李保华</v>
      </c>
      <c r="J998" s="1" t="str">
        <f t="shared" si="498"/>
        <v>天津大中汽车零部件有限公司</v>
      </c>
    </row>
    <row r="999" spans="1:10">
      <c r="A999" s="1" t="str">
        <f t="shared" si="494"/>
        <v>天津大中汽车零部件有限公司</v>
      </c>
      <c r="B999" s="1" t="str">
        <f>"一种金属杆定位长度检验自动化装置"</f>
        <v>一种金属杆定位长度检验自动化装置</v>
      </c>
      <c r="C999" s="1" t="str">
        <f>"发明公布"</f>
        <v>发明公布</v>
      </c>
      <c r="D999" s="1" t="str">
        <f>"公布驳回"</f>
        <v>公布驳回</v>
      </c>
      <c r="E999" s="1" t="str">
        <f>"CN201410632379.8"</f>
        <v>CN201410632379.8</v>
      </c>
      <c r="F999" s="1" t="str">
        <f t="shared" si="507"/>
        <v>2014-11-11</v>
      </c>
      <c r="G999" s="1" t="str">
        <f>"CN104390595A"</f>
        <v>CN104390595A</v>
      </c>
      <c r="H999" s="1" t="str">
        <f>"2015-03-04"</f>
        <v>2015-03-04</v>
      </c>
      <c r="I999" s="1" t="str">
        <f t="shared" si="497"/>
        <v>李保华</v>
      </c>
      <c r="J999" s="1" t="str">
        <f t="shared" si="498"/>
        <v>天津大中汽车零部件有限公司</v>
      </c>
    </row>
    <row r="1000" spans="1:10">
      <c r="A1000" s="1" t="str">
        <f t="shared" si="494"/>
        <v>天津大中汽车零部件有限公司</v>
      </c>
      <c r="B1000" s="1" t="str">
        <f>"金属杆内孔检验装置"</f>
        <v>金属杆内孔检验装置</v>
      </c>
      <c r="C1000" s="1" t="str">
        <f>"发明公布"</f>
        <v>发明公布</v>
      </c>
      <c r="D1000" s="1" t="str">
        <f t="shared" si="504"/>
        <v>公布视为撤回</v>
      </c>
      <c r="E1000" s="1" t="str">
        <f>"CN201410630767.2"</f>
        <v>CN201410630767.2</v>
      </c>
      <c r="F1000" s="1" t="str">
        <f t="shared" si="507"/>
        <v>2014-11-11</v>
      </c>
      <c r="G1000" s="1" t="str">
        <f>"CN104359442A"</f>
        <v>CN104359442A</v>
      </c>
      <c r="H1000" s="1" t="str">
        <f>"2015-02-18"</f>
        <v>2015-02-18</v>
      </c>
      <c r="I1000" s="1" t="str">
        <f t="shared" si="497"/>
        <v>李保华</v>
      </c>
      <c r="J1000" s="1" t="str">
        <f t="shared" si="498"/>
        <v>天津大中汽车零部件有限公司</v>
      </c>
    </row>
    <row r="1001" spans="1:10">
      <c r="A1001" s="1" t="str">
        <f t="shared" si="494"/>
        <v>天津大中汽车零部件有限公司</v>
      </c>
      <c r="B1001" s="1" t="str">
        <f>"可配合不同型号车窗框使用的新型车窗"</f>
        <v>可配合不同型号车窗框使用的新型车窗</v>
      </c>
      <c r="C1001" s="1" t="str">
        <f t="shared" si="505"/>
        <v>实用新型</v>
      </c>
      <c r="D1001" s="1" t="str">
        <f t="shared" si="506"/>
        <v>未缴年费专利权终止</v>
      </c>
      <c r="E1001" s="1" t="str">
        <f>"CN201220219049.2"</f>
        <v>CN201220219049.2</v>
      </c>
      <c r="F1001" s="1" t="str">
        <f>"2012-05-16"</f>
        <v>2012-05-16</v>
      </c>
      <c r="G1001" s="1" t="str">
        <f>"CN202703193U"</f>
        <v>CN202703193U</v>
      </c>
      <c r="H1001" s="1" t="str">
        <f>"2013-01-30"</f>
        <v>2013-01-30</v>
      </c>
      <c r="I1001" s="1" t="str">
        <f t="shared" si="497"/>
        <v>李保华</v>
      </c>
      <c r="J1001" s="1" t="str">
        <f t="shared" si="498"/>
        <v>天津大中汽车零部件有限公司</v>
      </c>
    </row>
    <row r="1002" spans="1:10">
      <c r="A1002" s="1" t="str">
        <f t="shared" si="494"/>
        <v>天津大中汽车零部件有限公司</v>
      </c>
      <c r="B1002" s="1" t="str">
        <f>"汽车用分段式活动车窗"</f>
        <v>汽车用分段式活动车窗</v>
      </c>
      <c r="C1002" s="1" t="str">
        <f t="shared" si="505"/>
        <v>实用新型</v>
      </c>
      <c r="D1002" s="1" t="str">
        <f t="shared" si="506"/>
        <v>未缴年费专利权终止</v>
      </c>
      <c r="E1002" s="1" t="str">
        <f>"CN201220219050.5"</f>
        <v>CN201220219050.5</v>
      </c>
      <c r="F1002" s="1" t="str">
        <f>"2012-05-16"</f>
        <v>2012-05-16</v>
      </c>
      <c r="G1002" s="1" t="str">
        <f>"CN202706814U"</f>
        <v>CN202706814U</v>
      </c>
      <c r="H1002" s="1" t="str">
        <f>"2013-01-30"</f>
        <v>2013-01-30</v>
      </c>
      <c r="I1002" s="1" t="str">
        <f t="shared" si="497"/>
        <v>李保华</v>
      </c>
      <c r="J1002" s="1" t="str">
        <f t="shared" si="498"/>
        <v>天津大中汽车零部件有限公司</v>
      </c>
    </row>
    <row r="1003" spans="1:10">
      <c r="A1003" s="1" t="str">
        <f t="shared" ref="A1003:A1022" si="508">"天津日拓汽车电装有限公司"</f>
        <v>天津日拓汽车电装有限公司</v>
      </c>
      <c r="B1003" s="1" t="str">
        <f>"汽车用三位一体式控制器"</f>
        <v>汽车用三位一体式控制器</v>
      </c>
      <c r="C1003" s="1" t="str">
        <f t="shared" si="505"/>
        <v>实用新型</v>
      </c>
      <c r="D1003" s="1" t="str">
        <f t="shared" si="506"/>
        <v>未缴年费专利权终止</v>
      </c>
      <c r="E1003" s="1" t="str">
        <f>"CN201120483131.1"</f>
        <v>CN201120483131.1</v>
      </c>
      <c r="F1003" s="1" t="str">
        <f t="shared" ref="F1003:F1021" si="509">"2011-11-29"</f>
        <v>2011-11-29</v>
      </c>
      <c r="G1003" s="1" t="str">
        <f>"CN202694084U"</f>
        <v>CN202694084U</v>
      </c>
      <c r="H1003" s="1" t="str">
        <f>"2013-01-23"</f>
        <v>2013-01-23</v>
      </c>
      <c r="I1003" s="1" t="str">
        <f t="shared" ref="I1003:I1006" si="510">"张林"</f>
        <v>张林</v>
      </c>
      <c r="J1003" s="1" t="str">
        <f t="shared" ref="J1003:J1022" si="511">"天津日拓汽车电装有限公司"</f>
        <v>天津日拓汽车电装有限公司</v>
      </c>
    </row>
    <row r="1004" spans="1:10">
      <c r="A1004" s="1" t="str">
        <f t="shared" si="508"/>
        <v>天津日拓汽车电装有限公司</v>
      </c>
      <c r="B1004" s="1" t="str">
        <f>"12V汽车用闪光灯、雨刮、后雾灯三位一体式控制器"</f>
        <v>12V汽车用闪光灯、雨刮、后雾灯三位一体式控制器</v>
      </c>
      <c r="C1004" s="1" t="str">
        <f t="shared" si="505"/>
        <v>实用新型</v>
      </c>
      <c r="D1004" s="1" t="str">
        <f t="shared" si="506"/>
        <v>未缴年费专利权终止</v>
      </c>
      <c r="E1004" s="1" t="str">
        <f>"CN201120483120.3"</f>
        <v>CN201120483120.3</v>
      </c>
      <c r="F1004" s="1" t="str">
        <f t="shared" si="509"/>
        <v>2011-11-29</v>
      </c>
      <c r="G1004" s="1" t="str">
        <f>"CN202472355U"</f>
        <v>CN202472355U</v>
      </c>
      <c r="H1004" s="1" t="str">
        <f t="shared" ref="H1004:H1007" si="512">"2012-10-03"</f>
        <v>2012-10-03</v>
      </c>
      <c r="I1004" s="1" t="str">
        <f t="shared" si="510"/>
        <v>张林</v>
      </c>
      <c r="J1004" s="1" t="str">
        <f t="shared" si="511"/>
        <v>天津日拓汽车电装有限公司</v>
      </c>
    </row>
    <row r="1005" spans="1:10">
      <c r="A1005" s="1" t="str">
        <f t="shared" si="508"/>
        <v>天津日拓汽车电装有限公司</v>
      </c>
      <c r="B1005" s="1" t="str">
        <f>"汽车用闪光灯、雨刮、后雾灯一体式控制器"</f>
        <v>汽车用闪光灯、雨刮、后雾灯一体式控制器</v>
      </c>
      <c r="C1005" s="1" t="str">
        <f t="shared" si="505"/>
        <v>实用新型</v>
      </c>
      <c r="D1005" s="1" t="str">
        <f t="shared" si="506"/>
        <v>未缴年费专利权终止</v>
      </c>
      <c r="E1005" s="1" t="str">
        <f>"CN201120483140.0"</f>
        <v>CN201120483140.0</v>
      </c>
      <c r="F1005" s="1" t="str">
        <f t="shared" si="509"/>
        <v>2011-11-29</v>
      </c>
      <c r="G1005" s="1" t="str">
        <f>"CN202472356U"</f>
        <v>CN202472356U</v>
      </c>
      <c r="H1005" s="1" t="str">
        <f t="shared" si="512"/>
        <v>2012-10-03</v>
      </c>
      <c r="I1005" s="1" t="str">
        <f t="shared" si="510"/>
        <v>张林</v>
      </c>
      <c r="J1005" s="1" t="str">
        <f t="shared" si="511"/>
        <v>天津日拓汽车电装有限公司</v>
      </c>
    </row>
    <row r="1006" spans="1:10">
      <c r="A1006" s="1" t="str">
        <f t="shared" si="508"/>
        <v>天津日拓汽车电装有限公司</v>
      </c>
      <c r="B1006" s="1" t="str">
        <f>"车用雨刮和后雾灯两位一体式控制器"</f>
        <v>车用雨刮和后雾灯两位一体式控制器</v>
      </c>
      <c r="C1006" s="1" t="str">
        <f t="shared" si="505"/>
        <v>实用新型</v>
      </c>
      <c r="D1006" s="1" t="str">
        <f t="shared" si="506"/>
        <v>未缴年费专利权终止</v>
      </c>
      <c r="E1006" s="1" t="str">
        <f>"CN201120483082.1"</f>
        <v>CN201120483082.1</v>
      </c>
      <c r="F1006" s="1" t="str">
        <f t="shared" si="509"/>
        <v>2011-11-29</v>
      </c>
      <c r="G1006" s="1" t="str">
        <f>"CN202472354U"</f>
        <v>CN202472354U</v>
      </c>
      <c r="H1006" s="1" t="str">
        <f t="shared" si="512"/>
        <v>2012-10-03</v>
      </c>
      <c r="I1006" s="1" t="str">
        <f t="shared" si="510"/>
        <v>张林</v>
      </c>
      <c r="J1006" s="1" t="str">
        <f t="shared" si="511"/>
        <v>天津日拓汽车电装有限公司</v>
      </c>
    </row>
    <row r="1007" spans="1:10">
      <c r="A1007" s="1" t="str">
        <f t="shared" si="508"/>
        <v>天津日拓汽车电装有限公司</v>
      </c>
      <c r="B1007" s="1" t="str">
        <f>"汽车用闪光灯、雨刮、后雾灯三位一体式控制器"</f>
        <v>汽车用闪光灯、雨刮、后雾灯三位一体式控制器</v>
      </c>
      <c r="C1007" s="1" t="str">
        <f t="shared" si="505"/>
        <v>实用新型</v>
      </c>
      <c r="D1007" s="1" t="str">
        <f t="shared" si="506"/>
        <v>未缴年费专利权终止</v>
      </c>
      <c r="E1007" s="1" t="str">
        <f>"CN201120483166.5"</f>
        <v>CN201120483166.5</v>
      </c>
      <c r="F1007" s="1" t="str">
        <f t="shared" si="509"/>
        <v>2011-11-29</v>
      </c>
      <c r="G1007" s="1" t="str">
        <f>"CN202472357U"</f>
        <v>CN202472357U</v>
      </c>
      <c r="H1007" s="1" t="str">
        <f t="shared" si="512"/>
        <v>2012-10-03</v>
      </c>
      <c r="I1007" s="1" t="str">
        <f>"刘桂香"</f>
        <v>刘桂香</v>
      </c>
      <c r="J1007" s="1" t="str">
        <f t="shared" si="511"/>
        <v>天津日拓汽车电装有限公司</v>
      </c>
    </row>
    <row r="1008" spans="1:10">
      <c r="A1008" s="1" t="str">
        <f t="shared" si="508"/>
        <v>天津日拓汽车电装有限公司</v>
      </c>
      <c r="B1008" s="1" t="str">
        <f>"汽车用雨刮、闪光器两位一体式控制器"</f>
        <v>汽车用雨刮、闪光器两位一体式控制器</v>
      </c>
      <c r="C1008" s="1" t="str">
        <f t="shared" si="505"/>
        <v>实用新型</v>
      </c>
      <c r="D1008" s="1" t="str">
        <f t="shared" si="506"/>
        <v>未缴年费专利权终止</v>
      </c>
      <c r="E1008" s="1" t="str">
        <f>"CN201120483117.1"</f>
        <v>CN201120483117.1</v>
      </c>
      <c r="F1008" s="1" t="str">
        <f t="shared" si="509"/>
        <v>2011-11-29</v>
      </c>
      <c r="G1008" s="1" t="str">
        <f>"CN202404424U"</f>
        <v>CN202404424U</v>
      </c>
      <c r="H1008" s="1" t="str">
        <f t="shared" ref="H1008:H1010" si="513">"2012-08-29"</f>
        <v>2012-08-29</v>
      </c>
      <c r="I1008" s="1" t="str">
        <f t="shared" ref="I1008:I1012" si="514">"张林"</f>
        <v>张林</v>
      </c>
      <c r="J1008" s="1" t="str">
        <f t="shared" si="511"/>
        <v>天津日拓汽车电装有限公司</v>
      </c>
    </row>
    <row r="1009" spans="1:10">
      <c r="A1009" s="1" t="str">
        <f t="shared" si="508"/>
        <v>天津日拓汽车电装有限公司</v>
      </c>
      <c r="B1009" s="1" t="str">
        <f>"24V车用后雾灯控制器"</f>
        <v>24V车用后雾灯控制器</v>
      </c>
      <c r="C1009" s="1" t="str">
        <f t="shared" si="505"/>
        <v>实用新型</v>
      </c>
      <c r="D1009" s="1" t="str">
        <f t="shared" si="506"/>
        <v>未缴年费专利权终止</v>
      </c>
      <c r="E1009" s="1" t="str">
        <f>"CN201120483081.7"</f>
        <v>CN201120483081.7</v>
      </c>
      <c r="F1009" s="1" t="str">
        <f t="shared" si="509"/>
        <v>2011-11-29</v>
      </c>
      <c r="G1009" s="1" t="str">
        <f>"CN202400005U"</f>
        <v>CN202400005U</v>
      </c>
      <c r="H1009" s="1" t="str">
        <f t="shared" si="513"/>
        <v>2012-08-29</v>
      </c>
      <c r="I1009" s="1" t="str">
        <f t="shared" si="514"/>
        <v>张林</v>
      </c>
      <c r="J1009" s="1" t="str">
        <f t="shared" si="511"/>
        <v>天津日拓汽车电装有限公司</v>
      </c>
    </row>
    <row r="1010" spans="1:10">
      <c r="A1010" s="1" t="str">
        <f t="shared" si="508"/>
        <v>天津日拓汽车电装有限公司</v>
      </c>
      <c r="B1010" s="1" t="str">
        <f>"车速继电器盒控制器"</f>
        <v>车速继电器盒控制器</v>
      </c>
      <c r="C1010" s="1" t="str">
        <f t="shared" si="505"/>
        <v>实用新型</v>
      </c>
      <c r="D1010" s="1" t="str">
        <f t="shared" si="506"/>
        <v>未缴年费专利权终止</v>
      </c>
      <c r="E1010" s="1" t="str">
        <f>"CN201120483085.5"</f>
        <v>CN201120483085.5</v>
      </c>
      <c r="F1010" s="1" t="str">
        <f t="shared" si="509"/>
        <v>2011-11-29</v>
      </c>
      <c r="G1010" s="1" t="str">
        <f>"CN202399919U"</f>
        <v>CN202399919U</v>
      </c>
      <c r="H1010" s="1" t="str">
        <f t="shared" si="513"/>
        <v>2012-08-29</v>
      </c>
      <c r="I1010" s="1" t="str">
        <f t="shared" si="514"/>
        <v>张林</v>
      </c>
      <c r="J1010" s="1" t="str">
        <f t="shared" si="511"/>
        <v>天津日拓汽车电装有限公司</v>
      </c>
    </row>
    <row r="1011" spans="1:10">
      <c r="A1011" s="1" t="str">
        <f t="shared" si="508"/>
        <v>天津日拓汽车电装有限公司</v>
      </c>
      <c r="B1011" s="1" t="str">
        <f>"档位继电器盒控制器"</f>
        <v>档位继电器盒控制器</v>
      </c>
      <c r="C1011" s="1" t="str">
        <f t="shared" si="505"/>
        <v>实用新型</v>
      </c>
      <c r="D1011" s="1" t="str">
        <f t="shared" si="506"/>
        <v>未缴年费专利权终止</v>
      </c>
      <c r="E1011" s="1" t="str">
        <f>"CN201120483094.4"</f>
        <v>CN201120483094.4</v>
      </c>
      <c r="F1011" s="1" t="str">
        <f t="shared" si="509"/>
        <v>2011-11-29</v>
      </c>
      <c r="G1011" s="1" t="str">
        <f>"CN202349193U"</f>
        <v>CN202349193U</v>
      </c>
      <c r="H1011" s="1" t="str">
        <f t="shared" ref="H1011:H1014" si="515">"2012-07-25"</f>
        <v>2012-07-25</v>
      </c>
      <c r="I1011" s="1" t="str">
        <f t="shared" si="514"/>
        <v>张林</v>
      </c>
      <c r="J1011" s="1" t="str">
        <f t="shared" si="511"/>
        <v>天津日拓汽车电装有限公司</v>
      </c>
    </row>
    <row r="1012" spans="1:10">
      <c r="A1012" s="1" t="str">
        <f t="shared" si="508"/>
        <v>天津日拓汽车电装有限公司</v>
      </c>
      <c r="B1012" s="1" t="str">
        <f>"汽车用闪光灯和雨刮及后雾灯三位一体式控制器"</f>
        <v>汽车用闪光灯和雨刮及后雾灯三位一体式控制器</v>
      </c>
      <c r="C1012" s="1" t="str">
        <f t="shared" si="505"/>
        <v>实用新型</v>
      </c>
      <c r="D1012" s="1" t="str">
        <f t="shared" si="506"/>
        <v>未缴年费专利权终止</v>
      </c>
      <c r="E1012" s="1" t="str">
        <f>"CN201120483135.X"</f>
        <v>CN201120483135.X</v>
      </c>
      <c r="F1012" s="1" t="str">
        <f t="shared" si="509"/>
        <v>2011-11-29</v>
      </c>
      <c r="G1012" s="1" t="str">
        <f>"CN202351678U"</f>
        <v>CN202351678U</v>
      </c>
      <c r="H1012" s="1" t="str">
        <f t="shared" si="515"/>
        <v>2012-07-25</v>
      </c>
      <c r="I1012" s="1" t="str">
        <f t="shared" si="514"/>
        <v>张林</v>
      </c>
      <c r="J1012" s="1" t="str">
        <f t="shared" si="511"/>
        <v>天津日拓汽车电装有限公司</v>
      </c>
    </row>
    <row r="1013" spans="1:10">
      <c r="A1013" s="1" t="str">
        <f t="shared" si="508"/>
        <v>天津日拓汽车电装有限公司</v>
      </c>
      <c r="B1013" s="1" t="str">
        <f>"12V后雾灯控制器"</f>
        <v>12V后雾灯控制器</v>
      </c>
      <c r="C1013" s="1" t="str">
        <f t="shared" si="505"/>
        <v>实用新型</v>
      </c>
      <c r="D1013" s="1" t="str">
        <f t="shared" si="506"/>
        <v>未缴年费专利权终止</v>
      </c>
      <c r="E1013" s="1" t="str">
        <f>"CN201120483183.9"</f>
        <v>CN201120483183.9</v>
      </c>
      <c r="F1013" s="1" t="str">
        <f t="shared" si="509"/>
        <v>2011-11-29</v>
      </c>
      <c r="G1013" s="1" t="str">
        <f>"CN202345512U"</f>
        <v>CN202345512U</v>
      </c>
      <c r="H1013" s="1" t="str">
        <f t="shared" si="515"/>
        <v>2012-07-25</v>
      </c>
      <c r="I1013" s="1" t="str">
        <f>"刘桂香"</f>
        <v>刘桂香</v>
      </c>
      <c r="J1013" s="1" t="str">
        <f t="shared" si="511"/>
        <v>天津日拓汽车电装有限公司</v>
      </c>
    </row>
    <row r="1014" spans="1:10">
      <c r="A1014" s="1" t="str">
        <f t="shared" si="508"/>
        <v>天津日拓汽车电装有限公司</v>
      </c>
      <c r="B1014" s="1" t="str">
        <f>"车用转向断丝报警控制电路"</f>
        <v>车用转向断丝报警控制电路</v>
      </c>
      <c r="C1014" s="1" t="str">
        <f t="shared" si="505"/>
        <v>实用新型</v>
      </c>
      <c r="D1014" s="1" t="str">
        <f t="shared" si="506"/>
        <v>未缴年费专利权终止</v>
      </c>
      <c r="E1014" s="1" t="str">
        <f>"CN201120483128.X"</f>
        <v>CN201120483128.X</v>
      </c>
      <c r="F1014" s="1" t="str">
        <f t="shared" si="509"/>
        <v>2011-11-29</v>
      </c>
      <c r="G1014" s="1" t="str">
        <f>"CN202345536U"</f>
        <v>CN202345536U</v>
      </c>
      <c r="H1014" s="1" t="str">
        <f t="shared" si="515"/>
        <v>2012-07-25</v>
      </c>
      <c r="I1014" s="1" t="str">
        <f>"张林"</f>
        <v>张林</v>
      </c>
      <c r="J1014" s="1" t="str">
        <f t="shared" si="511"/>
        <v>天津日拓汽车电装有限公司</v>
      </c>
    </row>
    <row r="1015" spans="1:10">
      <c r="A1015" s="1" t="str">
        <f t="shared" si="508"/>
        <v>天津日拓汽车电装有限公司</v>
      </c>
      <c r="B1015" s="1" t="str">
        <f>"胶套(5)"</f>
        <v>胶套(5)</v>
      </c>
      <c r="C1015" s="1" t="str">
        <f t="shared" ref="C1015:C1021" si="516">"外观设计"</f>
        <v>外观设计</v>
      </c>
      <c r="D1015" s="1" t="str">
        <f t="shared" si="506"/>
        <v>未缴年费专利权终止</v>
      </c>
      <c r="E1015" s="1" t="str">
        <f>"CN201130445408.7"</f>
        <v>CN201130445408.7</v>
      </c>
      <c r="F1015" s="1" t="str">
        <f t="shared" si="509"/>
        <v>2011-11-29</v>
      </c>
      <c r="G1015" s="1" t="str">
        <f>"CN301966702S"</f>
        <v>CN301966702S</v>
      </c>
      <c r="H1015" s="1" t="str">
        <f>"2012-06-27"</f>
        <v>2012-06-27</v>
      </c>
      <c r="I1015" s="1" t="str">
        <f t="shared" ref="I1015:I1022" si="517">"王祥"</f>
        <v>王祥</v>
      </c>
      <c r="J1015" s="1" t="str">
        <f t="shared" si="511"/>
        <v>天津日拓汽车电装有限公司</v>
      </c>
    </row>
    <row r="1016" spans="1:10">
      <c r="A1016" s="1" t="str">
        <f t="shared" si="508"/>
        <v>天津日拓汽车电装有限公司</v>
      </c>
      <c r="B1016" s="1" t="str">
        <f>"保险盒(2)"</f>
        <v>保险盒(2)</v>
      </c>
      <c r="C1016" s="1" t="str">
        <f t="shared" si="516"/>
        <v>外观设计</v>
      </c>
      <c r="D1016" s="1" t="str">
        <f t="shared" si="506"/>
        <v>未缴年费专利权终止</v>
      </c>
      <c r="E1016" s="1" t="str">
        <f>"CN201130445392.X"</f>
        <v>CN201130445392.X</v>
      </c>
      <c r="F1016" s="1" t="str">
        <f t="shared" si="509"/>
        <v>2011-11-29</v>
      </c>
      <c r="G1016" s="1" t="str">
        <f>"CN301966941S"</f>
        <v>CN301966941S</v>
      </c>
      <c r="H1016" s="1" t="str">
        <f>"2012-06-27"</f>
        <v>2012-06-27</v>
      </c>
      <c r="I1016" s="1" t="str">
        <f t="shared" si="517"/>
        <v>王祥</v>
      </c>
      <c r="J1016" s="1" t="str">
        <f t="shared" si="511"/>
        <v>天津日拓汽车电装有限公司</v>
      </c>
    </row>
    <row r="1017" spans="1:10">
      <c r="A1017" s="1" t="str">
        <f t="shared" si="508"/>
        <v>天津日拓汽车电装有限公司</v>
      </c>
      <c r="B1017" s="1" t="str">
        <f>"组合式防水保险盒"</f>
        <v>组合式防水保险盒</v>
      </c>
      <c r="C1017" s="1" t="str">
        <f t="shared" si="516"/>
        <v>外观设计</v>
      </c>
      <c r="D1017" s="1" t="str">
        <f t="shared" si="506"/>
        <v>未缴年费专利权终止</v>
      </c>
      <c r="E1017" s="1" t="str">
        <f>"CN201130445315.4"</f>
        <v>CN201130445315.4</v>
      </c>
      <c r="F1017" s="1" t="str">
        <f t="shared" si="509"/>
        <v>2011-11-29</v>
      </c>
      <c r="G1017" s="1" t="str">
        <f>"CN301938159S"</f>
        <v>CN301938159S</v>
      </c>
      <c r="H1017" s="1" t="str">
        <f>"2012-05-30"</f>
        <v>2012-05-30</v>
      </c>
      <c r="I1017" s="1" t="str">
        <f t="shared" si="517"/>
        <v>王祥</v>
      </c>
      <c r="J1017" s="1" t="str">
        <f t="shared" si="511"/>
        <v>天津日拓汽车电装有限公司</v>
      </c>
    </row>
    <row r="1018" spans="1:10">
      <c r="A1018" s="1" t="str">
        <f t="shared" si="508"/>
        <v>天津日拓汽车电装有限公司</v>
      </c>
      <c r="B1018" s="1" t="str">
        <f>"胶套(3)"</f>
        <v>胶套(3)</v>
      </c>
      <c r="C1018" s="1" t="str">
        <f t="shared" si="516"/>
        <v>外观设计</v>
      </c>
      <c r="D1018" s="1" t="str">
        <f t="shared" si="506"/>
        <v>未缴年费专利权终止</v>
      </c>
      <c r="E1018" s="1" t="str">
        <f>"CN201130445395.3"</f>
        <v>CN201130445395.3</v>
      </c>
      <c r="F1018" s="1" t="str">
        <f t="shared" si="509"/>
        <v>2011-11-29</v>
      </c>
      <c r="G1018" s="1" t="str">
        <f>"CN301937691S"</f>
        <v>CN301937691S</v>
      </c>
      <c r="H1018" s="1" t="str">
        <f>"2012-05-30"</f>
        <v>2012-05-30</v>
      </c>
      <c r="I1018" s="1" t="str">
        <f t="shared" si="517"/>
        <v>王祥</v>
      </c>
      <c r="J1018" s="1" t="str">
        <f t="shared" si="511"/>
        <v>天津日拓汽车电装有限公司</v>
      </c>
    </row>
    <row r="1019" spans="1:10">
      <c r="A1019" s="1" t="str">
        <f t="shared" si="508"/>
        <v>天津日拓汽车电装有限公司</v>
      </c>
      <c r="B1019" s="1" t="str">
        <f>"胶套(2)"</f>
        <v>胶套(2)</v>
      </c>
      <c r="C1019" s="1" t="str">
        <f t="shared" si="516"/>
        <v>外观设计</v>
      </c>
      <c r="D1019" s="1" t="str">
        <f t="shared" si="506"/>
        <v>未缴年费专利权终止</v>
      </c>
      <c r="E1019" s="1" t="str">
        <f>"CN201130445394.9"</f>
        <v>CN201130445394.9</v>
      </c>
      <c r="F1019" s="1" t="str">
        <f t="shared" si="509"/>
        <v>2011-11-29</v>
      </c>
      <c r="G1019" s="1" t="str">
        <f>"CN301882577S"</f>
        <v>CN301882577S</v>
      </c>
      <c r="H1019" s="1" t="str">
        <f t="shared" ref="H1019:H1021" si="518">"2012-04-11"</f>
        <v>2012-04-11</v>
      </c>
      <c r="I1019" s="1" t="str">
        <f t="shared" si="517"/>
        <v>王祥</v>
      </c>
      <c r="J1019" s="1" t="str">
        <f t="shared" si="511"/>
        <v>天津日拓汽车电装有限公司</v>
      </c>
    </row>
    <row r="1020" spans="1:10">
      <c r="A1020" s="1" t="str">
        <f t="shared" si="508"/>
        <v>天津日拓汽车电装有限公司</v>
      </c>
      <c r="B1020" s="1" t="str">
        <f>"胶套(4)"</f>
        <v>胶套(4)</v>
      </c>
      <c r="C1020" s="1" t="str">
        <f t="shared" si="516"/>
        <v>外观设计</v>
      </c>
      <c r="D1020" s="1" t="str">
        <f t="shared" si="506"/>
        <v>未缴年费专利权终止</v>
      </c>
      <c r="E1020" s="1" t="str">
        <f>"CN201130445407.2"</f>
        <v>CN201130445407.2</v>
      </c>
      <c r="F1020" s="1" t="str">
        <f t="shared" si="509"/>
        <v>2011-11-29</v>
      </c>
      <c r="G1020" s="1" t="str">
        <f>"CN301882578S"</f>
        <v>CN301882578S</v>
      </c>
      <c r="H1020" s="1" t="str">
        <f t="shared" si="518"/>
        <v>2012-04-11</v>
      </c>
      <c r="I1020" s="1" t="str">
        <f t="shared" si="517"/>
        <v>王祥</v>
      </c>
      <c r="J1020" s="1" t="str">
        <f t="shared" si="511"/>
        <v>天津日拓汽车电装有限公司</v>
      </c>
    </row>
    <row r="1021" spans="1:10">
      <c r="A1021" s="1" t="str">
        <f t="shared" si="508"/>
        <v>天津日拓汽车电装有限公司</v>
      </c>
      <c r="B1021" s="1" t="str">
        <f>"胶套(1)"</f>
        <v>胶套(1)</v>
      </c>
      <c r="C1021" s="1" t="str">
        <f t="shared" si="516"/>
        <v>外观设计</v>
      </c>
      <c r="D1021" s="1" t="str">
        <f t="shared" si="506"/>
        <v>未缴年费专利权终止</v>
      </c>
      <c r="E1021" s="1" t="str">
        <f>"CN201130445393.4"</f>
        <v>CN201130445393.4</v>
      </c>
      <c r="F1021" s="1" t="str">
        <f t="shared" si="509"/>
        <v>2011-11-29</v>
      </c>
      <c r="G1021" s="1" t="str">
        <f>"CN301882576S"</f>
        <v>CN301882576S</v>
      </c>
      <c r="H1021" s="1" t="str">
        <f t="shared" si="518"/>
        <v>2012-04-11</v>
      </c>
      <c r="I1021" s="1" t="str">
        <f t="shared" si="517"/>
        <v>王祥</v>
      </c>
      <c r="J1021" s="1" t="str">
        <f t="shared" si="511"/>
        <v>天津日拓汽车电装有限公司</v>
      </c>
    </row>
    <row r="1022" spans="1:10">
      <c r="A1022" s="1" t="str">
        <f t="shared" si="508"/>
        <v>天津日拓汽车电装有限公司</v>
      </c>
      <c r="B1022" s="1" t="str">
        <f>"一种基于数字信号处理的汽车电器保护控制装置"</f>
        <v>一种基于数字信号处理的汽车电器保护控制装置</v>
      </c>
      <c r="C1022" s="1" t="str">
        <f t="shared" ref="C1022:C1028" si="519">"实用新型"</f>
        <v>实用新型</v>
      </c>
      <c r="D1022" s="1" t="str">
        <f t="shared" si="506"/>
        <v>未缴年费专利权终止</v>
      </c>
      <c r="E1022" s="1" t="str">
        <f>"CN200720098093.1"</f>
        <v>CN200720098093.1</v>
      </c>
      <c r="F1022" s="1" t="str">
        <f>"2007-11-26"</f>
        <v>2007-11-26</v>
      </c>
      <c r="G1022" s="1" t="str">
        <f>"CN201197071"</f>
        <v>CN201197071</v>
      </c>
      <c r="H1022" s="1" t="str">
        <f>"2009-02-18"</f>
        <v>2009-02-18</v>
      </c>
      <c r="I1022" s="1" t="str">
        <f t="shared" si="517"/>
        <v>王祥</v>
      </c>
      <c r="J1022" s="1" t="str">
        <f t="shared" si="511"/>
        <v>天津日拓汽车电装有限公司</v>
      </c>
    </row>
    <row r="1023" spans="1:10">
      <c r="A1023" s="1" t="str">
        <f t="shared" ref="A1023:A1076" si="520">"天津市环球汽车配件有限公司"</f>
        <v>天津市环球汽车配件有限公司</v>
      </c>
      <c r="B1023" s="1" t="str">
        <f>"一种用于辊锻机连续加工的工件调头机构"</f>
        <v>一种用于辊锻机连续加工的工件调头机构</v>
      </c>
      <c r="C1023" s="1" t="str">
        <f t="shared" si="519"/>
        <v>实用新型</v>
      </c>
      <c r="D1023" s="1" t="str">
        <f t="shared" ref="D1023:D1030" si="521">"授权"</f>
        <v>授权</v>
      </c>
      <c r="E1023" s="1" t="str">
        <f>"CN202321630820.X"</f>
        <v>CN202321630820.X</v>
      </c>
      <c r="F1023" s="1" t="str">
        <f>"2023-06-26"</f>
        <v>2023-06-26</v>
      </c>
      <c r="G1023" s="1" t="str">
        <f>"CN220970670U"</f>
        <v>CN220970670U</v>
      </c>
      <c r="H1023" s="1" t="str">
        <f>"2024-05-17"</f>
        <v>2024-05-17</v>
      </c>
      <c r="I1023" s="1" t="s">
        <v>4956</v>
      </c>
      <c r="J1023" s="1" t="str">
        <f t="shared" ref="J1023:J1076" si="522">"天津市环球汽车配件有限公司"</f>
        <v>天津市环球汽车配件有限公司</v>
      </c>
    </row>
    <row r="1024" spans="1:10">
      <c r="A1024" s="1" t="str">
        <f t="shared" si="520"/>
        <v>天津市环球汽车配件有限公司</v>
      </c>
      <c r="B1024" s="1" t="str">
        <f>"一种便于移动的吨桶底托"</f>
        <v>一种便于移动的吨桶底托</v>
      </c>
      <c r="C1024" s="1" t="str">
        <f t="shared" si="519"/>
        <v>实用新型</v>
      </c>
      <c r="D1024" s="1" t="str">
        <f t="shared" si="521"/>
        <v>授权</v>
      </c>
      <c r="E1024" s="1" t="str">
        <f>"CN202321563857.5"</f>
        <v>CN202321563857.5</v>
      </c>
      <c r="F1024" s="1" t="str">
        <f t="shared" ref="F1024:F1027" si="523">"2023-06-19"</f>
        <v>2023-06-19</v>
      </c>
      <c r="G1024" s="1" t="str">
        <f>"CN220595853U"</f>
        <v>CN220595853U</v>
      </c>
      <c r="H1024" s="1" t="str">
        <f t="shared" ref="H1024:H1027" si="524">"2024-03-15"</f>
        <v>2024-03-15</v>
      </c>
      <c r="I1024" s="1" t="s">
        <v>4957</v>
      </c>
      <c r="J1024" s="1" t="str">
        <f t="shared" si="522"/>
        <v>天津市环球汽车配件有限公司</v>
      </c>
    </row>
    <row r="1025" spans="1:10">
      <c r="A1025" s="1" t="str">
        <f t="shared" si="520"/>
        <v>天津市环球汽车配件有限公司</v>
      </c>
      <c r="B1025" s="1" t="str">
        <f>"一种汽车部件运输架"</f>
        <v>一种汽车部件运输架</v>
      </c>
      <c r="C1025" s="1" t="str">
        <f t="shared" si="519"/>
        <v>实用新型</v>
      </c>
      <c r="D1025" s="1" t="str">
        <f t="shared" si="521"/>
        <v>授权</v>
      </c>
      <c r="E1025" s="1" t="str">
        <f>"CN202321563871.5"</f>
        <v>CN202321563871.5</v>
      </c>
      <c r="F1025" s="1" t="str">
        <f t="shared" si="523"/>
        <v>2023-06-19</v>
      </c>
      <c r="G1025" s="1" t="str">
        <f>"CN220595722U"</f>
        <v>CN220595722U</v>
      </c>
      <c r="H1025" s="1" t="str">
        <f t="shared" si="524"/>
        <v>2024-03-15</v>
      </c>
      <c r="I1025" s="1" t="s">
        <v>4958</v>
      </c>
      <c r="J1025" s="1" t="str">
        <f t="shared" si="522"/>
        <v>天津市环球汽车配件有限公司</v>
      </c>
    </row>
    <row r="1026" spans="1:10">
      <c r="A1026" s="1" t="str">
        <f t="shared" si="520"/>
        <v>天津市环球汽车配件有限公司</v>
      </c>
      <c r="B1026" s="1" t="str">
        <f>"一种汽车制动部件缺陷检测装置"</f>
        <v>一种汽车制动部件缺陷检测装置</v>
      </c>
      <c r="C1026" s="1" t="str">
        <f t="shared" si="519"/>
        <v>实用新型</v>
      </c>
      <c r="D1026" s="1" t="str">
        <f t="shared" si="521"/>
        <v>授权</v>
      </c>
      <c r="E1026" s="1" t="str">
        <f>"CN202321563886.1"</f>
        <v>CN202321563886.1</v>
      </c>
      <c r="F1026" s="1" t="str">
        <f t="shared" si="523"/>
        <v>2023-06-19</v>
      </c>
      <c r="G1026" s="1" t="str">
        <f>"CN220603331U"</f>
        <v>CN220603331U</v>
      </c>
      <c r="H1026" s="1" t="str">
        <f t="shared" si="524"/>
        <v>2024-03-15</v>
      </c>
      <c r="I1026" s="1" t="s">
        <v>4959</v>
      </c>
      <c r="J1026" s="1" t="str">
        <f t="shared" si="522"/>
        <v>天津市环球汽车配件有限公司</v>
      </c>
    </row>
    <row r="1027" spans="1:10">
      <c r="A1027" s="1" t="str">
        <f t="shared" si="520"/>
        <v>天津市环球汽车配件有限公司</v>
      </c>
      <c r="B1027" s="1" t="str">
        <f>"一种叉车货叉加长装置"</f>
        <v>一种叉车货叉加长装置</v>
      </c>
      <c r="C1027" s="1" t="str">
        <f t="shared" si="519"/>
        <v>实用新型</v>
      </c>
      <c r="D1027" s="1" t="str">
        <f t="shared" si="521"/>
        <v>授权</v>
      </c>
      <c r="E1027" s="1" t="str">
        <f>"CN202321563850.3"</f>
        <v>CN202321563850.3</v>
      </c>
      <c r="F1027" s="1" t="str">
        <f t="shared" si="523"/>
        <v>2023-06-19</v>
      </c>
      <c r="G1027" s="1" t="str">
        <f>"CN220596958U"</f>
        <v>CN220596958U</v>
      </c>
      <c r="H1027" s="1" t="str">
        <f t="shared" si="524"/>
        <v>2024-03-15</v>
      </c>
      <c r="I1027" s="1" t="s">
        <v>4960</v>
      </c>
      <c r="J1027" s="1" t="str">
        <f t="shared" si="522"/>
        <v>天津市环球汽车配件有限公司</v>
      </c>
    </row>
    <row r="1028" spans="1:10">
      <c r="A1028" s="1" t="str">
        <f t="shared" si="520"/>
        <v>天津市环球汽车配件有限公司</v>
      </c>
      <c r="B1028" s="1" t="str">
        <f>"电动摩托车换电系统"</f>
        <v>电动摩托车换电系统</v>
      </c>
      <c r="C1028" s="1" t="str">
        <f t="shared" si="519"/>
        <v>实用新型</v>
      </c>
      <c r="D1028" s="1" t="str">
        <f t="shared" si="521"/>
        <v>授权</v>
      </c>
      <c r="E1028" s="1" t="str">
        <f>"CN202120748263.6"</f>
        <v>CN202120748263.6</v>
      </c>
      <c r="F1028" s="1" t="str">
        <f t="shared" ref="F1028:F1031" si="525">"2021-04-13"</f>
        <v>2021-04-13</v>
      </c>
      <c r="G1028" s="1" t="str">
        <f>"CN215526806U"</f>
        <v>CN215526806U</v>
      </c>
      <c r="H1028" s="1" t="str">
        <f>"2022-01-14"</f>
        <v>2022-01-14</v>
      </c>
      <c r="I1028" s="1" t="s">
        <v>4961</v>
      </c>
      <c r="J1028" s="1" t="str">
        <f t="shared" si="522"/>
        <v>天津市环球汽车配件有限公司</v>
      </c>
    </row>
    <row r="1029" spans="1:10">
      <c r="A1029" s="1" t="str">
        <f t="shared" si="520"/>
        <v>天津市环球汽车配件有限公司</v>
      </c>
      <c r="B1029" s="1" t="str">
        <f>"电动车换电柜（主柜）"</f>
        <v>电动车换电柜（主柜）</v>
      </c>
      <c r="C1029" s="1" t="str">
        <f>"外观设计"</f>
        <v>外观设计</v>
      </c>
      <c r="D1029" s="1" t="str">
        <f t="shared" si="521"/>
        <v>授权</v>
      </c>
      <c r="E1029" s="1" t="str">
        <f>"CN202130206782.5"</f>
        <v>CN202130206782.5</v>
      </c>
      <c r="F1029" s="1" t="str">
        <f t="shared" si="525"/>
        <v>2021-04-13</v>
      </c>
      <c r="G1029" s="1" t="str">
        <f>"CN306777113S"</f>
        <v>CN306777113S</v>
      </c>
      <c r="H1029" s="1" t="str">
        <f>"2021-08-24"</f>
        <v>2021-08-24</v>
      </c>
      <c r="I1029" s="1" t="s">
        <v>4961</v>
      </c>
      <c r="J1029" s="1" t="str">
        <f t="shared" si="522"/>
        <v>天津市环球汽车配件有限公司</v>
      </c>
    </row>
    <row r="1030" spans="1:10">
      <c r="A1030" s="1" t="str">
        <f t="shared" si="520"/>
        <v>天津市环球汽车配件有限公司</v>
      </c>
      <c r="B1030" s="1" t="str">
        <f>"电动车换电柜（副柜）"</f>
        <v>电动车换电柜（副柜）</v>
      </c>
      <c r="C1030" s="1" t="str">
        <f>"外观设计"</f>
        <v>外观设计</v>
      </c>
      <c r="D1030" s="1" t="str">
        <f t="shared" si="521"/>
        <v>授权</v>
      </c>
      <c r="E1030" s="1" t="str">
        <f>"CN202130206768.5"</f>
        <v>CN202130206768.5</v>
      </c>
      <c r="F1030" s="1" t="str">
        <f t="shared" si="525"/>
        <v>2021-04-13</v>
      </c>
      <c r="G1030" s="1" t="str">
        <f>"CN306777112S"</f>
        <v>CN306777112S</v>
      </c>
      <c r="H1030" s="1" t="str">
        <f>"2021-08-24"</f>
        <v>2021-08-24</v>
      </c>
      <c r="I1030" s="1" t="s">
        <v>4961</v>
      </c>
      <c r="J1030" s="1" t="str">
        <f t="shared" si="522"/>
        <v>天津市环球汽车配件有限公司</v>
      </c>
    </row>
    <row r="1031" spans="1:10">
      <c r="A1031" s="1" t="str">
        <f t="shared" si="520"/>
        <v>天津市环球汽车配件有限公司</v>
      </c>
      <c r="B1031" s="1" t="str">
        <f>"电动摩托车换电系统"</f>
        <v>电动摩托车换电系统</v>
      </c>
      <c r="C1031" s="1" t="str">
        <f>"发明公布"</f>
        <v>发明公布</v>
      </c>
      <c r="D1031" s="1" t="str">
        <f>"公布驳回"</f>
        <v>公布驳回</v>
      </c>
      <c r="E1031" s="1" t="str">
        <f>"CN202110395406.4"</f>
        <v>CN202110395406.4</v>
      </c>
      <c r="F1031" s="1" t="str">
        <f t="shared" si="525"/>
        <v>2021-04-13</v>
      </c>
      <c r="G1031" s="1" t="str">
        <f>"CN113096322A"</f>
        <v>CN113096322A</v>
      </c>
      <c r="H1031" s="1" t="str">
        <f>"2021-07-09"</f>
        <v>2021-07-09</v>
      </c>
      <c r="I1031" s="1" t="s">
        <v>4961</v>
      </c>
      <c r="J1031" s="1" t="str">
        <f t="shared" si="522"/>
        <v>天津市环球汽车配件有限公司</v>
      </c>
    </row>
    <row r="1032" spans="1:10">
      <c r="A1032" s="1" t="str">
        <f t="shared" si="520"/>
        <v>天津市环球汽车配件有限公司</v>
      </c>
      <c r="B1032" s="1" t="str">
        <f>"一种汽车排气管辅助装置"</f>
        <v>一种汽车排气管辅助装置</v>
      </c>
      <c r="C1032" s="1" t="str">
        <f t="shared" ref="C1032:C1037" si="526">"实用新型"</f>
        <v>实用新型</v>
      </c>
      <c r="D1032" s="1" t="str">
        <f t="shared" ref="D1032:D1037" si="527">"授权"</f>
        <v>授权</v>
      </c>
      <c r="E1032" s="1" t="str">
        <f>"CN202022054792.4"</f>
        <v>CN202022054792.4</v>
      </c>
      <c r="F1032" s="1" t="str">
        <f t="shared" ref="F1032:F1038" si="528">"2020-09-18"</f>
        <v>2020-09-18</v>
      </c>
      <c r="G1032" s="1" t="str">
        <f>"CN213574304U"</f>
        <v>CN213574304U</v>
      </c>
      <c r="H1032" s="1" t="str">
        <f t="shared" ref="H1032:H1037" si="529">"2021-06-29"</f>
        <v>2021-06-29</v>
      </c>
      <c r="I1032" s="1" t="s">
        <v>4962</v>
      </c>
      <c r="J1032" s="1" t="str">
        <f t="shared" si="522"/>
        <v>天津市环球汽车配件有限公司</v>
      </c>
    </row>
    <row r="1033" spans="1:10">
      <c r="A1033" s="1" t="str">
        <f t="shared" si="520"/>
        <v>天津市环球汽车配件有限公司</v>
      </c>
      <c r="B1033" s="1" t="str">
        <f>"一种高效汽车排气管隔热罩总成"</f>
        <v>一种高效汽车排气管隔热罩总成</v>
      </c>
      <c r="C1033" s="1" t="str">
        <f t="shared" si="526"/>
        <v>实用新型</v>
      </c>
      <c r="D1033" s="1" t="str">
        <f t="shared" si="527"/>
        <v>授权</v>
      </c>
      <c r="E1033" s="1" t="str">
        <f>"CN202022058453.3"</f>
        <v>CN202022058453.3</v>
      </c>
      <c r="F1033" s="1" t="str">
        <f t="shared" si="528"/>
        <v>2020-09-18</v>
      </c>
      <c r="G1033" s="1" t="str">
        <f>"CN213574308U"</f>
        <v>CN213574308U</v>
      </c>
      <c r="H1033" s="1" t="str">
        <f t="shared" si="529"/>
        <v>2021-06-29</v>
      </c>
      <c r="I1033" s="1" t="s">
        <v>4962</v>
      </c>
      <c r="J1033" s="1" t="str">
        <f t="shared" si="522"/>
        <v>天津市环球汽车配件有限公司</v>
      </c>
    </row>
    <row r="1034" spans="1:10">
      <c r="A1034" s="1" t="str">
        <f t="shared" si="520"/>
        <v>天津市环球汽车配件有限公司</v>
      </c>
      <c r="B1034" s="1" t="str">
        <f>"一种汽车通风格栅"</f>
        <v>一种汽车通风格栅</v>
      </c>
      <c r="C1034" s="1" t="str">
        <f t="shared" si="526"/>
        <v>实用新型</v>
      </c>
      <c r="D1034" s="1" t="str">
        <f t="shared" si="527"/>
        <v>授权</v>
      </c>
      <c r="E1034" s="1" t="str">
        <f>"CN202022054801.X"</f>
        <v>CN202022054801.X</v>
      </c>
      <c r="F1034" s="1" t="str">
        <f t="shared" si="528"/>
        <v>2020-09-18</v>
      </c>
      <c r="G1034" s="1" t="str">
        <f>"CN213565777U"</f>
        <v>CN213565777U</v>
      </c>
      <c r="H1034" s="1" t="str">
        <f t="shared" si="529"/>
        <v>2021-06-29</v>
      </c>
      <c r="I1034" s="1" t="s">
        <v>4962</v>
      </c>
      <c r="J1034" s="1" t="str">
        <f t="shared" si="522"/>
        <v>天津市环球汽车配件有限公司</v>
      </c>
    </row>
    <row r="1035" spans="1:10">
      <c r="A1035" s="1" t="str">
        <f t="shared" si="520"/>
        <v>天津市环球汽车配件有限公司</v>
      </c>
      <c r="B1035" s="1" t="str">
        <f>"一种汽车尾气净化装置"</f>
        <v>一种汽车尾气净化装置</v>
      </c>
      <c r="C1035" s="1" t="str">
        <f t="shared" si="526"/>
        <v>实用新型</v>
      </c>
      <c r="D1035" s="1" t="str">
        <f t="shared" si="527"/>
        <v>授权</v>
      </c>
      <c r="E1035" s="1" t="str">
        <f>"CN202022058452.9"</f>
        <v>CN202022058452.9</v>
      </c>
      <c r="F1035" s="1" t="str">
        <f t="shared" si="528"/>
        <v>2020-09-18</v>
      </c>
      <c r="G1035" s="1" t="str">
        <f>"CN213574287U"</f>
        <v>CN213574287U</v>
      </c>
      <c r="H1035" s="1" t="str">
        <f t="shared" si="529"/>
        <v>2021-06-29</v>
      </c>
      <c r="I1035" s="1" t="s">
        <v>4962</v>
      </c>
      <c r="J1035" s="1" t="str">
        <f t="shared" si="522"/>
        <v>天津市环球汽车配件有限公司</v>
      </c>
    </row>
    <row r="1036" spans="1:10">
      <c r="A1036" s="1" t="str">
        <f t="shared" si="520"/>
        <v>天津市环球汽车配件有限公司</v>
      </c>
      <c r="B1036" s="1" t="str">
        <f>"一种汽车排气管的加工夹具"</f>
        <v>一种汽车排气管的加工夹具</v>
      </c>
      <c r="C1036" s="1" t="str">
        <f t="shared" si="526"/>
        <v>实用新型</v>
      </c>
      <c r="D1036" s="1" t="str">
        <f t="shared" si="527"/>
        <v>授权</v>
      </c>
      <c r="E1036" s="1" t="str">
        <f>"CN202022054798.1"</f>
        <v>CN202022054798.1</v>
      </c>
      <c r="F1036" s="1" t="str">
        <f t="shared" si="528"/>
        <v>2020-09-18</v>
      </c>
      <c r="G1036" s="1" t="str">
        <f>"CN213559423U"</f>
        <v>CN213559423U</v>
      </c>
      <c r="H1036" s="1" t="str">
        <f t="shared" si="529"/>
        <v>2021-06-29</v>
      </c>
      <c r="I1036" s="1" t="s">
        <v>4962</v>
      </c>
      <c r="J1036" s="1" t="str">
        <f t="shared" si="522"/>
        <v>天津市环球汽车配件有限公司</v>
      </c>
    </row>
    <row r="1037" spans="1:10">
      <c r="A1037" s="1" t="str">
        <f t="shared" si="520"/>
        <v>天津市环球汽车配件有限公司</v>
      </c>
      <c r="B1037" s="1" t="str">
        <f>"一种用于对注塑机螺杆辊锻的旋转机构"</f>
        <v>一种用于对注塑机螺杆辊锻的旋转机构</v>
      </c>
      <c r="C1037" s="1" t="str">
        <f t="shared" si="526"/>
        <v>实用新型</v>
      </c>
      <c r="D1037" s="1" t="str">
        <f t="shared" si="527"/>
        <v>授权</v>
      </c>
      <c r="E1037" s="1" t="str">
        <f>"CN202022065111.4"</f>
        <v>CN202022065111.4</v>
      </c>
      <c r="F1037" s="1" t="str">
        <f t="shared" si="528"/>
        <v>2020-09-18</v>
      </c>
      <c r="G1037" s="1" t="str">
        <f>"CN213559710U"</f>
        <v>CN213559710U</v>
      </c>
      <c r="H1037" s="1" t="str">
        <f t="shared" si="529"/>
        <v>2021-06-29</v>
      </c>
      <c r="I1037" s="1" t="s">
        <v>4962</v>
      </c>
      <c r="J1037" s="1" t="str">
        <f t="shared" si="522"/>
        <v>天津市环球汽车配件有限公司</v>
      </c>
    </row>
    <row r="1038" spans="1:10">
      <c r="A1038" s="1" t="str">
        <f t="shared" si="520"/>
        <v>天津市环球汽车配件有限公司</v>
      </c>
      <c r="B1038" s="1" t="str">
        <f>"一种用于对注塑机螺杆辊锻的旋转机构及其使用方法"</f>
        <v>一种用于对注塑机螺杆辊锻的旋转机构及其使用方法</v>
      </c>
      <c r="C1038" s="1" t="str">
        <f>"发明公布"</f>
        <v>发明公布</v>
      </c>
      <c r="D1038" s="1" t="str">
        <f>"实质审查"</f>
        <v>实质审查</v>
      </c>
      <c r="E1038" s="1" t="str">
        <f>"CN202010985973.0"</f>
        <v>CN202010985973.0</v>
      </c>
      <c r="F1038" s="1" t="str">
        <f t="shared" si="528"/>
        <v>2020-09-18</v>
      </c>
      <c r="G1038" s="1" t="str">
        <f>"CN112091148A"</f>
        <v>CN112091148A</v>
      </c>
      <c r="H1038" s="1" t="str">
        <f>"2020-12-18"</f>
        <v>2020-12-18</v>
      </c>
      <c r="I1038" s="1" t="s">
        <v>4962</v>
      </c>
      <c r="J1038" s="1" t="str">
        <f t="shared" si="522"/>
        <v>天津市环球汽车配件有限公司</v>
      </c>
    </row>
    <row r="1039" spans="1:10">
      <c r="A1039" s="1" t="str">
        <f t="shared" si="520"/>
        <v>天津市环球汽车配件有限公司</v>
      </c>
      <c r="B1039" s="1" t="str">
        <f>"一种改进的汽车注塑镶件"</f>
        <v>一种改进的汽车注塑镶件</v>
      </c>
      <c r="C1039" s="1" t="str">
        <f t="shared" ref="C1039:C1043" si="530">"实用新型"</f>
        <v>实用新型</v>
      </c>
      <c r="D1039" s="1" t="str">
        <f t="shared" ref="D1039:D1043" si="531">"授权"</f>
        <v>授权</v>
      </c>
      <c r="E1039" s="1" t="str">
        <f>"CN201922468839.9"</f>
        <v>CN201922468839.9</v>
      </c>
      <c r="F1039" s="1" t="str">
        <f t="shared" ref="F1039:F1044" si="532">"2019-12-31"</f>
        <v>2019-12-31</v>
      </c>
      <c r="G1039" s="1" t="str">
        <f>"CN211592497U"</f>
        <v>CN211592497U</v>
      </c>
      <c r="H1039" s="1" t="str">
        <f t="shared" ref="H1039:H1042" si="533">"2020-09-29"</f>
        <v>2020-09-29</v>
      </c>
      <c r="I1039" s="1" t="s">
        <v>4963</v>
      </c>
      <c r="J1039" s="1" t="str">
        <f t="shared" si="522"/>
        <v>天津市环球汽车配件有限公司</v>
      </c>
    </row>
    <row r="1040" spans="1:10">
      <c r="A1040" s="1" t="str">
        <f t="shared" si="520"/>
        <v>天津市环球汽车配件有限公司</v>
      </c>
      <c r="B1040" s="1" t="str">
        <f>"一种汽车出风口面板的安装结构"</f>
        <v>一种汽车出风口面板的安装结构</v>
      </c>
      <c r="C1040" s="1" t="str">
        <f t="shared" si="530"/>
        <v>实用新型</v>
      </c>
      <c r="D1040" s="1" t="str">
        <f t="shared" si="531"/>
        <v>授权</v>
      </c>
      <c r="E1040" s="1" t="str">
        <f>"CN201922468969.2"</f>
        <v>CN201922468969.2</v>
      </c>
      <c r="F1040" s="1" t="str">
        <f t="shared" si="532"/>
        <v>2019-12-31</v>
      </c>
      <c r="G1040" s="1" t="str">
        <f>"CN211592180U"</f>
        <v>CN211592180U</v>
      </c>
      <c r="H1040" s="1" t="str">
        <f t="shared" si="533"/>
        <v>2020-09-29</v>
      </c>
      <c r="I1040" s="1" t="s">
        <v>4963</v>
      </c>
      <c r="J1040" s="1" t="str">
        <f t="shared" si="522"/>
        <v>天津市环球汽车配件有限公司</v>
      </c>
    </row>
    <row r="1041" spans="1:10">
      <c r="A1041" s="1" t="str">
        <f t="shared" si="520"/>
        <v>天津市环球汽车配件有限公司</v>
      </c>
      <c r="B1041" s="1" t="str">
        <f>"一种座椅调节组件"</f>
        <v>一种座椅调节组件</v>
      </c>
      <c r="C1041" s="1" t="str">
        <f t="shared" si="530"/>
        <v>实用新型</v>
      </c>
      <c r="D1041" s="1" t="str">
        <f t="shared" si="531"/>
        <v>授权</v>
      </c>
      <c r="E1041" s="1" t="str">
        <f>"CN201922479837.X"</f>
        <v>CN201922479837.X</v>
      </c>
      <c r="F1041" s="1" t="str">
        <f t="shared" si="532"/>
        <v>2019-12-31</v>
      </c>
      <c r="G1041" s="1" t="str">
        <f>"CN211582319U"</f>
        <v>CN211582319U</v>
      </c>
      <c r="H1041" s="1" t="str">
        <f t="shared" si="533"/>
        <v>2020-09-29</v>
      </c>
      <c r="I1041" s="1" t="s">
        <v>4963</v>
      </c>
      <c r="J1041" s="1" t="str">
        <f t="shared" si="522"/>
        <v>天津市环球汽车配件有限公司</v>
      </c>
    </row>
    <row r="1042" spans="1:10">
      <c r="A1042" s="1" t="str">
        <f t="shared" si="520"/>
        <v>天津市环球汽车配件有限公司</v>
      </c>
      <c r="B1042" s="1" t="str">
        <f>"一种汽车空调除霜板"</f>
        <v>一种汽车空调除霜板</v>
      </c>
      <c r="C1042" s="1" t="str">
        <f t="shared" si="530"/>
        <v>实用新型</v>
      </c>
      <c r="D1042" s="1" t="str">
        <f t="shared" si="531"/>
        <v>授权</v>
      </c>
      <c r="E1042" s="1" t="str">
        <f>"CN201922468847.3"</f>
        <v>CN201922468847.3</v>
      </c>
      <c r="F1042" s="1" t="str">
        <f t="shared" si="532"/>
        <v>2019-12-31</v>
      </c>
      <c r="G1042" s="1" t="str">
        <f>"CN211592167U"</f>
        <v>CN211592167U</v>
      </c>
      <c r="H1042" s="1" t="str">
        <f t="shared" si="533"/>
        <v>2020-09-29</v>
      </c>
      <c r="I1042" s="1" t="s">
        <v>4963</v>
      </c>
      <c r="J1042" s="1" t="str">
        <f t="shared" si="522"/>
        <v>天津市环球汽车配件有限公司</v>
      </c>
    </row>
    <row r="1043" spans="1:10">
      <c r="A1043" s="1" t="str">
        <f t="shared" si="520"/>
        <v>天津市环球汽车配件有限公司</v>
      </c>
      <c r="B1043" s="1" t="str">
        <f>"一种透气型注塑模具"</f>
        <v>一种透气型注塑模具</v>
      </c>
      <c r="C1043" s="1" t="str">
        <f t="shared" si="530"/>
        <v>实用新型</v>
      </c>
      <c r="D1043" s="1" t="str">
        <f t="shared" si="531"/>
        <v>授权</v>
      </c>
      <c r="E1043" s="1" t="str">
        <f>"CN201922468898.6"</f>
        <v>CN201922468898.6</v>
      </c>
      <c r="F1043" s="1" t="str">
        <f t="shared" si="532"/>
        <v>2019-12-31</v>
      </c>
      <c r="G1043" s="1" t="str">
        <f>"CN211566788U"</f>
        <v>CN211566788U</v>
      </c>
      <c r="H1043" s="1" t="str">
        <f>"2020-09-25"</f>
        <v>2020-09-25</v>
      </c>
      <c r="I1043" s="1" t="s">
        <v>4963</v>
      </c>
      <c r="J1043" s="1" t="str">
        <f t="shared" si="522"/>
        <v>天津市环球汽车配件有限公司</v>
      </c>
    </row>
    <row r="1044" spans="1:10">
      <c r="A1044" s="1" t="str">
        <f t="shared" si="520"/>
        <v>天津市环球汽车配件有限公司</v>
      </c>
      <c r="B1044" s="1" t="str">
        <f>"一种可拆卸遮阳板组件"</f>
        <v>一种可拆卸遮阳板组件</v>
      </c>
      <c r="C1044" s="1" t="str">
        <f>"发明公布"</f>
        <v>发明公布</v>
      </c>
      <c r="D1044" s="1" t="str">
        <f>"公布驳回"</f>
        <v>公布驳回</v>
      </c>
      <c r="E1044" s="1" t="str">
        <f>"CN201911411913.1"</f>
        <v>CN201911411913.1</v>
      </c>
      <c r="F1044" s="1" t="str">
        <f t="shared" si="532"/>
        <v>2019-12-31</v>
      </c>
      <c r="G1044" s="1" t="str">
        <f>"CN111042461A"</f>
        <v>CN111042461A</v>
      </c>
      <c r="H1044" s="1" t="str">
        <f>"2020-04-21"</f>
        <v>2020-04-21</v>
      </c>
      <c r="I1044" s="1" t="s">
        <v>4963</v>
      </c>
      <c r="J1044" s="1" t="str">
        <f t="shared" si="522"/>
        <v>天津市环球汽车配件有限公司</v>
      </c>
    </row>
    <row r="1045" spans="1:10">
      <c r="A1045" s="1" t="str">
        <f t="shared" si="520"/>
        <v>天津市环球汽车配件有限公司</v>
      </c>
      <c r="B1045" s="1" t="str">
        <f>"一种汽车前端支架结构"</f>
        <v>一种汽车前端支架结构</v>
      </c>
      <c r="C1045" s="1" t="str">
        <f t="shared" ref="C1045:C1049" si="534">"实用新型"</f>
        <v>实用新型</v>
      </c>
      <c r="D1045" s="1" t="str">
        <f t="shared" ref="D1045:D1049" si="535">"授权"</f>
        <v>授权</v>
      </c>
      <c r="E1045" s="1" t="str">
        <f>"CN201822172519.4"</f>
        <v>CN201822172519.4</v>
      </c>
      <c r="F1045" s="1" t="str">
        <f t="shared" ref="F1045:F1050" si="536">"2018-12-24"</f>
        <v>2018-12-24</v>
      </c>
      <c r="G1045" s="1" t="str">
        <f>"CN209988008U"</f>
        <v>CN209988008U</v>
      </c>
      <c r="H1045" s="1" t="str">
        <f>"2020-01-24"</f>
        <v>2020-01-24</v>
      </c>
      <c r="I1045" s="1" t="s">
        <v>4963</v>
      </c>
      <c r="J1045" s="1" t="str">
        <f t="shared" si="522"/>
        <v>天津市环球汽车配件有限公司</v>
      </c>
    </row>
    <row r="1046" spans="1:10">
      <c r="A1046" s="1" t="str">
        <f t="shared" si="520"/>
        <v>天津市环球汽车配件有限公司</v>
      </c>
      <c r="B1046" s="1" t="str">
        <f>"一种用于汽车冲压件的落料板"</f>
        <v>一种用于汽车冲压件的落料板</v>
      </c>
      <c r="C1046" s="1" t="str">
        <f t="shared" si="534"/>
        <v>实用新型</v>
      </c>
      <c r="D1046" s="1" t="str">
        <f t="shared" si="535"/>
        <v>授权</v>
      </c>
      <c r="E1046" s="1" t="str">
        <f>"CN201822173364.6"</f>
        <v>CN201822173364.6</v>
      </c>
      <c r="F1046" s="1" t="str">
        <f t="shared" si="536"/>
        <v>2018-12-24</v>
      </c>
      <c r="G1046" s="1" t="str">
        <f>"CN209986136U"</f>
        <v>CN209986136U</v>
      </c>
      <c r="H1046" s="1" t="str">
        <f>"2020-01-24"</f>
        <v>2020-01-24</v>
      </c>
      <c r="I1046" s="1" t="s">
        <v>4963</v>
      </c>
      <c r="J1046" s="1" t="str">
        <f t="shared" si="522"/>
        <v>天津市环球汽车配件有限公司</v>
      </c>
    </row>
    <row r="1047" spans="1:10">
      <c r="A1047" s="1" t="str">
        <f t="shared" si="520"/>
        <v>天津市环球汽车配件有限公司</v>
      </c>
      <c r="B1047" s="1" t="str">
        <f>"一种用于汽车零部件的冲压装置"</f>
        <v>一种用于汽车零部件的冲压装置</v>
      </c>
      <c r="C1047" s="1" t="str">
        <f t="shared" si="534"/>
        <v>实用新型</v>
      </c>
      <c r="D1047" s="1" t="str">
        <f t="shared" si="535"/>
        <v>授权</v>
      </c>
      <c r="E1047" s="1" t="str">
        <f>"CN201822172518.X"</f>
        <v>CN201822172518.X</v>
      </c>
      <c r="F1047" s="1" t="str">
        <f t="shared" si="536"/>
        <v>2018-12-24</v>
      </c>
      <c r="G1047" s="1" t="str">
        <f>"CN209792354U"</f>
        <v>CN209792354U</v>
      </c>
      <c r="H1047" s="1" t="str">
        <f t="shared" ref="H1047:H1049" si="537">"2019-12-17"</f>
        <v>2019-12-17</v>
      </c>
      <c r="I1047" s="1" t="s">
        <v>4963</v>
      </c>
      <c r="J1047" s="1" t="str">
        <f t="shared" si="522"/>
        <v>天津市环球汽车配件有限公司</v>
      </c>
    </row>
    <row r="1048" spans="1:10">
      <c r="A1048" s="1" t="str">
        <f t="shared" si="520"/>
        <v>天津市环球汽车配件有限公司</v>
      </c>
      <c r="B1048" s="1" t="str">
        <f>"一种汽车加强格栅"</f>
        <v>一种汽车加强格栅</v>
      </c>
      <c r="C1048" s="1" t="str">
        <f t="shared" si="534"/>
        <v>实用新型</v>
      </c>
      <c r="D1048" s="1" t="str">
        <f t="shared" si="535"/>
        <v>授权</v>
      </c>
      <c r="E1048" s="1" t="str">
        <f>"CN201822173298.2"</f>
        <v>CN201822173298.2</v>
      </c>
      <c r="F1048" s="1" t="str">
        <f t="shared" si="536"/>
        <v>2018-12-24</v>
      </c>
      <c r="G1048" s="1" t="str">
        <f>"CN209795401U"</f>
        <v>CN209795401U</v>
      </c>
      <c r="H1048" s="1" t="str">
        <f t="shared" si="537"/>
        <v>2019-12-17</v>
      </c>
      <c r="I1048" s="1" t="s">
        <v>4963</v>
      </c>
      <c r="J1048" s="1" t="str">
        <f t="shared" si="522"/>
        <v>天津市环球汽车配件有限公司</v>
      </c>
    </row>
    <row r="1049" spans="1:10">
      <c r="A1049" s="1" t="str">
        <f t="shared" si="520"/>
        <v>天津市环球汽车配件有限公司</v>
      </c>
      <c r="B1049" s="1" t="str">
        <f>"一种高效散热的汽车排气管"</f>
        <v>一种高效散热的汽车排气管</v>
      </c>
      <c r="C1049" s="1" t="str">
        <f t="shared" si="534"/>
        <v>实用新型</v>
      </c>
      <c r="D1049" s="1" t="str">
        <f t="shared" si="535"/>
        <v>授权</v>
      </c>
      <c r="E1049" s="1" t="str">
        <f>"CN201822173300.6"</f>
        <v>CN201822173300.6</v>
      </c>
      <c r="F1049" s="1" t="str">
        <f t="shared" si="536"/>
        <v>2018-12-24</v>
      </c>
      <c r="G1049" s="1" t="str">
        <f>"CN209800064U"</f>
        <v>CN209800064U</v>
      </c>
      <c r="H1049" s="1" t="str">
        <f t="shared" si="537"/>
        <v>2019-12-17</v>
      </c>
      <c r="I1049" s="1" t="s">
        <v>4963</v>
      </c>
      <c r="J1049" s="1" t="str">
        <f t="shared" si="522"/>
        <v>天津市环球汽车配件有限公司</v>
      </c>
    </row>
    <row r="1050" spans="1:10">
      <c r="A1050" s="1" t="str">
        <f t="shared" si="520"/>
        <v>天津市环球汽车配件有限公司</v>
      </c>
      <c r="B1050" s="1" t="str">
        <f>"一种用于液压机的液压系统"</f>
        <v>一种用于液压机的液压系统</v>
      </c>
      <c r="C1050" s="1" t="str">
        <f>"发明公布"</f>
        <v>发明公布</v>
      </c>
      <c r="D1050" s="1" t="str">
        <f>"公布驳回"</f>
        <v>公布驳回</v>
      </c>
      <c r="E1050" s="1" t="str">
        <f>"CN201811582562.6"</f>
        <v>CN201811582562.6</v>
      </c>
      <c r="F1050" s="1" t="str">
        <f t="shared" si="536"/>
        <v>2018-12-24</v>
      </c>
      <c r="G1050" s="1" t="str">
        <f>"CN109667799A"</f>
        <v>CN109667799A</v>
      </c>
      <c r="H1050" s="1" t="str">
        <f>"2019-04-23"</f>
        <v>2019-04-23</v>
      </c>
      <c r="I1050" s="1" t="s">
        <v>4963</v>
      </c>
      <c r="J1050" s="1" t="str">
        <f t="shared" si="522"/>
        <v>天津市环球汽车配件有限公司</v>
      </c>
    </row>
    <row r="1051" spans="1:10">
      <c r="A1051" s="1" t="str">
        <f t="shared" si="520"/>
        <v>天津市环球汽车配件有限公司</v>
      </c>
      <c r="B1051" s="1" t="str">
        <f>"一种环保型汽车排气管尾管及其支架结构阀"</f>
        <v>一种环保型汽车排气管尾管及其支架结构阀</v>
      </c>
      <c r="C1051" s="1" t="str">
        <f t="shared" ref="C1051:C1055" si="538">"实用新型"</f>
        <v>实用新型</v>
      </c>
      <c r="D1051" s="1" t="str">
        <f t="shared" ref="D1051:D1055" si="539">"未缴年费专利权终止"</f>
        <v>未缴年费专利权终止</v>
      </c>
      <c r="E1051" s="1" t="str">
        <f>"CN201721862967.6"</f>
        <v>CN201721862967.6</v>
      </c>
      <c r="F1051" s="1" t="str">
        <f t="shared" ref="F1051:F1056" si="540">"2017-12-27"</f>
        <v>2017-12-27</v>
      </c>
      <c r="G1051" s="1" t="str">
        <f>"CN207847747U"</f>
        <v>CN207847747U</v>
      </c>
      <c r="H1051" s="1" t="str">
        <f t="shared" ref="H1051:H1053" si="541">"2018-09-11"</f>
        <v>2018-09-11</v>
      </c>
      <c r="I1051" s="1" t="s">
        <v>4963</v>
      </c>
      <c r="J1051" s="1" t="str">
        <f t="shared" si="522"/>
        <v>天津市环球汽车配件有限公司</v>
      </c>
    </row>
    <row r="1052" spans="1:10">
      <c r="A1052" s="1" t="str">
        <f t="shared" si="520"/>
        <v>天津市环球汽车配件有限公司</v>
      </c>
      <c r="B1052" s="1" t="str">
        <f>"一种带有安装支架的排气管总成"</f>
        <v>一种带有安装支架的排气管总成</v>
      </c>
      <c r="C1052" s="1" t="str">
        <f t="shared" si="538"/>
        <v>实用新型</v>
      </c>
      <c r="D1052" s="1" t="str">
        <f t="shared" si="539"/>
        <v>未缴年费专利权终止</v>
      </c>
      <c r="E1052" s="1" t="str">
        <f>"CN201721862939.4"</f>
        <v>CN201721862939.4</v>
      </c>
      <c r="F1052" s="1" t="str">
        <f t="shared" si="540"/>
        <v>2017-12-27</v>
      </c>
      <c r="G1052" s="1" t="str">
        <f>"CN207847752U"</f>
        <v>CN207847752U</v>
      </c>
      <c r="H1052" s="1" t="str">
        <f t="shared" si="541"/>
        <v>2018-09-11</v>
      </c>
      <c r="I1052" s="1" t="s">
        <v>4963</v>
      </c>
      <c r="J1052" s="1" t="str">
        <f t="shared" si="522"/>
        <v>天津市环球汽车配件有限公司</v>
      </c>
    </row>
    <row r="1053" spans="1:10">
      <c r="A1053" s="1" t="str">
        <f t="shared" si="520"/>
        <v>天津市环球汽车配件有限公司</v>
      </c>
      <c r="B1053" s="1" t="str">
        <f>"一种排气管固定装置及排气管"</f>
        <v>一种排气管固定装置及排气管</v>
      </c>
      <c r="C1053" s="1" t="str">
        <f t="shared" si="538"/>
        <v>实用新型</v>
      </c>
      <c r="D1053" s="1" t="str">
        <f t="shared" si="539"/>
        <v>未缴年费专利权终止</v>
      </c>
      <c r="E1053" s="1" t="str">
        <f>"CN201721862977.X"</f>
        <v>CN201721862977.X</v>
      </c>
      <c r="F1053" s="1" t="str">
        <f t="shared" si="540"/>
        <v>2017-12-27</v>
      </c>
      <c r="G1053" s="1" t="str">
        <f>"CN207847753U"</f>
        <v>CN207847753U</v>
      </c>
      <c r="H1053" s="1" t="str">
        <f t="shared" si="541"/>
        <v>2018-09-11</v>
      </c>
      <c r="I1053" s="1" t="s">
        <v>4963</v>
      </c>
      <c r="J1053" s="1" t="str">
        <f t="shared" si="522"/>
        <v>天津市环球汽车配件有限公司</v>
      </c>
    </row>
    <row r="1054" spans="1:10">
      <c r="A1054" s="1" t="str">
        <f t="shared" si="520"/>
        <v>天津市环球汽车配件有限公司</v>
      </c>
      <c r="B1054" s="1" t="str">
        <f>"一种双排气管支架"</f>
        <v>一种双排气管支架</v>
      </c>
      <c r="C1054" s="1" t="str">
        <f t="shared" si="538"/>
        <v>实用新型</v>
      </c>
      <c r="D1054" s="1" t="str">
        <f t="shared" si="539"/>
        <v>未缴年费专利权终止</v>
      </c>
      <c r="E1054" s="1" t="str">
        <f>"CN201721862986.9"</f>
        <v>CN201721862986.9</v>
      </c>
      <c r="F1054" s="1" t="str">
        <f t="shared" si="540"/>
        <v>2017-12-27</v>
      </c>
      <c r="G1054" s="1" t="str">
        <f>"CN207740075U"</f>
        <v>CN207740075U</v>
      </c>
      <c r="H1054" s="1" t="str">
        <f>"2018-08-17"</f>
        <v>2018-08-17</v>
      </c>
      <c r="I1054" s="1" t="s">
        <v>4963</v>
      </c>
      <c r="J1054" s="1" t="str">
        <f t="shared" si="522"/>
        <v>天津市环球汽车配件有限公司</v>
      </c>
    </row>
    <row r="1055" spans="1:10">
      <c r="A1055" s="1" t="str">
        <f t="shared" si="520"/>
        <v>天津市环球汽车配件有限公司</v>
      </c>
      <c r="B1055" s="1" t="str">
        <f>"一种汽车排气管安装支架总成"</f>
        <v>一种汽车排气管安装支架总成</v>
      </c>
      <c r="C1055" s="1" t="str">
        <f t="shared" si="538"/>
        <v>实用新型</v>
      </c>
      <c r="D1055" s="1" t="str">
        <f t="shared" si="539"/>
        <v>未缴年费专利权终止</v>
      </c>
      <c r="E1055" s="1" t="str">
        <f>"CN201721919569.3"</f>
        <v>CN201721919569.3</v>
      </c>
      <c r="F1055" s="1" t="str">
        <f t="shared" si="540"/>
        <v>2017-12-27</v>
      </c>
      <c r="G1055" s="1" t="str">
        <f>"CN207740072U"</f>
        <v>CN207740072U</v>
      </c>
      <c r="H1055" s="1" t="str">
        <f>"2018-08-17"</f>
        <v>2018-08-17</v>
      </c>
      <c r="I1055" s="1" t="s">
        <v>4963</v>
      </c>
      <c r="J1055" s="1" t="str">
        <f t="shared" si="522"/>
        <v>天津市环球汽车配件有限公司</v>
      </c>
    </row>
    <row r="1056" spans="1:10">
      <c r="A1056" s="1" t="str">
        <f t="shared" si="520"/>
        <v>天津市环球汽车配件有限公司</v>
      </c>
      <c r="B1056" s="1" t="str">
        <f>"一种环保型汽车排气管路"</f>
        <v>一种环保型汽车排气管路</v>
      </c>
      <c r="C1056" s="1" t="str">
        <f>"发明公布"</f>
        <v>发明公布</v>
      </c>
      <c r="D1056" s="1" t="str">
        <f>"公布驳回"</f>
        <v>公布驳回</v>
      </c>
      <c r="E1056" s="1" t="str">
        <f>"CN201711446395.8"</f>
        <v>CN201711446395.8</v>
      </c>
      <c r="F1056" s="1" t="str">
        <f t="shared" si="540"/>
        <v>2017-12-27</v>
      </c>
      <c r="G1056" s="1" t="str">
        <f>"CN108240256A"</f>
        <v>CN108240256A</v>
      </c>
      <c r="H1056" s="1" t="str">
        <f>"2018-07-03"</f>
        <v>2018-07-03</v>
      </c>
      <c r="I1056" s="1" t="s">
        <v>4963</v>
      </c>
      <c r="J1056" s="1" t="str">
        <f t="shared" si="522"/>
        <v>天津市环球汽车配件有限公司</v>
      </c>
    </row>
    <row r="1057" spans="1:10">
      <c r="A1057" s="1" t="str">
        <f t="shared" si="520"/>
        <v>天津市环球汽车配件有限公司</v>
      </c>
      <c r="B1057" s="1" t="str">
        <f>"一种改进型电动三轮车"</f>
        <v>一种改进型电动三轮车</v>
      </c>
      <c r="C1057" s="1" t="str">
        <f>"发明公布"</f>
        <v>发明公布</v>
      </c>
      <c r="D1057" s="1" t="str">
        <f>"公布驳回"</f>
        <v>公布驳回</v>
      </c>
      <c r="E1057" s="1" t="str">
        <f>"CN201711460321.X"</f>
        <v>CN201711460321.X</v>
      </c>
      <c r="F1057" s="1" t="str">
        <f>"2017-12-28"</f>
        <v>2017-12-28</v>
      </c>
      <c r="G1057" s="1" t="str">
        <f>"CN108146559A"</f>
        <v>CN108146559A</v>
      </c>
      <c r="H1057" s="1" t="str">
        <f>"2018-06-12"</f>
        <v>2018-06-12</v>
      </c>
      <c r="I1057" s="1" t="s">
        <v>4964</v>
      </c>
      <c r="J1057" s="1" t="str">
        <f t="shared" si="522"/>
        <v>天津市环球汽车配件有限公司</v>
      </c>
    </row>
    <row r="1058" spans="1:10">
      <c r="A1058" s="1" t="str">
        <f t="shared" si="520"/>
        <v>天津市环球汽车配件有限公司</v>
      </c>
      <c r="B1058" s="1" t="str">
        <f>"一种可排气的注塑模具"</f>
        <v>一种可排气的注塑模具</v>
      </c>
      <c r="C1058" s="1" t="str">
        <f t="shared" ref="C1058:C1091" si="542">"实用新型"</f>
        <v>实用新型</v>
      </c>
      <c r="D1058" s="1" t="str">
        <f t="shared" ref="D1058:D1076" si="543">"未缴年费专利权终止"</f>
        <v>未缴年费专利权终止</v>
      </c>
      <c r="E1058" s="1" t="str">
        <f>"CN201621425850.7"</f>
        <v>CN201621425850.7</v>
      </c>
      <c r="F1058" s="1" t="str">
        <f t="shared" ref="F1058:F1061" si="544">"2016-12-23"</f>
        <v>2016-12-23</v>
      </c>
      <c r="G1058" s="1" t="str">
        <f>"CN206678299U"</f>
        <v>CN206678299U</v>
      </c>
      <c r="H1058" s="1" t="str">
        <f>"2017-11-28"</f>
        <v>2017-11-28</v>
      </c>
      <c r="I1058" s="1" t="s">
        <v>4963</v>
      </c>
      <c r="J1058" s="1" t="str">
        <f t="shared" si="522"/>
        <v>天津市环球汽车配件有限公司</v>
      </c>
    </row>
    <row r="1059" spans="1:10">
      <c r="A1059" s="1" t="str">
        <f t="shared" si="520"/>
        <v>天津市环球汽车配件有限公司</v>
      </c>
      <c r="B1059" s="1" t="str">
        <f>"一种高强度吨桶底座"</f>
        <v>一种高强度吨桶底座</v>
      </c>
      <c r="C1059" s="1" t="str">
        <f t="shared" si="542"/>
        <v>实用新型</v>
      </c>
      <c r="D1059" s="1" t="str">
        <f t="shared" si="543"/>
        <v>未缴年费专利权终止</v>
      </c>
      <c r="E1059" s="1" t="str">
        <f>"CN201621425848.X"</f>
        <v>CN201621425848.X</v>
      </c>
      <c r="F1059" s="1" t="str">
        <f t="shared" si="544"/>
        <v>2016-12-23</v>
      </c>
      <c r="G1059" s="1" t="str">
        <f>"CN206476355U"</f>
        <v>CN206476355U</v>
      </c>
      <c r="H1059" s="1" t="str">
        <f>"2017-09-08"</f>
        <v>2017-09-08</v>
      </c>
      <c r="I1059" s="1" t="s">
        <v>4963</v>
      </c>
      <c r="J1059" s="1" t="str">
        <f t="shared" si="522"/>
        <v>天津市环球汽车配件有限公司</v>
      </c>
    </row>
    <row r="1060" spans="1:10">
      <c r="A1060" s="1" t="str">
        <f t="shared" si="520"/>
        <v>天津市环球汽车配件有限公司</v>
      </c>
      <c r="B1060" s="1" t="str">
        <f>"一种汽车茶几盒"</f>
        <v>一种汽车茶几盒</v>
      </c>
      <c r="C1060" s="1" t="str">
        <f t="shared" si="542"/>
        <v>实用新型</v>
      </c>
      <c r="D1060" s="1" t="str">
        <f t="shared" si="543"/>
        <v>未缴年费专利权终止</v>
      </c>
      <c r="E1060" s="1" t="str">
        <f>"CN201621427477.9"</f>
        <v>CN201621427477.9</v>
      </c>
      <c r="F1060" s="1" t="str">
        <f t="shared" si="544"/>
        <v>2016-12-23</v>
      </c>
      <c r="G1060" s="1" t="str">
        <f>"CN206465866U"</f>
        <v>CN206465866U</v>
      </c>
      <c r="H1060" s="1" t="str">
        <f>"2017-09-05"</f>
        <v>2017-09-05</v>
      </c>
      <c r="I1060" s="1" t="s">
        <v>4963</v>
      </c>
      <c r="J1060" s="1" t="str">
        <f t="shared" si="522"/>
        <v>天津市环球汽车配件有限公司</v>
      </c>
    </row>
    <row r="1061" spans="1:10">
      <c r="A1061" s="1" t="str">
        <f t="shared" si="520"/>
        <v>天津市环球汽车配件有限公司</v>
      </c>
      <c r="B1061" s="1" t="str">
        <f>"一种注塑模具冷却系统"</f>
        <v>一种注塑模具冷却系统</v>
      </c>
      <c r="C1061" s="1" t="str">
        <f t="shared" si="542"/>
        <v>实用新型</v>
      </c>
      <c r="D1061" s="1" t="str">
        <f t="shared" si="543"/>
        <v>未缴年费专利权终止</v>
      </c>
      <c r="E1061" s="1" t="str">
        <f>"CN201621427478.3"</f>
        <v>CN201621427478.3</v>
      </c>
      <c r="F1061" s="1" t="str">
        <f t="shared" si="544"/>
        <v>2016-12-23</v>
      </c>
      <c r="G1061" s="1" t="str">
        <f>"CN206465413U"</f>
        <v>CN206465413U</v>
      </c>
      <c r="H1061" s="1" t="str">
        <f>"2017-09-05"</f>
        <v>2017-09-05</v>
      </c>
      <c r="I1061" s="1" t="s">
        <v>4963</v>
      </c>
      <c r="J1061" s="1" t="str">
        <f t="shared" si="522"/>
        <v>天津市环球汽车配件有限公司</v>
      </c>
    </row>
    <row r="1062" spans="1:10">
      <c r="A1062" s="1" t="str">
        <f t="shared" si="520"/>
        <v>天津市环球汽车配件有限公司</v>
      </c>
      <c r="B1062" s="1" t="str">
        <f>"一种汽车空调冷暖风门与操纵臂的连接结构"</f>
        <v>一种汽车空调冷暖风门与操纵臂的连接结构</v>
      </c>
      <c r="C1062" s="1" t="str">
        <f t="shared" si="542"/>
        <v>实用新型</v>
      </c>
      <c r="D1062" s="1" t="str">
        <f t="shared" si="543"/>
        <v>未缴年费专利权终止</v>
      </c>
      <c r="E1062" s="1" t="str">
        <f>"CN201520905667.6"</f>
        <v>CN201520905667.6</v>
      </c>
      <c r="F1062" s="1" t="str">
        <f>"2015-11-13"</f>
        <v>2015-11-13</v>
      </c>
      <c r="G1062" s="1" t="str">
        <f>"CN205202678U"</f>
        <v>CN205202678U</v>
      </c>
      <c r="H1062" s="1" t="str">
        <f>"2016-05-04"</f>
        <v>2016-05-04</v>
      </c>
      <c r="I1062" s="1" t="str">
        <f t="shared" ref="I1062:I1076" si="545">"王学龙"</f>
        <v>王学龙</v>
      </c>
      <c r="J1062" s="1" t="str">
        <f t="shared" si="522"/>
        <v>天津市环球汽车配件有限公司</v>
      </c>
    </row>
    <row r="1063" spans="1:10">
      <c r="A1063" s="1" t="str">
        <f t="shared" si="520"/>
        <v>天津市环球汽车配件有限公司</v>
      </c>
      <c r="B1063" s="1" t="str">
        <f>"一种车载空调壳上风门驱动电机架的安装结构"</f>
        <v>一种车载空调壳上风门驱动电机架的安装结构</v>
      </c>
      <c r="C1063" s="1" t="str">
        <f t="shared" si="542"/>
        <v>实用新型</v>
      </c>
      <c r="D1063" s="1" t="str">
        <f t="shared" si="543"/>
        <v>未缴年费专利权终止</v>
      </c>
      <c r="E1063" s="1" t="str">
        <f>"CN201521074303.4"</f>
        <v>CN201521074303.4</v>
      </c>
      <c r="F1063" s="1" t="str">
        <f>"2015-12-18"</f>
        <v>2015-12-18</v>
      </c>
      <c r="G1063" s="1" t="str">
        <f>"CN205202673U"</f>
        <v>CN205202673U</v>
      </c>
      <c r="H1063" s="1" t="str">
        <f>"2016-05-04"</f>
        <v>2016-05-04</v>
      </c>
      <c r="I1063" s="1" t="str">
        <f t="shared" si="545"/>
        <v>王学龙</v>
      </c>
      <c r="J1063" s="1" t="str">
        <f t="shared" si="522"/>
        <v>天津市环球汽车配件有限公司</v>
      </c>
    </row>
    <row r="1064" spans="1:10">
      <c r="A1064" s="1" t="str">
        <f t="shared" si="520"/>
        <v>天津市环球汽车配件有限公司</v>
      </c>
      <c r="B1064" s="1" t="str">
        <f>"一种自带导风管卡头的后吹头导风壳体"</f>
        <v>一种自带导风管卡头的后吹头导风壳体</v>
      </c>
      <c r="C1064" s="1" t="str">
        <f t="shared" si="542"/>
        <v>实用新型</v>
      </c>
      <c r="D1064" s="1" t="str">
        <f t="shared" si="543"/>
        <v>未缴年费专利权终止</v>
      </c>
      <c r="E1064" s="1" t="str">
        <f>"CN201520905508.6"</f>
        <v>CN201520905508.6</v>
      </c>
      <c r="F1064" s="1" t="str">
        <f>"2015-11-13"</f>
        <v>2015-11-13</v>
      </c>
      <c r="G1064" s="1" t="str">
        <f>"CN205137821U"</f>
        <v>CN205137821U</v>
      </c>
      <c r="H1064" s="1" t="str">
        <f t="shared" ref="H1064:H1068" si="546">"2016-04-06"</f>
        <v>2016-04-06</v>
      </c>
      <c r="I1064" s="1" t="str">
        <f t="shared" si="545"/>
        <v>王学龙</v>
      </c>
      <c r="J1064" s="1" t="str">
        <f t="shared" si="522"/>
        <v>天津市环球汽车配件有限公司</v>
      </c>
    </row>
    <row r="1065" spans="1:10">
      <c r="A1065" s="1" t="str">
        <f t="shared" si="520"/>
        <v>天津市环球汽车配件有限公司</v>
      </c>
      <c r="B1065" s="1" t="str">
        <f>"一种易安装的车载茶几盒盒盖铰链"</f>
        <v>一种易安装的车载茶几盒盒盖铰链</v>
      </c>
      <c r="C1065" s="1" t="str">
        <f t="shared" si="542"/>
        <v>实用新型</v>
      </c>
      <c r="D1065" s="1" t="str">
        <f t="shared" si="543"/>
        <v>未缴年费专利权终止</v>
      </c>
      <c r="E1065" s="1" t="str">
        <f>"CN201520788420.0"</f>
        <v>CN201520788420.0</v>
      </c>
      <c r="F1065" s="1" t="str">
        <f t="shared" ref="F1065:F1068" si="547">"2015-10-12"</f>
        <v>2015-10-12</v>
      </c>
      <c r="G1065" s="1" t="str">
        <f>"CN205135184U"</f>
        <v>CN205135184U</v>
      </c>
      <c r="H1065" s="1" t="str">
        <f t="shared" si="546"/>
        <v>2016-04-06</v>
      </c>
      <c r="I1065" s="1" t="str">
        <f t="shared" si="545"/>
        <v>王学龙</v>
      </c>
      <c r="J1065" s="1" t="str">
        <f t="shared" si="522"/>
        <v>天津市环球汽车配件有限公司</v>
      </c>
    </row>
    <row r="1066" spans="1:10">
      <c r="A1066" s="1" t="str">
        <f t="shared" si="520"/>
        <v>天津市环球汽车配件有限公司</v>
      </c>
      <c r="B1066" s="1" t="str">
        <f>"一种易安装的吨桶柜架铭牌"</f>
        <v>一种易安装的吨桶柜架铭牌</v>
      </c>
      <c r="C1066" s="1" t="str">
        <f t="shared" si="542"/>
        <v>实用新型</v>
      </c>
      <c r="D1066" s="1" t="str">
        <f t="shared" si="543"/>
        <v>未缴年费专利权终止</v>
      </c>
      <c r="E1066" s="1" t="str">
        <f>"CN201520789696.0"</f>
        <v>CN201520789696.0</v>
      </c>
      <c r="F1066" s="1" t="str">
        <f t="shared" si="547"/>
        <v>2015-10-12</v>
      </c>
      <c r="G1066" s="1" t="str">
        <f>"CN205140387U"</f>
        <v>CN205140387U</v>
      </c>
      <c r="H1066" s="1" t="str">
        <f t="shared" si="546"/>
        <v>2016-04-06</v>
      </c>
      <c r="I1066" s="1" t="str">
        <f t="shared" si="545"/>
        <v>王学龙</v>
      </c>
      <c r="J1066" s="1" t="str">
        <f t="shared" si="522"/>
        <v>天津市环球汽车配件有限公司</v>
      </c>
    </row>
    <row r="1067" spans="1:10">
      <c r="A1067" s="1" t="str">
        <f t="shared" si="520"/>
        <v>天津市环球汽车配件有限公司</v>
      </c>
      <c r="B1067" s="1" t="str">
        <f>"一种汽车空调壳上风门驱动电机架的防错安装结构"</f>
        <v>一种汽车空调壳上风门驱动电机架的防错安装结构</v>
      </c>
      <c r="C1067" s="1" t="str">
        <f t="shared" si="542"/>
        <v>实用新型</v>
      </c>
      <c r="D1067" s="1" t="str">
        <f t="shared" si="543"/>
        <v>未缴年费专利权终止</v>
      </c>
      <c r="E1067" s="1" t="str">
        <f>"CN201520787694.8"</f>
        <v>CN201520787694.8</v>
      </c>
      <c r="F1067" s="1" t="str">
        <f t="shared" si="547"/>
        <v>2015-10-12</v>
      </c>
      <c r="G1067" s="1" t="str">
        <f>"CN205130856U"</f>
        <v>CN205130856U</v>
      </c>
      <c r="H1067" s="1" t="str">
        <f t="shared" si="546"/>
        <v>2016-04-06</v>
      </c>
      <c r="I1067" s="1" t="str">
        <f t="shared" si="545"/>
        <v>王学龙</v>
      </c>
      <c r="J1067" s="1" t="str">
        <f t="shared" si="522"/>
        <v>天津市环球汽车配件有限公司</v>
      </c>
    </row>
    <row r="1068" spans="1:10">
      <c r="A1068" s="1" t="str">
        <f t="shared" si="520"/>
        <v>天津市环球汽车配件有限公司</v>
      </c>
      <c r="B1068" s="1" t="str">
        <f>"一种金属板材连续送料切断系统"</f>
        <v>一种金属板材连续送料切断系统</v>
      </c>
      <c r="C1068" s="1" t="str">
        <f t="shared" si="542"/>
        <v>实用新型</v>
      </c>
      <c r="D1068" s="1" t="str">
        <f t="shared" si="543"/>
        <v>未缴年费专利权终止</v>
      </c>
      <c r="E1068" s="1" t="str">
        <f>"CN201520788838.1"</f>
        <v>CN201520788838.1</v>
      </c>
      <c r="F1068" s="1" t="str">
        <f t="shared" si="547"/>
        <v>2015-10-12</v>
      </c>
      <c r="G1068" s="1" t="str">
        <f>"CN205128711U"</f>
        <v>CN205128711U</v>
      </c>
      <c r="H1068" s="1" t="str">
        <f t="shared" si="546"/>
        <v>2016-04-06</v>
      </c>
      <c r="I1068" s="1" t="str">
        <f t="shared" si="545"/>
        <v>王学龙</v>
      </c>
      <c r="J1068" s="1" t="str">
        <f t="shared" si="522"/>
        <v>天津市环球汽车配件有限公司</v>
      </c>
    </row>
    <row r="1069" spans="1:10">
      <c r="A1069" s="1" t="str">
        <f t="shared" si="520"/>
        <v>天津市环球汽车配件有限公司</v>
      </c>
      <c r="B1069" s="1" t="str">
        <f>"一种汽车空调器组件除霜接口防变形结构"</f>
        <v>一种汽车空调器组件除霜接口防变形结构</v>
      </c>
      <c r="C1069" s="1" t="str">
        <f t="shared" si="542"/>
        <v>实用新型</v>
      </c>
      <c r="D1069" s="1" t="str">
        <f t="shared" si="543"/>
        <v>未缴年费专利权终止</v>
      </c>
      <c r="E1069" s="1" t="str">
        <f>"CN201420212845.2"</f>
        <v>CN201420212845.2</v>
      </c>
      <c r="F1069" s="1" t="str">
        <f t="shared" ref="F1069:F1073" si="548">"2014-04-29"</f>
        <v>2014-04-29</v>
      </c>
      <c r="G1069" s="1" t="str">
        <f>"CN203848474U"</f>
        <v>CN203848474U</v>
      </c>
      <c r="H1069" s="1" t="str">
        <f t="shared" ref="H1069:H1073" si="549">"2014-09-24"</f>
        <v>2014-09-24</v>
      </c>
      <c r="I1069" s="1" t="str">
        <f t="shared" si="545"/>
        <v>王学龙</v>
      </c>
      <c r="J1069" s="1" t="str">
        <f t="shared" si="522"/>
        <v>天津市环球汽车配件有限公司</v>
      </c>
    </row>
    <row r="1070" spans="1:10">
      <c r="A1070" s="1" t="str">
        <f t="shared" si="520"/>
        <v>天津市环球汽车配件有限公司</v>
      </c>
      <c r="B1070" s="1" t="str">
        <f>"一种汽车空调器组件的加强型除霜接口"</f>
        <v>一种汽车空调器组件的加强型除霜接口</v>
      </c>
      <c r="C1070" s="1" t="str">
        <f t="shared" si="542"/>
        <v>实用新型</v>
      </c>
      <c r="D1070" s="1" t="str">
        <f t="shared" si="543"/>
        <v>未缴年费专利权终止</v>
      </c>
      <c r="E1070" s="1" t="str">
        <f>"CN201420212844.8"</f>
        <v>CN201420212844.8</v>
      </c>
      <c r="F1070" s="1" t="str">
        <f t="shared" si="548"/>
        <v>2014-04-29</v>
      </c>
      <c r="G1070" s="1" t="str">
        <f>"CN203848466U"</f>
        <v>CN203848466U</v>
      </c>
      <c r="H1070" s="1" t="str">
        <f t="shared" si="549"/>
        <v>2014-09-24</v>
      </c>
      <c r="I1070" s="1" t="str">
        <f t="shared" si="545"/>
        <v>王学龙</v>
      </c>
      <c r="J1070" s="1" t="str">
        <f t="shared" si="522"/>
        <v>天津市环球汽车配件有限公司</v>
      </c>
    </row>
    <row r="1071" spans="1:10">
      <c r="A1071" s="1" t="str">
        <f t="shared" si="520"/>
        <v>天津市环球汽车配件有限公司</v>
      </c>
      <c r="B1071" s="1" t="str">
        <f>"一种加强型热敏电阻线束托架"</f>
        <v>一种加强型热敏电阻线束托架</v>
      </c>
      <c r="C1071" s="1" t="str">
        <f t="shared" si="542"/>
        <v>实用新型</v>
      </c>
      <c r="D1071" s="1" t="str">
        <f t="shared" si="543"/>
        <v>未缴年费专利权终止</v>
      </c>
      <c r="E1071" s="1" t="str">
        <f>"CN201420214719.0"</f>
        <v>CN201420214719.0</v>
      </c>
      <c r="F1071" s="1" t="str">
        <f t="shared" si="548"/>
        <v>2014-04-29</v>
      </c>
      <c r="G1071" s="1" t="str">
        <f>"CN203847829U"</f>
        <v>CN203847829U</v>
      </c>
      <c r="H1071" s="1" t="str">
        <f t="shared" si="549"/>
        <v>2014-09-24</v>
      </c>
      <c r="I1071" s="1" t="str">
        <f t="shared" si="545"/>
        <v>王学龙</v>
      </c>
      <c r="J1071" s="1" t="str">
        <f t="shared" si="522"/>
        <v>天津市环球汽车配件有限公司</v>
      </c>
    </row>
    <row r="1072" spans="1:10">
      <c r="A1072" s="1" t="str">
        <f t="shared" si="520"/>
        <v>天津市环球汽车配件有限公司</v>
      </c>
      <c r="B1072" s="1" t="str">
        <f>"一种热敏电阻线束托架"</f>
        <v>一种热敏电阻线束托架</v>
      </c>
      <c r="C1072" s="1" t="str">
        <f t="shared" si="542"/>
        <v>实用新型</v>
      </c>
      <c r="D1072" s="1" t="str">
        <f t="shared" si="543"/>
        <v>未缴年费专利权终止</v>
      </c>
      <c r="E1072" s="1" t="str">
        <f>"CN201420216163.9"</f>
        <v>CN201420216163.9</v>
      </c>
      <c r="F1072" s="1" t="str">
        <f t="shared" si="548"/>
        <v>2014-04-29</v>
      </c>
      <c r="G1072" s="1" t="str">
        <f>"CN203847830U"</f>
        <v>CN203847830U</v>
      </c>
      <c r="H1072" s="1" t="str">
        <f t="shared" si="549"/>
        <v>2014-09-24</v>
      </c>
      <c r="I1072" s="1" t="str">
        <f t="shared" si="545"/>
        <v>王学龙</v>
      </c>
      <c r="J1072" s="1" t="str">
        <f t="shared" si="522"/>
        <v>天津市环球汽车配件有限公司</v>
      </c>
    </row>
    <row r="1073" spans="1:10">
      <c r="A1073" s="1" t="str">
        <f t="shared" si="520"/>
        <v>天津市环球汽车配件有限公司</v>
      </c>
      <c r="B1073" s="1" t="str">
        <f>"一种汽车空调吸气组件"</f>
        <v>一种汽车空调吸气组件</v>
      </c>
      <c r="C1073" s="1" t="str">
        <f t="shared" si="542"/>
        <v>实用新型</v>
      </c>
      <c r="D1073" s="1" t="str">
        <f t="shared" si="543"/>
        <v>未缴年费专利权终止</v>
      </c>
      <c r="E1073" s="1" t="str">
        <f>"CN201420214781.X"</f>
        <v>CN201420214781.X</v>
      </c>
      <c r="F1073" s="1" t="str">
        <f t="shared" si="548"/>
        <v>2014-04-29</v>
      </c>
      <c r="G1073" s="1" t="str">
        <f>"CN203844578U"</f>
        <v>CN203844578U</v>
      </c>
      <c r="H1073" s="1" t="str">
        <f t="shared" si="549"/>
        <v>2014-09-24</v>
      </c>
      <c r="I1073" s="1" t="str">
        <f t="shared" si="545"/>
        <v>王学龙</v>
      </c>
      <c r="J1073" s="1" t="str">
        <f t="shared" si="522"/>
        <v>天津市环球汽车配件有限公司</v>
      </c>
    </row>
    <row r="1074" spans="1:10">
      <c r="A1074" s="1" t="str">
        <f t="shared" si="520"/>
        <v>天津市环球汽车配件有限公司</v>
      </c>
      <c r="B1074" s="1" t="str">
        <f>"一种汽车空调器组件的模式风门操纵臂"</f>
        <v>一种汽车空调器组件的模式风门操纵臂</v>
      </c>
      <c r="C1074" s="1" t="str">
        <f t="shared" si="542"/>
        <v>实用新型</v>
      </c>
      <c r="D1074" s="1" t="str">
        <f t="shared" si="543"/>
        <v>未缴年费专利权终止</v>
      </c>
      <c r="E1074" s="1" t="str">
        <f>"CN201320481842.4"</f>
        <v>CN201320481842.4</v>
      </c>
      <c r="F1074" s="1" t="str">
        <f t="shared" ref="F1074:F1076" si="550">"2013-08-07"</f>
        <v>2013-08-07</v>
      </c>
      <c r="G1074" s="1" t="str">
        <f>"CN203421798U"</f>
        <v>CN203421798U</v>
      </c>
      <c r="H1074" s="1" t="str">
        <f t="shared" ref="H1074:H1076" si="551">"2014-02-05"</f>
        <v>2014-02-05</v>
      </c>
      <c r="I1074" s="1" t="str">
        <f t="shared" si="545"/>
        <v>王学龙</v>
      </c>
      <c r="J1074" s="1" t="str">
        <f t="shared" si="522"/>
        <v>天津市环球汽车配件有限公司</v>
      </c>
    </row>
    <row r="1075" spans="1:10">
      <c r="A1075" s="1" t="str">
        <f t="shared" si="520"/>
        <v>天津市环球汽车配件有限公司</v>
      </c>
      <c r="B1075" s="1" t="str">
        <f>"一种汽车空调器组件的外气进气口"</f>
        <v>一种汽车空调器组件的外气进气口</v>
      </c>
      <c r="C1075" s="1" t="str">
        <f t="shared" si="542"/>
        <v>实用新型</v>
      </c>
      <c r="D1075" s="1" t="str">
        <f t="shared" si="543"/>
        <v>未缴年费专利权终止</v>
      </c>
      <c r="E1075" s="1" t="str">
        <f>"CN201320482131.9"</f>
        <v>CN201320482131.9</v>
      </c>
      <c r="F1075" s="1" t="str">
        <f t="shared" si="550"/>
        <v>2013-08-07</v>
      </c>
      <c r="G1075" s="1" t="str">
        <f>"CN203418955U"</f>
        <v>CN203418955U</v>
      </c>
      <c r="H1075" s="1" t="str">
        <f t="shared" si="551"/>
        <v>2014-02-05</v>
      </c>
      <c r="I1075" s="1" t="str">
        <f t="shared" si="545"/>
        <v>王学龙</v>
      </c>
      <c r="J1075" s="1" t="str">
        <f t="shared" si="522"/>
        <v>天津市环球汽车配件有限公司</v>
      </c>
    </row>
    <row r="1076" spans="1:10">
      <c r="A1076" s="1" t="str">
        <f t="shared" si="520"/>
        <v>天津市环球汽车配件有限公司</v>
      </c>
      <c r="B1076" s="1" t="str">
        <f>"汽车空调器组件"</f>
        <v>汽车空调器组件</v>
      </c>
      <c r="C1076" s="1" t="str">
        <f t="shared" si="542"/>
        <v>实用新型</v>
      </c>
      <c r="D1076" s="1" t="str">
        <f t="shared" si="543"/>
        <v>未缴年费专利权终止</v>
      </c>
      <c r="E1076" s="1" t="str">
        <f>"CN201320481995.9"</f>
        <v>CN201320481995.9</v>
      </c>
      <c r="F1076" s="1" t="str">
        <f t="shared" si="550"/>
        <v>2013-08-07</v>
      </c>
      <c r="G1076" s="1" t="str">
        <f>"CN203421799U"</f>
        <v>CN203421799U</v>
      </c>
      <c r="H1076" s="1" t="str">
        <f t="shared" si="551"/>
        <v>2014-02-05</v>
      </c>
      <c r="I1076" s="1" t="str">
        <f t="shared" si="545"/>
        <v>王学龙</v>
      </c>
      <c r="J1076" s="1" t="str">
        <f t="shared" si="522"/>
        <v>天津市环球汽车配件有限公司</v>
      </c>
    </row>
    <row r="1077" spans="1:10">
      <c r="A1077" s="1" t="str">
        <f t="shared" ref="A1077:A1122" si="552">"天津海化汽车塑料制品有限公司"</f>
        <v>天津海化汽车塑料制品有限公司</v>
      </c>
      <c r="B1077" s="1" t="str">
        <f>"一种用于加工托盘的注塑模具"</f>
        <v>一种用于加工托盘的注塑模具</v>
      </c>
      <c r="C1077" s="1" t="str">
        <f t="shared" si="542"/>
        <v>实用新型</v>
      </c>
      <c r="D1077" s="1" t="str">
        <f t="shared" ref="D1077:D1092" si="553">"授权"</f>
        <v>授权</v>
      </c>
      <c r="E1077" s="1" t="str">
        <f>"CN202323214058.X"</f>
        <v>CN202323214058.X</v>
      </c>
      <c r="F1077" s="1" t="str">
        <f>"2023-11-28"</f>
        <v>2023-11-28</v>
      </c>
      <c r="G1077" s="1" t="str">
        <f>"CN221819359U"</f>
        <v>CN221819359U</v>
      </c>
      <c r="H1077" s="1" t="str">
        <f>"2024-10-11"</f>
        <v>2024-10-11</v>
      </c>
      <c r="I1077" s="1" t="str">
        <f t="shared" ref="I1077:I1091" si="554">"孙建军"</f>
        <v>孙建军</v>
      </c>
      <c r="J1077" s="1" t="str">
        <f t="shared" ref="J1077:J1122" si="555">"天津海化汽车塑料制品有限公司"</f>
        <v>天津海化汽车塑料制品有限公司</v>
      </c>
    </row>
    <row r="1078" spans="1:10">
      <c r="A1078" s="1" t="str">
        <f t="shared" si="552"/>
        <v>天津海化汽车塑料制品有限公司</v>
      </c>
      <c r="B1078" s="1" t="str">
        <f>"汽车配件加工用的温控注塑模具"</f>
        <v>汽车配件加工用的温控注塑模具</v>
      </c>
      <c r="C1078" s="1" t="str">
        <f t="shared" si="542"/>
        <v>实用新型</v>
      </c>
      <c r="D1078" s="1" t="str">
        <f t="shared" si="553"/>
        <v>授权</v>
      </c>
      <c r="E1078" s="1" t="str">
        <f>"CN202322314616.3"</f>
        <v>CN202322314616.3</v>
      </c>
      <c r="F1078" s="1" t="str">
        <f>"2023-08-28"</f>
        <v>2023-08-28</v>
      </c>
      <c r="G1078" s="1" t="str">
        <f>"CN221819358U"</f>
        <v>CN221819358U</v>
      </c>
      <c r="H1078" s="1" t="str">
        <f>"2024-10-11"</f>
        <v>2024-10-11</v>
      </c>
      <c r="I1078" s="1" t="str">
        <f t="shared" si="554"/>
        <v>孙建军</v>
      </c>
      <c r="J1078" s="1" t="str">
        <f t="shared" si="555"/>
        <v>天津海化汽车塑料制品有限公司</v>
      </c>
    </row>
    <row r="1079" spans="1:10">
      <c r="A1079" s="1" t="str">
        <f t="shared" si="552"/>
        <v>天津海化汽车塑料制品有限公司</v>
      </c>
      <c r="B1079" s="1" t="str">
        <f>"可调节桁架楼承板连接装置"</f>
        <v>可调节桁架楼承板连接装置</v>
      </c>
      <c r="C1079" s="1" t="str">
        <f t="shared" si="542"/>
        <v>实用新型</v>
      </c>
      <c r="D1079" s="1" t="str">
        <f t="shared" si="553"/>
        <v>授权</v>
      </c>
      <c r="E1079" s="1" t="str">
        <f>"CN202322915776.3"</f>
        <v>CN202322915776.3</v>
      </c>
      <c r="F1079" s="1" t="str">
        <f>"2023-10-30"</f>
        <v>2023-10-30</v>
      </c>
      <c r="G1079" s="1" t="str">
        <f>"CN221193892U"</f>
        <v>CN221193892U</v>
      </c>
      <c r="H1079" s="1" t="str">
        <f>"2024-06-21"</f>
        <v>2024-06-21</v>
      </c>
      <c r="I1079" s="1" t="str">
        <f t="shared" si="554"/>
        <v>孙建军</v>
      </c>
      <c r="J1079" s="1" t="str">
        <f t="shared" si="555"/>
        <v>天津海化汽车塑料制品有限公司</v>
      </c>
    </row>
    <row r="1080" spans="1:10">
      <c r="A1080" s="1" t="str">
        <f t="shared" si="552"/>
        <v>天津海化汽车塑料制品有限公司</v>
      </c>
      <c r="B1080" s="1" t="str">
        <f>"一种塑料制九脚托盘"</f>
        <v>一种塑料制九脚托盘</v>
      </c>
      <c r="C1080" s="1" t="str">
        <f t="shared" si="542"/>
        <v>实用新型</v>
      </c>
      <c r="D1080" s="1" t="str">
        <f t="shared" si="553"/>
        <v>授权</v>
      </c>
      <c r="E1080" s="1" t="str">
        <f>"CN202323198333.3"</f>
        <v>CN202323198333.3</v>
      </c>
      <c r="F1080" s="1" t="str">
        <f>"2023-11-27"</f>
        <v>2023-11-27</v>
      </c>
      <c r="G1080" s="1" t="str">
        <f>"CN221163834U"</f>
        <v>CN221163834U</v>
      </c>
      <c r="H1080" s="1" t="str">
        <f>"2024-06-18"</f>
        <v>2024-06-18</v>
      </c>
      <c r="I1080" s="1" t="str">
        <f t="shared" si="554"/>
        <v>孙建军</v>
      </c>
      <c r="J1080" s="1" t="str">
        <f t="shared" si="555"/>
        <v>天津海化汽车塑料制品有限公司</v>
      </c>
    </row>
    <row r="1081" spans="1:10">
      <c r="A1081" s="1" t="str">
        <f t="shared" si="552"/>
        <v>天津海化汽车塑料制品有限公司</v>
      </c>
      <c r="B1081" s="1" t="str">
        <f>"桁架楼承板防震装置"</f>
        <v>桁架楼承板防震装置</v>
      </c>
      <c r="C1081" s="1" t="str">
        <f t="shared" si="542"/>
        <v>实用新型</v>
      </c>
      <c r="D1081" s="1" t="str">
        <f t="shared" si="553"/>
        <v>授权</v>
      </c>
      <c r="E1081" s="1" t="str">
        <f>"CN202322915772.5"</f>
        <v>CN202322915772.5</v>
      </c>
      <c r="F1081" s="1" t="str">
        <f>"2023-10-30"</f>
        <v>2023-10-30</v>
      </c>
      <c r="G1081" s="1" t="str">
        <f>"CN221119266U"</f>
        <v>CN221119266U</v>
      </c>
      <c r="H1081" s="1" t="str">
        <f>"2024-06-11"</f>
        <v>2024-06-11</v>
      </c>
      <c r="I1081" s="1" t="str">
        <f t="shared" si="554"/>
        <v>孙建军</v>
      </c>
      <c r="J1081" s="1" t="str">
        <f t="shared" si="555"/>
        <v>天津海化汽车塑料制品有限公司</v>
      </c>
    </row>
    <row r="1082" spans="1:10">
      <c r="A1082" s="1" t="str">
        <f t="shared" si="552"/>
        <v>天津海化汽车塑料制品有限公司</v>
      </c>
      <c r="B1082" s="1" t="str">
        <f>"桁架楼承板支撑结构"</f>
        <v>桁架楼承板支撑结构</v>
      </c>
      <c r="C1082" s="1" t="str">
        <f t="shared" si="542"/>
        <v>实用新型</v>
      </c>
      <c r="D1082" s="1" t="str">
        <f t="shared" si="553"/>
        <v>授权</v>
      </c>
      <c r="E1082" s="1" t="str">
        <f>"CN202322452643.7"</f>
        <v>CN202322452643.7</v>
      </c>
      <c r="F1082" s="1" t="str">
        <f>"2023-09-11"</f>
        <v>2023-09-11</v>
      </c>
      <c r="G1082" s="1" t="str">
        <f>"CN220848255U"</f>
        <v>CN220848255U</v>
      </c>
      <c r="H1082" s="1" t="str">
        <f t="shared" ref="H1082:H1084" si="556">"2024-04-26"</f>
        <v>2024-04-26</v>
      </c>
      <c r="I1082" s="1" t="str">
        <f t="shared" si="554"/>
        <v>孙建军</v>
      </c>
      <c r="J1082" s="1" t="str">
        <f t="shared" si="555"/>
        <v>天津海化汽车塑料制品有限公司</v>
      </c>
    </row>
    <row r="1083" spans="1:10">
      <c r="A1083" s="1" t="str">
        <f t="shared" si="552"/>
        <v>天津海化汽车塑料制品有限公司</v>
      </c>
      <c r="B1083" s="1" t="str">
        <f>"汽车配件智能检测装置"</f>
        <v>汽车配件智能检测装置</v>
      </c>
      <c r="C1083" s="1" t="str">
        <f t="shared" si="542"/>
        <v>实用新型</v>
      </c>
      <c r="D1083" s="1" t="str">
        <f t="shared" si="553"/>
        <v>授权</v>
      </c>
      <c r="E1083" s="1" t="str">
        <f>"CN202322631109.2"</f>
        <v>CN202322631109.2</v>
      </c>
      <c r="F1083" s="1" t="str">
        <f>"2023-09-27"</f>
        <v>2023-09-27</v>
      </c>
      <c r="G1083" s="1" t="str">
        <f>"CN220853454U"</f>
        <v>CN220853454U</v>
      </c>
      <c r="H1083" s="1" t="str">
        <f t="shared" si="556"/>
        <v>2024-04-26</v>
      </c>
      <c r="I1083" s="1" t="str">
        <f t="shared" si="554"/>
        <v>孙建军</v>
      </c>
      <c r="J1083" s="1" t="str">
        <f t="shared" si="555"/>
        <v>天津海化汽车塑料制品有限公司</v>
      </c>
    </row>
    <row r="1084" spans="1:10">
      <c r="A1084" s="1" t="str">
        <f t="shared" si="552"/>
        <v>天津海化汽车塑料制品有限公司</v>
      </c>
      <c r="B1084" s="1" t="str">
        <f>"自动剥料注塑机装置"</f>
        <v>自动剥料注塑机装置</v>
      </c>
      <c r="C1084" s="1" t="str">
        <f t="shared" si="542"/>
        <v>实用新型</v>
      </c>
      <c r="D1084" s="1" t="str">
        <f t="shared" si="553"/>
        <v>授权</v>
      </c>
      <c r="E1084" s="1" t="str">
        <f>"CN202322314707.7"</f>
        <v>CN202322314707.7</v>
      </c>
      <c r="F1084" s="1" t="str">
        <f>"2023-08-28"</f>
        <v>2023-08-28</v>
      </c>
      <c r="G1084" s="1" t="str">
        <f>"CN220841185U"</f>
        <v>CN220841185U</v>
      </c>
      <c r="H1084" s="1" t="str">
        <f t="shared" si="556"/>
        <v>2024-04-26</v>
      </c>
      <c r="I1084" s="1" t="str">
        <f t="shared" si="554"/>
        <v>孙建军</v>
      </c>
      <c r="J1084" s="1" t="str">
        <f t="shared" si="555"/>
        <v>天津海化汽车塑料制品有限公司</v>
      </c>
    </row>
    <row r="1085" spans="1:10">
      <c r="A1085" s="1" t="str">
        <f t="shared" si="552"/>
        <v>天津海化汽车塑料制品有限公司</v>
      </c>
      <c r="B1085" s="1" t="str">
        <f>"可拆卸钢筋桁架楼承板"</f>
        <v>可拆卸钢筋桁架楼承板</v>
      </c>
      <c r="C1085" s="1" t="str">
        <f t="shared" si="542"/>
        <v>实用新型</v>
      </c>
      <c r="D1085" s="1" t="str">
        <f t="shared" si="553"/>
        <v>授权</v>
      </c>
      <c r="E1085" s="1" t="str">
        <f>"CN202320964828.3"</f>
        <v>CN202320964828.3</v>
      </c>
      <c r="F1085" s="1" t="str">
        <f>"2023-04-25"</f>
        <v>2023-04-25</v>
      </c>
      <c r="G1085" s="1" t="str">
        <f>"CN220150646U"</f>
        <v>CN220150646U</v>
      </c>
      <c r="H1085" s="1" t="str">
        <f>"2023-12-08"</f>
        <v>2023-12-08</v>
      </c>
      <c r="I1085" s="1" t="str">
        <f t="shared" si="554"/>
        <v>孙建军</v>
      </c>
      <c r="J1085" s="1" t="str">
        <f t="shared" si="555"/>
        <v>天津海化汽车塑料制品有限公司</v>
      </c>
    </row>
    <row r="1086" spans="1:10">
      <c r="A1086" s="1" t="str">
        <f t="shared" si="552"/>
        <v>天津海化汽车塑料制品有限公司</v>
      </c>
      <c r="B1086" s="1" t="str">
        <f>"汽车后门拉手盒总成"</f>
        <v>汽车后门拉手盒总成</v>
      </c>
      <c r="C1086" s="1" t="str">
        <f t="shared" si="542"/>
        <v>实用新型</v>
      </c>
      <c r="D1086" s="1" t="str">
        <f t="shared" si="553"/>
        <v>授权</v>
      </c>
      <c r="E1086" s="1" t="str">
        <f>"CN202320851099.0"</f>
        <v>CN202320851099.0</v>
      </c>
      <c r="F1086" s="1" t="str">
        <f>"2023-04-17"</f>
        <v>2023-04-17</v>
      </c>
      <c r="G1086" s="1" t="str">
        <f>"CN219856995U"</f>
        <v>CN219856995U</v>
      </c>
      <c r="H1086" s="1" t="str">
        <f t="shared" ref="H1086:H1088" si="557">"2023-10-20"</f>
        <v>2023-10-20</v>
      </c>
      <c r="I1086" s="1" t="str">
        <f t="shared" si="554"/>
        <v>孙建军</v>
      </c>
      <c r="J1086" s="1" t="str">
        <f t="shared" si="555"/>
        <v>天津海化汽车塑料制品有限公司</v>
      </c>
    </row>
    <row r="1087" spans="1:10">
      <c r="A1087" s="1" t="str">
        <f t="shared" si="552"/>
        <v>天津海化汽车塑料制品有限公司</v>
      </c>
      <c r="B1087" s="1" t="str">
        <f>"组合式建筑模壳"</f>
        <v>组合式建筑模壳</v>
      </c>
      <c r="C1087" s="1" t="str">
        <f t="shared" si="542"/>
        <v>实用新型</v>
      </c>
      <c r="D1087" s="1" t="str">
        <f t="shared" si="553"/>
        <v>授权</v>
      </c>
      <c r="E1087" s="1" t="str">
        <f>"CN202320690407.6"</f>
        <v>CN202320690407.6</v>
      </c>
      <c r="F1087" s="1" t="str">
        <f>"2023-03-31"</f>
        <v>2023-03-31</v>
      </c>
      <c r="G1087" s="1" t="str">
        <f>"CN219864009U"</f>
        <v>CN219864009U</v>
      </c>
      <c r="H1087" s="1" t="str">
        <f t="shared" si="557"/>
        <v>2023-10-20</v>
      </c>
      <c r="I1087" s="1" t="str">
        <f t="shared" si="554"/>
        <v>孙建军</v>
      </c>
      <c r="J1087" s="1" t="str">
        <f t="shared" si="555"/>
        <v>天津海化汽车塑料制品有限公司</v>
      </c>
    </row>
    <row r="1088" spans="1:10">
      <c r="A1088" s="1" t="str">
        <f t="shared" si="552"/>
        <v>天津海化汽车塑料制品有限公司</v>
      </c>
      <c r="B1088" s="1" t="str">
        <f>"汽车扶手箱前饰板"</f>
        <v>汽车扶手箱前饰板</v>
      </c>
      <c r="C1088" s="1" t="str">
        <f t="shared" si="542"/>
        <v>实用新型</v>
      </c>
      <c r="D1088" s="1" t="str">
        <f t="shared" si="553"/>
        <v>授权</v>
      </c>
      <c r="E1088" s="1" t="str">
        <f>"CN202320690406.1"</f>
        <v>CN202320690406.1</v>
      </c>
      <c r="F1088" s="1" t="str">
        <f>"2023-03-31"</f>
        <v>2023-03-31</v>
      </c>
      <c r="G1088" s="1" t="str">
        <f>"CN219857035U"</f>
        <v>CN219857035U</v>
      </c>
      <c r="H1088" s="1" t="str">
        <f t="shared" si="557"/>
        <v>2023-10-20</v>
      </c>
      <c r="I1088" s="1" t="str">
        <f t="shared" si="554"/>
        <v>孙建军</v>
      </c>
      <c r="J1088" s="1" t="str">
        <f t="shared" si="555"/>
        <v>天津海化汽车塑料制品有限公司</v>
      </c>
    </row>
    <row r="1089" spans="1:10">
      <c r="A1089" s="1" t="str">
        <f t="shared" si="552"/>
        <v>天津海化汽车塑料制品有限公司</v>
      </c>
      <c r="B1089" s="1" t="str">
        <f>"一种模壳易脱模结构"</f>
        <v>一种模壳易脱模结构</v>
      </c>
      <c r="C1089" s="1" t="str">
        <f t="shared" si="542"/>
        <v>实用新型</v>
      </c>
      <c r="D1089" s="1" t="str">
        <f t="shared" si="553"/>
        <v>授权</v>
      </c>
      <c r="E1089" s="1" t="str">
        <f>"CN202221351247.4"</f>
        <v>CN202221351247.4</v>
      </c>
      <c r="F1089" s="1" t="str">
        <f>"2022-05-31"</f>
        <v>2022-05-31</v>
      </c>
      <c r="G1089" s="1" t="str">
        <f>"CN218227467U"</f>
        <v>CN218227467U</v>
      </c>
      <c r="H1089" s="1" t="str">
        <f t="shared" ref="H1089:H1091" si="558">"2023-01-06"</f>
        <v>2023-01-06</v>
      </c>
      <c r="I1089" s="1" t="str">
        <f t="shared" si="554"/>
        <v>孙建军</v>
      </c>
      <c r="J1089" s="1" t="str">
        <f t="shared" si="555"/>
        <v>天津海化汽车塑料制品有限公司</v>
      </c>
    </row>
    <row r="1090" spans="1:10">
      <c r="A1090" s="1" t="str">
        <f t="shared" si="552"/>
        <v>天津海化汽车塑料制品有限公司</v>
      </c>
      <c r="B1090" s="1" t="str">
        <f>"一种新型塑料汽车门把手骨架"</f>
        <v>一种新型塑料汽车门把手骨架</v>
      </c>
      <c r="C1090" s="1" t="str">
        <f t="shared" si="542"/>
        <v>实用新型</v>
      </c>
      <c r="D1090" s="1" t="str">
        <f t="shared" si="553"/>
        <v>授权</v>
      </c>
      <c r="E1090" s="1" t="str">
        <f>"CN202221513923.3"</f>
        <v>CN202221513923.3</v>
      </c>
      <c r="F1090" s="1" t="str">
        <f>"2022-06-16"</f>
        <v>2022-06-16</v>
      </c>
      <c r="G1090" s="1" t="str">
        <f>"CN218234739U"</f>
        <v>CN218234739U</v>
      </c>
      <c r="H1090" s="1" t="str">
        <f t="shared" si="558"/>
        <v>2023-01-06</v>
      </c>
      <c r="I1090" s="1" t="str">
        <f t="shared" si="554"/>
        <v>孙建军</v>
      </c>
      <c r="J1090" s="1" t="str">
        <f t="shared" si="555"/>
        <v>天津海化汽车塑料制品有限公司</v>
      </c>
    </row>
    <row r="1091" spans="1:10">
      <c r="A1091" s="1" t="str">
        <f t="shared" si="552"/>
        <v>天津海化汽车塑料制品有限公司</v>
      </c>
      <c r="B1091" s="1" t="str">
        <f>"一种精密浇筑的建筑模壳"</f>
        <v>一种精密浇筑的建筑模壳</v>
      </c>
      <c r="C1091" s="1" t="str">
        <f t="shared" si="542"/>
        <v>实用新型</v>
      </c>
      <c r="D1091" s="1" t="str">
        <f t="shared" si="553"/>
        <v>授权</v>
      </c>
      <c r="E1091" s="1" t="str">
        <f>"CN202221434740.2"</f>
        <v>CN202221434740.2</v>
      </c>
      <c r="F1091" s="1" t="str">
        <f>"2022-06-08"</f>
        <v>2022-06-08</v>
      </c>
      <c r="G1091" s="1" t="str">
        <f>"CN218227120U"</f>
        <v>CN218227120U</v>
      </c>
      <c r="H1091" s="1" t="str">
        <f t="shared" si="558"/>
        <v>2023-01-06</v>
      </c>
      <c r="I1091" s="1" t="str">
        <f t="shared" si="554"/>
        <v>孙建军</v>
      </c>
      <c r="J1091" s="1" t="str">
        <f t="shared" si="555"/>
        <v>天津海化汽车塑料制品有限公司</v>
      </c>
    </row>
    <row r="1092" spans="1:10">
      <c r="A1092" s="1" t="str">
        <f t="shared" si="552"/>
        <v>天津海化汽车塑料制品有限公司</v>
      </c>
      <c r="B1092" s="1" t="str">
        <f>"一种密肋免支系统及其施工方法"</f>
        <v>一种密肋免支系统及其施工方法</v>
      </c>
      <c r="C1092" s="1" t="str">
        <f>"发明授权"</f>
        <v>发明授权</v>
      </c>
      <c r="D1092" s="1" t="str">
        <f t="shared" si="553"/>
        <v>授权</v>
      </c>
      <c r="E1092" s="1" t="str">
        <f>"CN202010587404.0"</f>
        <v>CN202010587404.0</v>
      </c>
      <c r="F1092" s="1" t="str">
        <f>"2020-06-24"</f>
        <v>2020-06-24</v>
      </c>
      <c r="G1092" s="1" t="str">
        <f>"CN111691593B"</f>
        <v>CN111691593B</v>
      </c>
      <c r="H1092" s="1" t="str">
        <f>"2022-01-18"</f>
        <v>2022-01-18</v>
      </c>
      <c r="I1092" s="1" t="s">
        <v>4965</v>
      </c>
      <c r="J1092" s="1" t="str">
        <f t="shared" si="555"/>
        <v>天津海化汽车塑料制品有限公司</v>
      </c>
    </row>
    <row r="1093" spans="1:10">
      <c r="A1093" s="1" t="str">
        <f t="shared" si="552"/>
        <v>天津海化汽车塑料制品有限公司</v>
      </c>
      <c r="B1093" s="1" t="str">
        <f>"一种新型便于搬运的防火塑料模壳"</f>
        <v>一种新型便于搬运的防火塑料模壳</v>
      </c>
      <c r="C1093" s="1" t="str">
        <f t="shared" ref="C1093:C1115" si="559">"实用新型"</f>
        <v>实用新型</v>
      </c>
      <c r="D1093" s="1" t="str">
        <f t="shared" ref="D1093:D1097" si="560">"未缴年费专利权终止"</f>
        <v>未缴年费专利权终止</v>
      </c>
      <c r="E1093" s="1" t="str">
        <f>"CN202120587445.X"</f>
        <v>CN202120587445.X</v>
      </c>
      <c r="F1093" s="1" t="str">
        <f>"2021-03-23"</f>
        <v>2021-03-23</v>
      </c>
      <c r="G1093" s="1" t="str">
        <f>"CN214658139U"</f>
        <v>CN214658139U</v>
      </c>
      <c r="H1093" s="1" t="str">
        <f>"2021-11-09"</f>
        <v>2021-11-09</v>
      </c>
      <c r="I1093" s="1" t="str">
        <f t="shared" ref="I1093:I1109" si="561">"孙建军"</f>
        <v>孙建军</v>
      </c>
      <c r="J1093" s="1" t="str">
        <f t="shared" si="555"/>
        <v>天津海化汽车塑料制品有限公司</v>
      </c>
    </row>
    <row r="1094" spans="1:10">
      <c r="A1094" s="1" t="str">
        <f t="shared" si="552"/>
        <v>天津海化汽车塑料制品有限公司</v>
      </c>
      <c r="B1094" s="1" t="str">
        <f>"一种新型易拆卸的建筑用塑料模壳"</f>
        <v>一种新型易拆卸的建筑用塑料模壳</v>
      </c>
      <c r="C1094" s="1" t="str">
        <f t="shared" si="559"/>
        <v>实用新型</v>
      </c>
      <c r="D1094" s="1" t="str">
        <f t="shared" ref="D1094:D1098" si="562">"授权"</f>
        <v>授权</v>
      </c>
      <c r="E1094" s="1" t="str">
        <f>"CN201921994683.1"</f>
        <v>CN201921994683.1</v>
      </c>
      <c r="F1094" s="1" t="str">
        <f>"2019-11-19"</f>
        <v>2019-11-19</v>
      </c>
      <c r="G1094" s="1" t="str">
        <f>"CN211114799U"</f>
        <v>CN211114799U</v>
      </c>
      <c r="H1094" s="1" t="str">
        <f>"2020-07-28"</f>
        <v>2020-07-28</v>
      </c>
      <c r="I1094" s="1" t="str">
        <f t="shared" si="561"/>
        <v>孙建军</v>
      </c>
      <c r="J1094" s="1" t="str">
        <f t="shared" si="555"/>
        <v>天津海化汽车塑料制品有限公司</v>
      </c>
    </row>
    <row r="1095" spans="1:10">
      <c r="A1095" s="1" t="str">
        <f t="shared" si="552"/>
        <v>天津海化汽车塑料制品有限公司</v>
      </c>
      <c r="B1095" s="1" t="str">
        <f>"一种新型便于组装的建筑用塑料模壳"</f>
        <v>一种新型便于组装的建筑用塑料模壳</v>
      </c>
      <c r="C1095" s="1" t="str">
        <f t="shared" si="559"/>
        <v>实用新型</v>
      </c>
      <c r="D1095" s="1" t="str">
        <f t="shared" si="560"/>
        <v>未缴年费专利权终止</v>
      </c>
      <c r="E1095" s="1" t="str">
        <f>"CN201921689858.8"</f>
        <v>CN201921689858.8</v>
      </c>
      <c r="F1095" s="1" t="str">
        <f>"2019-10-11"</f>
        <v>2019-10-11</v>
      </c>
      <c r="G1095" s="1" t="str">
        <f>"CN211007624U"</f>
        <v>CN211007624U</v>
      </c>
      <c r="H1095" s="1" t="str">
        <f t="shared" ref="H1095:H1097" si="563">"2020-07-14"</f>
        <v>2020-07-14</v>
      </c>
      <c r="I1095" s="1" t="str">
        <f t="shared" si="561"/>
        <v>孙建军</v>
      </c>
      <c r="J1095" s="1" t="str">
        <f t="shared" si="555"/>
        <v>天津海化汽车塑料制品有限公司</v>
      </c>
    </row>
    <row r="1096" spans="1:10">
      <c r="A1096" s="1" t="str">
        <f t="shared" si="552"/>
        <v>天津海化汽车塑料制品有限公司</v>
      </c>
      <c r="B1096" s="1" t="str">
        <f>"一种用于汽车门槛装饰条的模具"</f>
        <v>一种用于汽车门槛装饰条的模具</v>
      </c>
      <c r="C1096" s="1" t="str">
        <f t="shared" si="559"/>
        <v>实用新型</v>
      </c>
      <c r="D1096" s="1" t="str">
        <f t="shared" si="562"/>
        <v>授权</v>
      </c>
      <c r="E1096" s="1" t="str">
        <f>"CN201921994680.8"</f>
        <v>CN201921994680.8</v>
      </c>
      <c r="F1096" s="1" t="str">
        <f>"2019-11-19"</f>
        <v>2019-11-19</v>
      </c>
      <c r="G1096" s="1" t="str">
        <f>"CN210996016U"</f>
        <v>CN210996016U</v>
      </c>
      <c r="H1096" s="1" t="str">
        <f t="shared" si="563"/>
        <v>2020-07-14</v>
      </c>
      <c r="I1096" s="1" t="str">
        <f t="shared" si="561"/>
        <v>孙建军</v>
      </c>
      <c r="J1096" s="1" t="str">
        <f t="shared" si="555"/>
        <v>天津海化汽车塑料制品有限公司</v>
      </c>
    </row>
    <row r="1097" spans="1:10">
      <c r="A1097" s="1" t="str">
        <f t="shared" si="552"/>
        <v>天津海化汽车塑料制品有限公司</v>
      </c>
      <c r="B1097" s="1" t="str">
        <f>"一种新型汽车后保险杠饰条"</f>
        <v>一种新型汽车后保险杠饰条</v>
      </c>
      <c r="C1097" s="1" t="str">
        <f t="shared" si="559"/>
        <v>实用新型</v>
      </c>
      <c r="D1097" s="1" t="str">
        <f t="shared" si="560"/>
        <v>未缴年费专利权终止</v>
      </c>
      <c r="E1097" s="1" t="str">
        <f>"CN201921747252.5"</f>
        <v>CN201921747252.5</v>
      </c>
      <c r="F1097" s="1" t="str">
        <f>"2019-10-18"</f>
        <v>2019-10-18</v>
      </c>
      <c r="G1097" s="1" t="str">
        <f>"CN211001179U"</f>
        <v>CN211001179U</v>
      </c>
      <c r="H1097" s="1" t="str">
        <f t="shared" si="563"/>
        <v>2020-07-14</v>
      </c>
      <c r="I1097" s="1" t="str">
        <f t="shared" si="561"/>
        <v>孙建军</v>
      </c>
      <c r="J1097" s="1" t="str">
        <f t="shared" si="555"/>
        <v>天津海化汽车塑料制品有限公司</v>
      </c>
    </row>
    <row r="1098" spans="1:10">
      <c r="A1098" s="1" t="str">
        <f t="shared" si="552"/>
        <v>天津海化汽车塑料制品有限公司</v>
      </c>
      <c r="B1098" s="1" t="str">
        <f>"一种新型汽车散热器罩总成"</f>
        <v>一种新型汽车散热器罩总成</v>
      </c>
      <c r="C1098" s="1" t="str">
        <f t="shared" si="559"/>
        <v>实用新型</v>
      </c>
      <c r="D1098" s="1" t="str">
        <f t="shared" si="562"/>
        <v>授权</v>
      </c>
      <c r="E1098" s="1" t="str">
        <f>"CN201921983919.1"</f>
        <v>CN201921983919.1</v>
      </c>
      <c r="F1098" s="1" t="str">
        <f>"2019-11-18"</f>
        <v>2019-11-18</v>
      </c>
      <c r="G1098" s="1" t="str">
        <f>"CN210822139U"</f>
        <v>CN210822139U</v>
      </c>
      <c r="H1098" s="1" t="str">
        <f>"2020-06-23"</f>
        <v>2020-06-23</v>
      </c>
      <c r="I1098" s="1" t="str">
        <f t="shared" si="561"/>
        <v>孙建军</v>
      </c>
      <c r="J1098" s="1" t="str">
        <f t="shared" si="555"/>
        <v>天津海化汽车塑料制品有限公司</v>
      </c>
    </row>
    <row r="1099" spans="1:10">
      <c r="A1099" s="1" t="str">
        <f t="shared" si="552"/>
        <v>天津海化汽车塑料制品有限公司</v>
      </c>
      <c r="B1099" s="1" t="str">
        <f>"一种新型汽车前保险杠下部连接支架"</f>
        <v>一种新型汽车前保险杠下部连接支架</v>
      </c>
      <c r="C1099" s="1" t="str">
        <f t="shared" si="559"/>
        <v>实用新型</v>
      </c>
      <c r="D1099" s="1" t="str">
        <f t="shared" ref="D1099:D1102" si="564">"未缴年费专利权终止"</f>
        <v>未缴年费专利权终止</v>
      </c>
      <c r="E1099" s="1" t="str">
        <f>"CN201921983917.2"</f>
        <v>CN201921983917.2</v>
      </c>
      <c r="F1099" s="1" t="str">
        <f>"2019-11-18"</f>
        <v>2019-11-18</v>
      </c>
      <c r="G1099" s="1" t="str">
        <f>"CN210822136U"</f>
        <v>CN210822136U</v>
      </c>
      <c r="H1099" s="1" t="str">
        <f>"2020-06-23"</f>
        <v>2020-06-23</v>
      </c>
      <c r="I1099" s="1" t="str">
        <f t="shared" si="561"/>
        <v>孙建军</v>
      </c>
      <c r="J1099" s="1" t="str">
        <f t="shared" si="555"/>
        <v>天津海化汽车塑料制品有限公司</v>
      </c>
    </row>
    <row r="1100" spans="1:10">
      <c r="A1100" s="1" t="str">
        <f t="shared" si="552"/>
        <v>天津海化汽车塑料制品有限公司</v>
      </c>
      <c r="B1100" s="1" t="str">
        <f>"一种新型汽车门槛装饰条"</f>
        <v>一种新型汽车门槛装饰条</v>
      </c>
      <c r="C1100" s="1" t="str">
        <f t="shared" si="559"/>
        <v>实用新型</v>
      </c>
      <c r="D1100" s="1" t="str">
        <f>"授权"</f>
        <v>授权</v>
      </c>
      <c r="E1100" s="1" t="str">
        <f>"CN201921939165.X"</f>
        <v>CN201921939165.X</v>
      </c>
      <c r="F1100" s="1" t="str">
        <f>"2019-11-12"</f>
        <v>2019-11-12</v>
      </c>
      <c r="G1100" s="1" t="str">
        <f>"CN210760576U"</f>
        <v>CN210760576U</v>
      </c>
      <c r="H1100" s="1" t="str">
        <f>"2020-06-16"</f>
        <v>2020-06-16</v>
      </c>
      <c r="I1100" s="1" t="str">
        <f t="shared" si="561"/>
        <v>孙建军</v>
      </c>
      <c r="J1100" s="1" t="str">
        <f t="shared" si="555"/>
        <v>天津海化汽车塑料制品有限公司</v>
      </c>
    </row>
    <row r="1101" spans="1:10">
      <c r="A1101" s="1" t="str">
        <f t="shared" si="552"/>
        <v>天津海化汽车塑料制品有限公司</v>
      </c>
      <c r="B1101" s="1" t="str">
        <f>"一种新型汽车中后保险杆生产设备"</f>
        <v>一种新型汽车中后保险杆生产设备</v>
      </c>
      <c r="C1101" s="1" t="str">
        <f t="shared" si="559"/>
        <v>实用新型</v>
      </c>
      <c r="D1101" s="1" t="str">
        <f t="shared" si="564"/>
        <v>未缴年费专利权终止</v>
      </c>
      <c r="E1101" s="1" t="str">
        <f>"CN201921436895.8"</f>
        <v>CN201921436895.8</v>
      </c>
      <c r="F1101" s="1" t="str">
        <f>"2019-09-02"</f>
        <v>2019-09-02</v>
      </c>
      <c r="G1101" s="1" t="str">
        <f>"CN210758895U"</f>
        <v>CN210758895U</v>
      </c>
      <c r="H1101" s="1" t="str">
        <f>"2020-06-16"</f>
        <v>2020-06-16</v>
      </c>
      <c r="I1101" s="1" t="str">
        <f t="shared" si="561"/>
        <v>孙建军</v>
      </c>
      <c r="J1101" s="1" t="str">
        <f t="shared" si="555"/>
        <v>天津海化汽车塑料制品有限公司</v>
      </c>
    </row>
    <row r="1102" spans="1:10">
      <c r="A1102" s="1" t="str">
        <f t="shared" si="552"/>
        <v>天津海化汽车塑料制品有限公司</v>
      </c>
      <c r="B1102" s="1" t="str">
        <f>"一种新型防刮痕玻璃升降按钮的多功能面板"</f>
        <v>一种新型防刮痕玻璃升降按钮的多功能面板</v>
      </c>
      <c r="C1102" s="1" t="str">
        <f t="shared" si="559"/>
        <v>实用新型</v>
      </c>
      <c r="D1102" s="1" t="str">
        <f t="shared" si="564"/>
        <v>未缴年费专利权终止</v>
      </c>
      <c r="E1102" s="1" t="str">
        <f>"CN201921689876.6"</f>
        <v>CN201921689876.6</v>
      </c>
      <c r="F1102" s="1" t="str">
        <f>"2019-10-11"</f>
        <v>2019-10-11</v>
      </c>
      <c r="G1102" s="1" t="str">
        <f>"CN210591728U"</f>
        <v>CN210591728U</v>
      </c>
      <c r="H1102" s="1" t="str">
        <f>"2020-05-22"</f>
        <v>2020-05-22</v>
      </c>
      <c r="I1102" s="1" t="str">
        <f t="shared" si="561"/>
        <v>孙建军</v>
      </c>
      <c r="J1102" s="1" t="str">
        <f t="shared" si="555"/>
        <v>天津海化汽车塑料制品有限公司</v>
      </c>
    </row>
    <row r="1103" spans="1:10">
      <c r="A1103" s="1" t="str">
        <f t="shared" si="552"/>
        <v>天津海化汽车塑料制品有限公司</v>
      </c>
      <c r="B1103" s="1" t="str">
        <f>"一种新型汽车后保险杠饰条加工设备"</f>
        <v>一种新型汽车后保险杠饰条加工设备</v>
      </c>
      <c r="C1103" s="1" t="str">
        <f t="shared" si="559"/>
        <v>实用新型</v>
      </c>
      <c r="D1103" s="1" t="str">
        <f>"授权"</f>
        <v>授权</v>
      </c>
      <c r="E1103" s="1" t="str">
        <f>"CN201921414305.1"</f>
        <v>CN201921414305.1</v>
      </c>
      <c r="F1103" s="1" t="str">
        <f>"2019-08-29"</f>
        <v>2019-08-29</v>
      </c>
      <c r="G1103" s="1" t="str">
        <f>"CN210522896U"</f>
        <v>CN210522896U</v>
      </c>
      <c r="H1103" s="1" t="str">
        <f>"2020-05-15"</f>
        <v>2020-05-15</v>
      </c>
      <c r="I1103" s="1" t="str">
        <f t="shared" si="561"/>
        <v>孙建军</v>
      </c>
      <c r="J1103" s="1" t="str">
        <f t="shared" si="555"/>
        <v>天津海化汽车塑料制品有限公司</v>
      </c>
    </row>
    <row r="1104" spans="1:10">
      <c r="A1104" s="1" t="str">
        <f t="shared" si="552"/>
        <v>天津海化汽车塑料制品有限公司</v>
      </c>
      <c r="B1104" s="1" t="str">
        <f>"一种新型汽车托盘用加工设备"</f>
        <v>一种新型汽车托盘用加工设备</v>
      </c>
      <c r="C1104" s="1" t="str">
        <f t="shared" si="559"/>
        <v>实用新型</v>
      </c>
      <c r="D1104" s="1" t="str">
        <f t="shared" ref="D1104:D1115" si="565">"未缴年费专利权终止"</f>
        <v>未缴年费专利权终止</v>
      </c>
      <c r="E1104" s="1" t="str">
        <f>"CN201921396322.7"</f>
        <v>CN201921396322.7</v>
      </c>
      <c r="F1104" s="1" t="str">
        <f>"2019-08-27"</f>
        <v>2019-08-27</v>
      </c>
      <c r="G1104" s="1" t="str">
        <f>"CN210498887U"</f>
        <v>CN210498887U</v>
      </c>
      <c r="H1104" s="1" t="str">
        <f t="shared" ref="H1104:H1109" si="566">"2020-05-12"</f>
        <v>2020-05-12</v>
      </c>
      <c r="I1104" s="1" t="str">
        <f t="shared" si="561"/>
        <v>孙建军</v>
      </c>
      <c r="J1104" s="1" t="str">
        <f t="shared" si="555"/>
        <v>天津海化汽车塑料制品有限公司</v>
      </c>
    </row>
    <row r="1105" spans="1:10">
      <c r="A1105" s="1" t="str">
        <f t="shared" si="552"/>
        <v>天津海化汽车塑料制品有限公司</v>
      </c>
      <c r="B1105" s="1" t="str">
        <f>"一种新型汽车防碰撞中后保险杆"</f>
        <v>一种新型汽车防碰撞中后保险杆</v>
      </c>
      <c r="C1105" s="1" t="str">
        <f t="shared" si="559"/>
        <v>实用新型</v>
      </c>
      <c r="D1105" s="1" t="str">
        <f t="shared" si="565"/>
        <v>未缴年费专利权终止</v>
      </c>
      <c r="E1105" s="1" t="str">
        <f>"CN201921436945.2"</f>
        <v>CN201921436945.2</v>
      </c>
      <c r="F1105" s="1" t="str">
        <f>"2019-09-02"</f>
        <v>2019-09-02</v>
      </c>
      <c r="G1105" s="1" t="str">
        <f>"CN210502587U"</f>
        <v>CN210502587U</v>
      </c>
      <c r="H1105" s="1" t="str">
        <f t="shared" si="566"/>
        <v>2020-05-12</v>
      </c>
      <c r="I1105" s="1" t="str">
        <f t="shared" si="561"/>
        <v>孙建军</v>
      </c>
      <c r="J1105" s="1" t="str">
        <f t="shared" si="555"/>
        <v>天津海化汽车塑料制品有限公司</v>
      </c>
    </row>
    <row r="1106" spans="1:10">
      <c r="A1106" s="1" t="str">
        <f t="shared" si="552"/>
        <v>天津海化汽车塑料制品有限公司</v>
      </c>
      <c r="B1106" s="1" t="str">
        <f>"一种新型汽车防碰撞侧后保险杆"</f>
        <v>一种新型汽车防碰撞侧后保险杆</v>
      </c>
      <c r="C1106" s="1" t="str">
        <f t="shared" si="559"/>
        <v>实用新型</v>
      </c>
      <c r="D1106" s="1" t="str">
        <f t="shared" si="565"/>
        <v>未缴年费专利权终止</v>
      </c>
      <c r="E1106" s="1" t="str">
        <f>"CN201921382702.5"</f>
        <v>CN201921382702.5</v>
      </c>
      <c r="F1106" s="1" t="str">
        <f t="shared" ref="F1106:F1109" si="567">"2019-08-24"</f>
        <v>2019-08-24</v>
      </c>
      <c r="G1106" s="1" t="str">
        <f>"CN210502581U"</f>
        <v>CN210502581U</v>
      </c>
      <c r="H1106" s="1" t="str">
        <f t="shared" si="566"/>
        <v>2020-05-12</v>
      </c>
      <c r="I1106" s="1" t="str">
        <f t="shared" si="561"/>
        <v>孙建军</v>
      </c>
      <c r="J1106" s="1" t="str">
        <f t="shared" si="555"/>
        <v>天津海化汽车塑料制品有限公司</v>
      </c>
    </row>
    <row r="1107" spans="1:10">
      <c r="A1107" s="1" t="str">
        <f t="shared" si="552"/>
        <v>天津海化汽车塑料制品有限公司</v>
      </c>
      <c r="B1107" s="1" t="str">
        <f>"一种新型汽车侧后保险杆用加工设备"</f>
        <v>一种新型汽车侧后保险杆用加工设备</v>
      </c>
      <c r="C1107" s="1" t="str">
        <f t="shared" si="559"/>
        <v>实用新型</v>
      </c>
      <c r="D1107" s="1" t="str">
        <f t="shared" si="565"/>
        <v>未缴年费专利权终止</v>
      </c>
      <c r="E1107" s="1" t="str">
        <f>"CN201921382659.2"</f>
        <v>CN201921382659.2</v>
      </c>
      <c r="F1107" s="1" t="str">
        <f t="shared" si="567"/>
        <v>2019-08-24</v>
      </c>
      <c r="G1107" s="1" t="str">
        <f>"CN210499668U"</f>
        <v>CN210499668U</v>
      </c>
      <c r="H1107" s="1" t="str">
        <f t="shared" si="566"/>
        <v>2020-05-12</v>
      </c>
      <c r="I1107" s="1" t="str">
        <f t="shared" si="561"/>
        <v>孙建军</v>
      </c>
      <c r="J1107" s="1" t="str">
        <f t="shared" si="555"/>
        <v>天津海化汽车塑料制品有限公司</v>
      </c>
    </row>
    <row r="1108" spans="1:10">
      <c r="A1108" s="1" t="str">
        <f t="shared" si="552"/>
        <v>天津海化汽车塑料制品有限公司</v>
      </c>
      <c r="B1108" s="1" t="str">
        <f>"一种新型汽车托盘成型设备"</f>
        <v>一种新型汽车托盘成型设备</v>
      </c>
      <c r="C1108" s="1" t="str">
        <f t="shared" si="559"/>
        <v>实用新型</v>
      </c>
      <c r="D1108" s="1" t="str">
        <f t="shared" si="565"/>
        <v>未缴年费专利权终止</v>
      </c>
      <c r="E1108" s="1" t="str">
        <f>"CN201921414398.8"</f>
        <v>CN201921414398.8</v>
      </c>
      <c r="F1108" s="1" t="str">
        <f>"2019-08-29"</f>
        <v>2019-08-29</v>
      </c>
      <c r="G1108" s="1" t="str">
        <f>"CN210501109U"</f>
        <v>CN210501109U</v>
      </c>
      <c r="H1108" s="1" t="str">
        <f t="shared" si="566"/>
        <v>2020-05-12</v>
      </c>
      <c r="I1108" s="1" t="str">
        <f t="shared" si="561"/>
        <v>孙建军</v>
      </c>
      <c r="J1108" s="1" t="str">
        <f t="shared" si="555"/>
        <v>天津海化汽车塑料制品有限公司</v>
      </c>
    </row>
    <row r="1109" spans="1:10">
      <c r="A1109" s="1" t="str">
        <f t="shared" si="552"/>
        <v>天津海化汽车塑料制品有限公司</v>
      </c>
      <c r="B1109" s="1" t="str">
        <f>"一种新型汽车托盘专用夹具设备"</f>
        <v>一种新型汽车托盘专用夹具设备</v>
      </c>
      <c r="C1109" s="1" t="str">
        <f t="shared" si="559"/>
        <v>实用新型</v>
      </c>
      <c r="D1109" s="1" t="str">
        <f t="shared" si="565"/>
        <v>未缴年费专利权终止</v>
      </c>
      <c r="E1109" s="1" t="str">
        <f>"CN201921382740.0"</f>
        <v>CN201921382740.0</v>
      </c>
      <c r="F1109" s="1" t="str">
        <f t="shared" si="567"/>
        <v>2019-08-24</v>
      </c>
      <c r="G1109" s="1" t="str">
        <f>"CN210498472U"</f>
        <v>CN210498472U</v>
      </c>
      <c r="H1109" s="1" t="str">
        <f t="shared" si="566"/>
        <v>2020-05-12</v>
      </c>
      <c r="I1109" s="1" t="str">
        <f t="shared" si="561"/>
        <v>孙建军</v>
      </c>
      <c r="J1109" s="1" t="str">
        <f t="shared" si="555"/>
        <v>天津海化汽车塑料制品有限公司</v>
      </c>
    </row>
    <row r="1110" spans="1:10">
      <c r="A1110" s="1" t="str">
        <f t="shared" si="552"/>
        <v>天津海化汽车塑料制品有限公司</v>
      </c>
      <c r="B1110" s="1" t="str">
        <f>"一种PPE造粒机"</f>
        <v>一种PPE造粒机</v>
      </c>
      <c r="C1110" s="1" t="str">
        <f t="shared" si="559"/>
        <v>实用新型</v>
      </c>
      <c r="D1110" s="1" t="str">
        <f t="shared" si="565"/>
        <v>未缴年费专利权终止</v>
      </c>
      <c r="E1110" s="1" t="str">
        <f>"CN201520036376.8"</f>
        <v>CN201520036376.8</v>
      </c>
      <c r="F1110" s="1" t="str">
        <f>"2015-05-29"</f>
        <v>2015-05-29</v>
      </c>
      <c r="G1110" s="1" t="str">
        <f>"CN204485794U"</f>
        <v>CN204485794U</v>
      </c>
      <c r="H1110" s="1" t="str">
        <f t="shared" ref="H1110:H1114" si="568">"2015-07-22"</f>
        <v>2015-07-22</v>
      </c>
      <c r="I1110" s="1" t="str">
        <f t="shared" ref="I1110:I1122" si="569">"杜庆来"</f>
        <v>杜庆来</v>
      </c>
      <c r="J1110" s="1" t="str">
        <f t="shared" si="555"/>
        <v>天津海化汽车塑料制品有限公司</v>
      </c>
    </row>
    <row r="1111" spans="1:10">
      <c r="A1111" s="1" t="str">
        <f t="shared" si="552"/>
        <v>天津海化汽车塑料制品有限公司</v>
      </c>
      <c r="B1111" s="1" t="str">
        <f>"一种反应釜"</f>
        <v>一种反应釜</v>
      </c>
      <c r="C1111" s="1" t="str">
        <f t="shared" si="559"/>
        <v>实用新型</v>
      </c>
      <c r="D1111" s="1" t="str">
        <f t="shared" si="565"/>
        <v>未缴年费专利权终止</v>
      </c>
      <c r="E1111" s="1" t="str">
        <f>"CN201520036357.5"</f>
        <v>CN201520036357.5</v>
      </c>
      <c r="F1111" s="1" t="str">
        <f t="shared" ref="F1111:F1122" si="570">"2015-01-20"</f>
        <v>2015-01-20</v>
      </c>
      <c r="G1111" s="1" t="str">
        <f>"CN204485847U"</f>
        <v>CN204485847U</v>
      </c>
      <c r="H1111" s="1" t="str">
        <f t="shared" si="568"/>
        <v>2015-07-22</v>
      </c>
      <c r="I1111" s="1" t="str">
        <f t="shared" si="569"/>
        <v>杜庆来</v>
      </c>
      <c r="J1111" s="1" t="str">
        <f t="shared" si="555"/>
        <v>天津海化汽车塑料制品有限公司</v>
      </c>
    </row>
    <row r="1112" spans="1:10">
      <c r="A1112" s="1" t="str">
        <f t="shared" si="552"/>
        <v>天津海化汽车塑料制品有限公司</v>
      </c>
      <c r="B1112" s="1" t="str">
        <f>"一种粉碎机"</f>
        <v>一种粉碎机</v>
      </c>
      <c r="C1112" s="1" t="str">
        <f t="shared" si="559"/>
        <v>实用新型</v>
      </c>
      <c r="D1112" s="1" t="str">
        <f t="shared" si="565"/>
        <v>未缴年费专利权终止</v>
      </c>
      <c r="E1112" s="1" t="str">
        <f>"CN201520036358.X"</f>
        <v>CN201520036358.X</v>
      </c>
      <c r="F1112" s="1" t="str">
        <f t="shared" si="570"/>
        <v>2015-01-20</v>
      </c>
      <c r="G1112" s="1" t="str">
        <f>"CN204485937U"</f>
        <v>CN204485937U</v>
      </c>
      <c r="H1112" s="1" t="str">
        <f t="shared" si="568"/>
        <v>2015-07-22</v>
      </c>
      <c r="I1112" s="1" t="str">
        <f t="shared" si="569"/>
        <v>杜庆来</v>
      </c>
      <c r="J1112" s="1" t="str">
        <f t="shared" si="555"/>
        <v>天津海化汽车塑料制品有限公司</v>
      </c>
    </row>
    <row r="1113" spans="1:10">
      <c r="A1113" s="1" t="str">
        <f t="shared" si="552"/>
        <v>天津海化汽车塑料制品有限公司</v>
      </c>
      <c r="B1113" s="1" t="str">
        <f>"一种保险杠"</f>
        <v>一种保险杠</v>
      </c>
      <c r="C1113" s="1" t="str">
        <f t="shared" si="559"/>
        <v>实用新型</v>
      </c>
      <c r="D1113" s="1" t="str">
        <f t="shared" si="565"/>
        <v>未缴年费专利权终止</v>
      </c>
      <c r="E1113" s="1" t="str">
        <f>"CN201520036852.6"</f>
        <v>CN201520036852.6</v>
      </c>
      <c r="F1113" s="1" t="str">
        <f t="shared" si="570"/>
        <v>2015-01-20</v>
      </c>
      <c r="G1113" s="1" t="str">
        <f>"CN204488707U"</f>
        <v>CN204488707U</v>
      </c>
      <c r="H1113" s="1" t="str">
        <f t="shared" si="568"/>
        <v>2015-07-22</v>
      </c>
      <c r="I1113" s="1" t="str">
        <f t="shared" si="569"/>
        <v>杜庆来</v>
      </c>
      <c r="J1113" s="1" t="str">
        <f t="shared" si="555"/>
        <v>天津海化汽车塑料制品有限公司</v>
      </c>
    </row>
    <row r="1114" spans="1:10">
      <c r="A1114" s="1" t="str">
        <f t="shared" si="552"/>
        <v>天津海化汽车塑料制品有限公司</v>
      </c>
      <c r="B1114" s="1" t="str">
        <f>"一种新型保险杠"</f>
        <v>一种新型保险杠</v>
      </c>
      <c r="C1114" s="1" t="str">
        <f t="shared" si="559"/>
        <v>实用新型</v>
      </c>
      <c r="D1114" s="1" t="str">
        <f t="shared" si="565"/>
        <v>未缴年费专利权终止</v>
      </c>
      <c r="E1114" s="1" t="str">
        <f>"CN201520036377.2"</f>
        <v>CN201520036377.2</v>
      </c>
      <c r="F1114" s="1" t="str">
        <f t="shared" si="570"/>
        <v>2015-01-20</v>
      </c>
      <c r="G1114" s="1" t="str">
        <f>"CN204488703U"</f>
        <v>CN204488703U</v>
      </c>
      <c r="H1114" s="1" t="str">
        <f t="shared" si="568"/>
        <v>2015-07-22</v>
      </c>
      <c r="I1114" s="1" t="str">
        <f t="shared" si="569"/>
        <v>杜庆来</v>
      </c>
      <c r="J1114" s="1" t="str">
        <f t="shared" si="555"/>
        <v>天津海化汽车塑料制品有限公司</v>
      </c>
    </row>
    <row r="1115" spans="1:10">
      <c r="A1115" s="1" t="str">
        <f t="shared" si="552"/>
        <v>天津海化汽车塑料制品有限公司</v>
      </c>
      <c r="B1115" s="1" t="str">
        <f>"一种二次改性合成塔"</f>
        <v>一种二次改性合成塔</v>
      </c>
      <c r="C1115" s="1" t="str">
        <f t="shared" si="559"/>
        <v>实用新型</v>
      </c>
      <c r="D1115" s="1" t="str">
        <f t="shared" si="565"/>
        <v>未缴年费专利权终止</v>
      </c>
      <c r="E1115" s="1" t="str">
        <f>"CN201520036851.1"</f>
        <v>CN201520036851.1</v>
      </c>
      <c r="F1115" s="1" t="str">
        <f t="shared" si="570"/>
        <v>2015-01-20</v>
      </c>
      <c r="G1115" s="1" t="str">
        <f>"CN204485871U"</f>
        <v>CN204485871U</v>
      </c>
      <c r="H1115" s="1" t="str">
        <f>"2015-07-21"</f>
        <v>2015-07-21</v>
      </c>
      <c r="I1115" s="1" t="str">
        <f t="shared" si="569"/>
        <v>杜庆来</v>
      </c>
      <c r="J1115" s="1" t="str">
        <f t="shared" si="555"/>
        <v>天津海化汽车塑料制品有限公司</v>
      </c>
    </row>
    <row r="1116" spans="1:10">
      <c r="A1116" s="1" t="str">
        <f t="shared" si="552"/>
        <v>天津海化汽车塑料制品有限公司</v>
      </c>
      <c r="B1116" s="1" t="str">
        <f>"一种新型保险杠"</f>
        <v>一种新型保险杠</v>
      </c>
      <c r="C1116" s="1" t="str">
        <f t="shared" ref="C1116:C1122" si="571">"发明公布"</f>
        <v>发明公布</v>
      </c>
      <c r="D1116" s="1" t="str">
        <f t="shared" ref="D1116:D1122" si="572">"公布视为撤回"</f>
        <v>公布视为撤回</v>
      </c>
      <c r="E1116" s="1" t="str">
        <f>"CN201510026784.X"</f>
        <v>CN201510026784.X</v>
      </c>
      <c r="F1116" s="1" t="str">
        <f t="shared" si="570"/>
        <v>2015-01-20</v>
      </c>
      <c r="G1116" s="1" t="str">
        <f>"CN104608724A"</f>
        <v>CN104608724A</v>
      </c>
      <c r="H1116" s="1" t="str">
        <f>"2015-05-13"</f>
        <v>2015-05-13</v>
      </c>
      <c r="I1116" s="1" t="str">
        <f t="shared" si="569"/>
        <v>杜庆来</v>
      </c>
      <c r="J1116" s="1" t="str">
        <f t="shared" si="555"/>
        <v>天津海化汽车塑料制品有限公司</v>
      </c>
    </row>
    <row r="1117" spans="1:10">
      <c r="A1117" s="1" t="str">
        <f t="shared" si="552"/>
        <v>天津海化汽车塑料制品有限公司</v>
      </c>
      <c r="B1117" s="1" t="str">
        <f>"一种粉碎机"</f>
        <v>一种粉碎机</v>
      </c>
      <c r="C1117" s="1" t="str">
        <f t="shared" si="571"/>
        <v>发明公布</v>
      </c>
      <c r="D1117" s="1" t="str">
        <f t="shared" si="572"/>
        <v>公布视为撤回</v>
      </c>
      <c r="E1117" s="1" t="str">
        <f>"CN201510026726.7"</f>
        <v>CN201510026726.7</v>
      </c>
      <c r="F1117" s="1" t="str">
        <f t="shared" si="570"/>
        <v>2015-01-20</v>
      </c>
      <c r="G1117" s="1" t="str">
        <f>"CN104607270A"</f>
        <v>CN104607270A</v>
      </c>
      <c r="H1117" s="1" t="str">
        <f>"2015-05-13"</f>
        <v>2015-05-13</v>
      </c>
      <c r="I1117" s="1" t="str">
        <f t="shared" si="569"/>
        <v>杜庆来</v>
      </c>
      <c r="J1117" s="1" t="str">
        <f t="shared" si="555"/>
        <v>天津海化汽车塑料制品有限公司</v>
      </c>
    </row>
    <row r="1118" spans="1:10">
      <c r="A1118" s="1" t="str">
        <f t="shared" si="552"/>
        <v>天津海化汽车塑料制品有限公司</v>
      </c>
      <c r="B1118" s="1" t="str">
        <f>"一种汽车保险杠专用料及其制造方法"</f>
        <v>一种汽车保险杠专用料及其制造方法</v>
      </c>
      <c r="C1118" s="1" t="str">
        <f t="shared" si="571"/>
        <v>发明公布</v>
      </c>
      <c r="D1118" s="1" t="str">
        <f t="shared" si="572"/>
        <v>公布视为撤回</v>
      </c>
      <c r="E1118" s="1" t="str">
        <f>"CN201510025950.4"</f>
        <v>CN201510025950.4</v>
      </c>
      <c r="F1118" s="1" t="str">
        <f t="shared" si="570"/>
        <v>2015-01-20</v>
      </c>
      <c r="G1118" s="1" t="str">
        <f>"CN104592738A"</f>
        <v>CN104592738A</v>
      </c>
      <c r="H1118" s="1" t="str">
        <f t="shared" ref="H1118:H1120" si="573">"2015-05-06"</f>
        <v>2015-05-06</v>
      </c>
      <c r="I1118" s="1" t="str">
        <f t="shared" si="569"/>
        <v>杜庆来</v>
      </c>
      <c r="J1118" s="1" t="str">
        <f t="shared" si="555"/>
        <v>天津海化汽车塑料制品有限公司</v>
      </c>
    </row>
    <row r="1119" spans="1:10">
      <c r="A1119" s="1" t="str">
        <f t="shared" si="552"/>
        <v>天津海化汽车塑料制品有限公司</v>
      </c>
      <c r="B1119" s="1" t="str">
        <f>"一种反应釜"</f>
        <v>一种反应釜</v>
      </c>
      <c r="C1119" s="1" t="str">
        <f t="shared" si="571"/>
        <v>发明公布</v>
      </c>
      <c r="D1119" s="1" t="str">
        <f t="shared" si="572"/>
        <v>公布视为撤回</v>
      </c>
      <c r="E1119" s="1" t="str">
        <f>"CN201510027969.2"</f>
        <v>CN201510027969.2</v>
      </c>
      <c r="F1119" s="1" t="str">
        <f t="shared" si="570"/>
        <v>2015-01-20</v>
      </c>
      <c r="G1119" s="1" t="str">
        <f>"CN104587940A"</f>
        <v>CN104587940A</v>
      </c>
      <c r="H1119" s="1" t="str">
        <f t="shared" si="573"/>
        <v>2015-05-06</v>
      </c>
      <c r="I1119" s="1" t="str">
        <f t="shared" si="569"/>
        <v>杜庆来</v>
      </c>
      <c r="J1119" s="1" t="str">
        <f t="shared" si="555"/>
        <v>天津海化汽车塑料制品有限公司</v>
      </c>
    </row>
    <row r="1120" spans="1:10">
      <c r="A1120" s="1" t="str">
        <f t="shared" si="552"/>
        <v>天津海化汽车塑料制品有限公司</v>
      </c>
      <c r="B1120" s="1" t="str">
        <f>"一种保险杠"</f>
        <v>一种保险杠</v>
      </c>
      <c r="C1120" s="1" t="str">
        <f t="shared" si="571"/>
        <v>发明公布</v>
      </c>
      <c r="D1120" s="1" t="str">
        <f t="shared" si="572"/>
        <v>公布视为撤回</v>
      </c>
      <c r="E1120" s="1" t="str">
        <f>"CN201510026423.5"</f>
        <v>CN201510026423.5</v>
      </c>
      <c r="F1120" s="1" t="str">
        <f t="shared" si="570"/>
        <v>2015-01-20</v>
      </c>
      <c r="G1120" s="1" t="str">
        <f>"CN104590180A"</f>
        <v>CN104590180A</v>
      </c>
      <c r="H1120" s="1" t="str">
        <f t="shared" si="573"/>
        <v>2015-05-06</v>
      </c>
      <c r="I1120" s="1" t="str">
        <f t="shared" si="569"/>
        <v>杜庆来</v>
      </c>
      <c r="J1120" s="1" t="str">
        <f t="shared" si="555"/>
        <v>天津海化汽车塑料制品有限公司</v>
      </c>
    </row>
    <row r="1121" spans="1:10">
      <c r="A1121" s="1" t="str">
        <f t="shared" si="552"/>
        <v>天津海化汽车塑料制品有限公司</v>
      </c>
      <c r="B1121" s="1" t="str">
        <f>"一种PPE造粒机"</f>
        <v>一种PPE造粒机</v>
      </c>
      <c r="C1121" s="1" t="str">
        <f t="shared" si="571"/>
        <v>发明公布</v>
      </c>
      <c r="D1121" s="1" t="str">
        <f t="shared" si="572"/>
        <v>公布视为撤回</v>
      </c>
      <c r="E1121" s="1" t="str">
        <f>"CN201510025948.7"</f>
        <v>CN201510025948.7</v>
      </c>
      <c r="F1121" s="1" t="str">
        <f t="shared" si="570"/>
        <v>2015-01-20</v>
      </c>
      <c r="G1121" s="1" t="str">
        <f>"CN104549043A"</f>
        <v>CN104549043A</v>
      </c>
      <c r="H1121" s="1" t="str">
        <f>"2015-04-29"</f>
        <v>2015-04-29</v>
      </c>
      <c r="I1121" s="1" t="str">
        <f t="shared" si="569"/>
        <v>杜庆来</v>
      </c>
      <c r="J1121" s="1" t="str">
        <f t="shared" si="555"/>
        <v>天津海化汽车塑料制品有限公司</v>
      </c>
    </row>
    <row r="1122" spans="1:10">
      <c r="A1122" s="1" t="str">
        <f t="shared" si="552"/>
        <v>天津海化汽车塑料制品有限公司</v>
      </c>
      <c r="B1122" s="1" t="str">
        <f>"一种二次改性合成塔"</f>
        <v>一种二次改性合成塔</v>
      </c>
      <c r="C1122" s="1" t="str">
        <f t="shared" si="571"/>
        <v>发明公布</v>
      </c>
      <c r="D1122" s="1" t="str">
        <f t="shared" si="572"/>
        <v>公布视为撤回</v>
      </c>
      <c r="E1122" s="1" t="str">
        <f>"CN201510026275.7"</f>
        <v>CN201510026275.7</v>
      </c>
      <c r="F1122" s="1" t="str">
        <f t="shared" si="570"/>
        <v>2015-01-20</v>
      </c>
      <c r="G1122" s="1" t="str">
        <f>"CN104549107A"</f>
        <v>CN104549107A</v>
      </c>
      <c r="H1122" s="1" t="str">
        <f>"2015-04-29"</f>
        <v>2015-04-29</v>
      </c>
      <c r="I1122" s="1" t="str">
        <f t="shared" si="569"/>
        <v>杜庆来</v>
      </c>
      <c r="J1122" s="1" t="str">
        <f t="shared" si="555"/>
        <v>天津海化汽车塑料制品有限公司</v>
      </c>
    </row>
    <row r="1123" spans="1:10">
      <c r="A1123" s="1" t="str">
        <f>"天津威斯康太阳能汽车空调有限公司"</f>
        <v>天津威斯康太阳能汽车空调有限公司</v>
      </c>
      <c r="B1123" s="1" t="str">
        <f>"太阳能汽车空调"</f>
        <v>太阳能汽车空调</v>
      </c>
      <c r="C1123" s="1" t="str">
        <f t="shared" ref="C1123:C1131" si="574">"实用新型"</f>
        <v>实用新型</v>
      </c>
      <c r="D1123" s="1" t="str">
        <f>"期限届满专利权终止"</f>
        <v>期限届满专利权终止</v>
      </c>
      <c r="E1123" s="1" t="str">
        <f>"CN200720177686.7"</f>
        <v>CN200720177686.7</v>
      </c>
      <c r="F1123" s="1" t="str">
        <f>"2007-09-30"</f>
        <v>2007-09-30</v>
      </c>
      <c r="G1123" s="1" t="str">
        <f>"CN201159510"</f>
        <v>CN201159510</v>
      </c>
      <c r="H1123" s="1" t="str">
        <f>"2008-12-03"</f>
        <v>2008-12-03</v>
      </c>
      <c r="I1123" s="1" t="str">
        <f>"兰蔚"</f>
        <v>兰蔚</v>
      </c>
      <c r="J1123" s="1" t="str">
        <f>"天津威斯康太阳能汽车空调有限公司"</f>
        <v>天津威斯康太阳能汽车空调有限公司</v>
      </c>
    </row>
    <row r="1124" spans="1:10">
      <c r="A1124" s="1" t="str">
        <f t="shared" ref="A1124:A1126" si="575">"盛永机电（天津）有限公司"</f>
        <v>盛永机电（天津）有限公司</v>
      </c>
      <c r="B1124" s="1" t="str">
        <f>"用于热风机的集热及热气喷射装置"</f>
        <v>用于热风机的集热及热气喷射装置</v>
      </c>
      <c r="C1124" s="1" t="str">
        <f t="shared" si="574"/>
        <v>实用新型</v>
      </c>
      <c r="D1124" s="1" t="str">
        <f t="shared" ref="D1124:D1137" si="576">"未缴年费专利权终止"</f>
        <v>未缴年费专利权终止</v>
      </c>
      <c r="E1124" s="1" t="str">
        <f>"CN201120074870.5"</f>
        <v>CN201120074870.5</v>
      </c>
      <c r="F1124" s="1" t="str">
        <f>"2011-03-21"</f>
        <v>2011-03-21</v>
      </c>
      <c r="G1124" s="1" t="str">
        <f>"CN202074705U"</f>
        <v>CN202074705U</v>
      </c>
      <c r="H1124" s="1" t="str">
        <f>"2011-12-14"</f>
        <v>2011-12-14</v>
      </c>
      <c r="I1124" s="1" t="str">
        <f t="shared" ref="I1124:I1126" si="577">"南永基"</f>
        <v>南永基</v>
      </c>
      <c r="J1124" s="1" t="str">
        <f t="shared" ref="J1124:J1126" si="578">"盛永机电(天津)有限公司"</f>
        <v>盛永机电(天津)有限公司</v>
      </c>
    </row>
    <row r="1125" spans="1:10">
      <c r="A1125" s="1" t="str">
        <f t="shared" si="575"/>
        <v>盛永机电（天津）有限公司</v>
      </c>
      <c r="B1125" s="1" t="str">
        <f>"燃油取暖器"</f>
        <v>燃油取暖器</v>
      </c>
      <c r="C1125" s="1" t="str">
        <f>"外观设计"</f>
        <v>外观设计</v>
      </c>
      <c r="D1125" s="1" t="str">
        <f t="shared" si="576"/>
        <v>未缴年费专利权终止</v>
      </c>
      <c r="E1125" s="1" t="str">
        <f>"CN201130065348.6"</f>
        <v>CN201130065348.6</v>
      </c>
      <c r="F1125" s="1" t="str">
        <f>"2011-04-02"</f>
        <v>2011-04-02</v>
      </c>
      <c r="G1125" s="1" t="str">
        <f>"CN301642117S"</f>
        <v>CN301642117S</v>
      </c>
      <c r="H1125" s="1" t="str">
        <f>"2011-08-10"</f>
        <v>2011-08-10</v>
      </c>
      <c r="I1125" s="1" t="str">
        <f t="shared" si="577"/>
        <v>南永基</v>
      </c>
      <c r="J1125" s="1" t="str">
        <f t="shared" si="578"/>
        <v>盛永机电(天津)有限公司</v>
      </c>
    </row>
    <row r="1126" spans="1:10">
      <c r="A1126" s="1" t="str">
        <f t="shared" si="575"/>
        <v>盛永机电（天津）有限公司</v>
      </c>
      <c r="B1126" s="1" t="str">
        <f>"燃油取暖器"</f>
        <v>燃油取暖器</v>
      </c>
      <c r="C1126" s="1" t="str">
        <f>"外观设计"</f>
        <v>外观设计</v>
      </c>
      <c r="D1126" s="1" t="str">
        <f t="shared" si="576"/>
        <v>未缴年费专利权终止</v>
      </c>
      <c r="E1126" s="1" t="str">
        <f>"CN201130049905.5"</f>
        <v>CN201130049905.5</v>
      </c>
      <c r="F1126" s="1" t="str">
        <f>"2011-03-21"</f>
        <v>2011-03-21</v>
      </c>
      <c r="G1126" s="1" t="str">
        <f>"CN301634958S"</f>
        <v>CN301634958S</v>
      </c>
      <c r="H1126" s="1" t="str">
        <f>"2011-08-03"</f>
        <v>2011-08-03</v>
      </c>
      <c r="I1126" s="1" t="str">
        <f t="shared" si="577"/>
        <v>南永基</v>
      </c>
      <c r="J1126" s="1" t="str">
        <f t="shared" si="578"/>
        <v>盛永机电(天津)有限公司</v>
      </c>
    </row>
    <row r="1127" spans="1:10">
      <c r="A1127" s="1" t="str">
        <f>"天津天汽模汽车部件有限公司"</f>
        <v>天津天汽模汽车部件有限公司</v>
      </c>
      <c r="B1127" s="1" t="str">
        <f>"冲压模具的托送料机构"</f>
        <v>冲压模具的托送料机构</v>
      </c>
      <c r="C1127" s="1" t="str">
        <f t="shared" si="574"/>
        <v>实用新型</v>
      </c>
      <c r="D1127" s="1" t="str">
        <f t="shared" si="576"/>
        <v>未缴年费专利权终止</v>
      </c>
      <c r="E1127" s="1" t="str">
        <f>"CN201120496936.X"</f>
        <v>CN201120496936.X</v>
      </c>
      <c r="F1127" s="1" t="str">
        <f>"2011-12-01"</f>
        <v>2011-12-01</v>
      </c>
      <c r="G1127" s="1" t="str">
        <f>"CN202316737U"</f>
        <v>CN202316737U</v>
      </c>
      <c r="H1127" s="1" t="str">
        <f>"2012-07-11"</f>
        <v>2012-07-11</v>
      </c>
      <c r="I1127" s="1" t="s">
        <v>4966</v>
      </c>
      <c r="J1127" s="1" t="str">
        <f>"天津天汽模汽车部件有限公司"</f>
        <v>天津天汽模汽车部件有限公司</v>
      </c>
    </row>
    <row r="1128" spans="1:10">
      <c r="A1128" s="1" t="str">
        <f t="shared" ref="A1128:A1176" si="579">"天津市万华车料有限公司"</f>
        <v>天津市万华车料有限公司</v>
      </c>
      <c r="B1128" s="1" t="str">
        <f>"钢丝焊接车筐筐底的金属网片"</f>
        <v>钢丝焊接车筐筐底的金属网片</v>
      </c>
      <c r="C1128" s="1" t="str">
        <f t="shared" si="574"/>
        <v>实用新型</v>
      </c>
      <c r="D1128" s="1" t="str">
        <f t="shared" si="576"/>
        <v>未缴年费专利权终止</v>
      </c>
      <c r="E1128" s="1" t="str">
        <f>"CN201920995506.9"</f>
        <v>CN201920995506.9</v>
      </c>
      <c r="F1128" s="1" t="str">
        <f>"2019-06-28"</f>
        <v>2019-06-28</v>
      </c>
      <c r="G1128" s="1" t="str">
        <f>"CN210822559U"</f>
        <v>CN210822559U</v>
      </c>
      <c r="H1128" s="1" t="str">
        <f>"2020-06-23"</f>
        <v>2020-06-23</v>
      </c>
      <c r="I1128" s="1" t="s">
        <v>4967</v>
      </c>
      <c r="J1128" s="1" t="str">
        <f t="shared" ref="J1128:J1176" si="580">"天津市万华车料有限公司"</f>
        <v>天津市万华车料有限公司</v>
      </c>
    </row>
    <row r="1129" spans="1:10">
      <c r="A1129" s="1" t="str">
        <f t="shared" si="579"/>
        <v>天津市万华车料有限公司</v>
      </c>
      <c r="B1129" s="1" t="str">
        <f>"一种以摩电辊为电源的发光车筐"</f>
        <v>一种以摩电辊为电源的发光车筐</v>
      </c>
      <c r="C1129" s="1" t="str">
        <f t="shared" si="574"/>
        <v>实用新型</v>
      </c>
      <c r="D1129" s="1" t="str">
        <f t="shared" si="576"/>
        <v>未缴年费专利权终止</v>
      </c>
      <c r="E1129" s="1" t="str">
        <f>"CN201821032274.9"</f>
        <v>CN201821032274.9</v>
      </c>
      <c r="F1129" s="1" t="str">
        <f>"2018-07-02"</f>
        <v>2018-07-02</v>
      </c>
      <c r="G1129" s="1" t="str">
        <f>"CN208979013U"</f>
        <v>CN208979013U</v>
      </c>
      <c r="H1129" s="1" t="str">
        <f>"2019-06-14"</f>
        <v>2019-06-14</v>
      </c>
      <c r="I1129" s="1" t="s">
        <v>4967</v>
      </c>
      <c r="J1129" s="1" t="str">
        <f t="shared" si="580"/>
        <v>天津市万华车料有限公司</v>
      </c>
    </row>
    <row r="1130" spans="1:10">
      <c r="A1130" s="1" t="str">
        <f t="shared" si="579"/>
        <v>天津市万华车料有限公司</v>
      </c>
      <c r="B1130" s="1" t="str">
        <f>"安装于车筐的水杯架"</f>
        <v>安装于车筐的水杯架</v>
      </c>
      <c r="C1130" s="1" t="str">
        <f t="shared" si="574"/>
        <v>实用新型</v>
      </c>
      <c r="D1130" s="1" t="str">
        <f t="shared" si="576"/>
        <v>未缴年费专利权终止</v>
      </c>
      <c r="E1130" s="1" t="str">
        <f>"CN201821013873.6"</f>
        <v>CN201821013873.6</v>
      </c>
      <c r="F1130" s="1" t="str">
        <f>"2018-06-29"</f>
        <v>2018-06-29</v>
      </c>
      <c r="G1130" s="1" t="str">
        <f>"CN208470018U"</f>
        <v>CN208470018U</v>
      </c>
      <c r="H1130" s="1" t="str">
        <f>"2019-02-05"</f>
        <v>2019-02-05</v>
      </c>
      <c r="I1130" s="1" t="s">
        <v>4967</v>
      </c>
      <c r="J1130" s="1" t="str">
        <f t="shared" si="580"/>
        <v>天津市万华车料有限公司</v>
      </c>
    </row>
    <row r="1131" spans="1:10">
      <c r="A1131" s="1" t="str">
        <f t="shared" si="579"/>
        <v>天津市万华车料有限公司</v>
      </c>
      <c r="B1131" s="1" t="str">
        <f>"自行车车筐快速拆装装置"</f>
        <v>自行车车筐快速拆装装置</v>
      </c>
      <c r="C1131" s="1" t="str">
        <f t="shared" si="574"/>
        <v>实用新型</v>
      </c>
      <c r="D1131" s="1" t="str">
        <f t="shared" si="576"/>
        <v>未缴年费专利权终止</v>
      </c>
      <c r="E1131" s="1" t="str">
        <f>"CN201821032220.2"</f>
        <v>CN201821032220.2</v>
      </c>
      <c r="F1131" s="1" t="str">
        <f>"2018-07-02"</f>
        <v>2018-07-02</v>
      </c>
      <c r="G1131" s="1" t="str">
        <f>"CN208470017U"</f>
        <v>CN208470017U</v>
      </c>
      <c r="H1131" s="1" t="str">
        <f>"2019-02-05"</f>
        <v>2019-02-05</v>
      </c>
      <c r="I1131" s="1" t="s">
        <v>4967</v>
      </c>
      <c r="J1131" s="1" t="str">
        <f t="shared" si="580"/>
        <v>天津市万华车料有限公司</v>
      </c>
    </row>
    <row r="1132" spans="1:10">
      <c r="A1132" s="1" t="str">
        <f t="shared" si="579"/>
        <v>天津市万华车料有限公司</v>
      </c>
      <c r="B1132" s="1" t="str">
        <f>"后车筐"</f>
        <v>后车筐</v>
      </c>
      <c r="C1132" s="1" t="str">
        <f>"外观设计"</f>
        <v>外观设计</v>
      </c>
      <c r="D1132" s="1" t="str">
        <f t="shared" si="576"/>
        <v>未缴年费专利权终止</v>
      </c>
      <c r="E1132" s="1" t="str">
        <f>"CN201730313830.4"</f>
        <v>CN201730313830.4</v>
      </c>
      <c r="F1132" s="1" t="str">
        <f>"2017-07-17"</f>
        <v>2017-07-17</v>
      </c>
      <c r="G1132" s="1" t="str">
        <f>"CN304694324S"</f>
        <v>CN304694324S</v>
      </c>
      <c r="H1132" s="1" t="str">
        <f>"2018-06-22"</f>
        <v>2018-06-22</v>
      </c>
      <c r="I1132" s="1" t="s">
        <v>4967</v>
      </c>
      <c r="J1132" s="1" t="str">
        <f t="shared" si="580"/>
        <v>天津市万华车料有限公司</v>
      </c>
    </row>
    <row r="1133" spans="1:10">
      <c r="A1133" s="1" t="str">
        <f t="shared" si="579"/>
        <v>天津市万华车料有限公司</v>
      </c>
      <c r="B1133" s="1" t="str">
        <f>"钢丝焊接后车筐"</f>
        <v>钢丝焊接后车筐</v>
      </c>
      <c r="C1133" s="1" t="str">
        <f t="shared" ref="C1133:C1137" si="581">"实用新型"</f>
        <v>实用新型</v>
      </c>
      <c r="D1133" s="1" t="str">
        <f t="shared" si="576"/>
        <v>未缴年费专利权终止</v>
      </c>
      <c r="E1133" s="1" t="str">
        <f>"CN201720861896.1"</f>
        <v>CN201720861896.1</v>
      </c>
      <c r="F1133" s="1" t="str">
        <f>"2017-07-17"</f>
        <v>2017-07-17</v>
      </c>
      <c r="G1133" s="1" t="str">
        <f>"CN207403844U"</f>
        <v>CN207403844U</v>
      </c>
      <c r="H1133" s="1" t="str">
        <f>"2018-05-25"</f>
        <v>2018-05-25</v>
      </c>
      <c r="I1133" s="1" t="s">
        <v>4967</v>
      </c>
      <c r="J1133" s="1" t="str">
        <f t="shared" si="580"/>
        <v>天津市万华车料有限公司</v>
      </c>
    </row>
    <row r="1134" spans="1:10">
      <c r="A1134" s="1" t="str">
        <f t="shared" si="579"/>
        <v>天津市万华车料有限公司</v>
      </c>
      <c r="B1134" s="1" t="str">
        <f>"车筐（五）"</f>
        <v>车筐（五）</v>
      </c>
      <c r="C1134" s="1" t="str">
        <f>"外观设计"</f>
        <v>外观设计</v>
      </c>
      <c r="D1134" s="1" t="str">
        <f t="shared" si="576"/>
        <v>未缴年费专利权终止</v>
      </c>
      <c r="E1134" s="1" t="str">
        <f>"CN201730384551.7"</f>
        <v>CN201730384551.7</v>
      </c>
      <c r="F1134" s="1" t="str">
        <f>"2017-08-21"</f>
        <v>2017-08-21</v>
      </c>
      <c r="G1134" s="1" t="str">
        <f>"CN304504394S"</f>
        <v>CN304504394S</v>
      </c>
      <c r="H1134" s="1" t="str">
        <f>"2018-02-13"</f>
        <v>2018-02-13</v>
      </c>
      <c r="I1134" s="1" t="s">
        <v>4967</v>
      </c>
      <c r="J1134" s="1" t="str">
        <f t="shared" si="580"/>
        <v>天津市万华车料有限公司</v>
      </c>
    </row>
    <row r="1135" spans="1:10">
      <c r="A1135" s="1" t="str">
        <f t="shared" si="579"/>
        <v>天津市万华车料有限公司</v>
      </c>
      <c r="B1135" s="1" t="str">
        <f>"自行车车筐LED灯带的电源装置"</f>
        <v>自行车车筐LED灯带的电源装置</v>
      </c>
      <c r="C1135" s="1" t="str">
        <f t="shared" si="581"/>
        <v>实用新型</v>
      </c>
      <c r="D1135" s="1" t="str">
        <f t="shared" si="576"/>
        <v>未缴年费专利权终止</v>
      </c>
      <c r="E1135" s="1" t="str">
        <f>"CN201720193817.4"</f>
        <v>CN201720193817.4</v>
      </c>
      <c r="F1135" s="1" t="str">
        <f>"2017-03-02"</f>
        <v>2017-03-02</v>
      </c>
      <c r="G1135" s="1" t="str">
        <f>"CN206547017U"</f>
        <v>CN206547017U</v>
      </c>
      <c r="H1135" s="1" t="str">
        <f>"2017-10-10"</f>
        <v>2017-10-10</v>
      </c>
      <c r="I1135" s="1" t="s">
        <v>4967</v>
      </c>
      <c r="J1135" s="1" t="str">
        <f t="shared" si="580"/>
        <v>天津市万华车料有限公司</v>
      </c>
    </row>
    <row r="1136" spans="1:10">
      <c r="A1136" s="1" t="str">
        <f t="shared" si="579"/>
        <v>天津市万华车料有限公司</v>
      </c>
      <c r="B1136" s="1" t="str">
        <f>"辐条钢丝切断装置"</f>
        <v>辐条钢丝切断装置</v>
      </c>
      <c r="C1136" s="1" t="str">
        <f t="shared" si="581"/>
        <v>实用新型</v>
      </c>
      <c r="D1136" s="1" t="str">
        <f t="shared" si="576"/>
        <v>未缴年费专利权终止</v>
      </c>
      <c r="E1136" s="1" t="str">
        <f>"CN201621369486.7"</f>
        <v>CN201621369486.7</v>
      </c>
      <c r="F1136" s="1" t="str">
        <f>"2016-12-14"</f>
        <v>2016-12-14</v>
      </c>
      <c r="G1136" s="1" t="str">
        <f>"CN206305359U"</f>
        <v>CN206305359U</v>
      </c>
      <c r="H1136" s="1" t="str">
        <f>"2017-07-07"</f>
        <v>2017-07-07</v>
      </c>
      <c r="I1136" s="1" t="str">
        <f>"樊玉新"</f>
        <v>樊玉新</v>
      </c>
      <c r="J1136" s="1" t="str">
        <f t="shared" si="580"/>
        <v>天津市万华车料有限公司</v>
      </c>
    </row>
    <row r="1137" spans="1:10">
      <c r="A1137" s="1" t="str">
        <f t="shared" si="579"/>
        <v>天津市万华车料有限公司</v>
      </c>
      <c r="B1137" s="1" t="str">
        <f>"具有组合筐底的钢丝焊接车筐"</f>
        <v>具有组合筐底的钢丝焊接车筐</v>
      </c>
      <c r="C1137" s="1" t="str">
        <f t="shared" si="581"/>
        <v>实用新型</v>
      </c>
      <c r="D1137" s="1" t="str">
        <f t="shared" si="576"/>
        <v>未缴年费专利权终止</v>
      </c>
      <c r="E1137" s="1" t="str">
        <f>"CN201620799634.2"</f>
        <v>CN201620799634.2</v>
      </c>
      <c r="F1137" s="1" t="str">
        <f>"2016-07-23"</f>
        <v>2016-07-23</v>
      </c>
      <c r="G1137" s="1" t="str">
        <f>"CN205931029U"</f>
        <v>CN205931029U</v>
      </c>
      <c r="H1137" s="1" t="str">
        <f>"2017-02-08"</f>
        <v>2017-02-08</v>
      </c>
      <c r="I1137" s="1" t="s">
        <v>4967</v>
      </c>
      <c r="J1137" s="1" t="str">
        <f t="shared" si="580"/>
        <v>天津市万华车料有限公司</v>
      </c>
    </row>
    <row r="1138" spans="1:10">
      <c r="A1138" s="1" t="str">
        <f t="shared" si="579"/>
        <v>天津市万华车料有限公司</v>
      </c>
      <c r="B1138" s="1" t="str">
        <f>"自行车辐条形状和尺寸综合检测量具"</f>
        <v>自行车辐条形状和尺寸综合检测量具</v>
      </c>
      <c r="C1138" s="1" t="str">
        <f t="shared" ref="C1138:C1141" si="582">"发明公布"</f>
        <v>发明公布</v>
      </c>
      <c r="D1138" s="1" t="str">
        <f t="shared" ref="D1138:D1141" si="583">"公布驳回"</f>
        <v>公布驳回</v>
      </c>
      <c r="E1138" s="1" t="str">
        <f>"CN201610691980.3"</f>
        <v>CN201610691980.3</v>
      </c>
      <c r="F1138" s="1" t="str">
        <f>"2016-08-18"</f>
        <v>2016-08-18</v>
      </c>
      <c r="G1138" s="1" t="str">
        <f>"CN106370071A"</f>
        <v>CN106370071A</v>
      </c>
      <c r="H1138" s="1" t="str">
        <f>"2017-02-01"</f>
        <v>2017-02-01</v>
      </c>
      <c r="I1138" s="1" t="s">
        <v>4967</v>
      </c>
      <c r="J1138" s="1" t="str">
        <f t="shared" si="580"/>
        <v>天津市万华车料有限公司</v>
      </c>
    </row>
    <row r="1139" spans="1:10">
      <c r="A1139" s="1" t="str">
        <f t="shared" si="579"/>
        <v>天津市万华车料有限公司</v>
      </c>
      <c r="B1139" s="1" t="str">
        <f>"自行车车筐发光快速拆装座"</f>
        <v>自行车车筐发光快速拆装座</v>
      </c>
      <c r="C1139" s="1" t="str">
        <f t="shared" si="582"/>
        <v>发明公布</v>
      </c>
      <c r="D1139" s="1" t="str">
        <f t="shared" si="583"/>
        <v>公布驳回</v>
      </c>
      <c r="E1139" s="1" t="str">
        <f>"CN201610735485.8"</f>
        <v>CN201610735485.8</v>
      </c>
      <c r="F1139" s="1" t="str">
        <f>"2016-08-26"</f>
        <v>2016-08-26</v>
      </c>
      <c r="G1139" s="1" t="str">
        <f>"CN106275155A"</f>
        <v>CN106275155A</v>
      </c>
      <c r="H1139" s="1" t="str">
        <f>"2017-01-04"</f>
        <v>2017-01-04</v>
      </c>
      <c r="I1139" s="1" t="s">
        <v>4967</v>
      </c>
      <c r="J1139" s="1" t="str">
        <f t="shared" si="580"/>
        <v>天津市万华车料有限公司</v>
      </c>
    </row>
    <row r="1140" spans="1:10">
      <c r="A1140" s="1" t="str">
        <f t="shared" si="579"/>
        <v>天津市万华车料有限公司</v>
      </c>
      <c r="B1140" s="1" t="str">
        <f>"车筐（四）"</f>
        <v>车筐（四）</v>
      </c>
      <c r="C1140" s="1" t="str">
        <f t="shared" ref="C1140:C1146" si="584">"外观设计"</f>
        <v>外观设计</v>
      </c>
      <c r="D1140" s="1" t="str">
        <f t="shared" ref="D1140:D1146" si="585">"未缴年费专利权终止"</f>
        <v>未缴年费专利权终止</v>
      </c>
      <c r="E1140" s="1" t="str">
        <f>"CN201630340155.X"</f>
        <v>CN201630340155.X</v>
      </c>
      <c r="F1140" s="1" t="str">
        <f>"2016-07-23"</f>
        <v>2016-07-23</v>
      </c>
      <c r="G1140" s="1" t="str">
        <f>"CN303929845S"</f>
        <v>CN303929845S</v>
      </c>
      <c r="H1140" s="1" t="str">
        <f>"2016-11-23"</f>
        <v>2016-11-23</v>
      </c>
      <c r="I1140" s="1" t="s">
        <v>4967</v>
      </c>
      <c r="J1140" s="1" t="str">
        <f t="shared" si="580"/>
        <v>天津市万华车料有限公司</v>
      </c>
    </row>
    <row r="1141" spans="1:10">
      <c r="A1141" s="1" t="str">
        <f t="shared" si="579"/>
        <v>天津市万华车料有限公司</v>
      </c>
      <c r="B1141" s="1" t="str">
        <f>"自行车车筐快速拆装座"</f>
        <v>自行车车筐快速拆装座</v>
      </c>
      <c r="C1141" s="1" t="str">
        <f t="shared" si="582"/>
        <v>发明公布</v>
      </c>
      <c r="D1141" s="1" t="str">
        <f t="shared" si="583"/>
        <v>公布驳回</v>
      </c>
      <c r="E1141" s="1" t="str">
        <f>"CN201610735621.3"</f>
        <v>CN201610735621.3</v>
      </c>
      <c r="F1141" s="1" t="str">
        <f>"2016-08-26"</f>
        <v>2016-08-26</v>
      </c>
      <c r="G1141" s="1" t="str">
        <f>"CN106143709A"</f>
        <v>CN106143709A</v>
      </c>
      <c r="H1141" s="1" t="str">
        <f>"2016-11-23"</f>
        <v>2016-11-23</v>
      </c>
      <c r="I1141" s="1" t="s">
        <v>4967</v>
      </c>
      <c r="J1141" s="1" t="str">
        <f t="shared" si="580"/>
        <v>天津市万华车料有限公司</v>
      </c>
    </row>
    <row r="1142" spans="1:10">
      <c r="A1142" s="1" t="str">
        <f t="shared" si="579"/>
        <v>天津市万华车料有限公司</v>
      </c>
      <c r="B1142" s="1" t="str">
        <f>"钢丝焊接车筐"</f>
        <v>钢丝焊接车筐</v>
      </c>
      <c r="C1142" s="1" t="str">
        <f>"实用新型"</f>
        <v>实用新型</v>
      </c>
      <c r="D1142" s="1" t="str">
        <f t="shared" si="585"/>
        <v>未缴年费专利权终止</v>
      </c>
      <c r="E1142" s="1" t="str">
        <f>"CN201620390606.5"</f>
        <v>CN201620390606.5</v>
      </c>
      <c r="F1142" s="1" t="str">
        <f t="shared" ref="F1142:F1147" si="586">"2016-05-03"</f>
        <v>2016-05-03</v>
      </c>
      <c r="G1142" s="1" t="str">
        <f>"CN205661578U"</f>
        <v>CN205661578U</v>
      </c>
      <c r="H1142" s="1" t="str">
        <f>"2016-10-26"</f>
        <v>2016-10-26</v>
      </c>
      <c r="I1142" s="1" t="s">
        <v>4967</v>
      </c>
      <c r="J1142" s="1" t="str">
        <f t="shared" si="580"/>
        <v>天津市万华车料有限公司</v>
      </c>
    </row>
    <row r="1143" spans="1:10">
      <c r="A1143" s="1" t="str">
        <f t="shared" si="579"/>
        <v>天津市万华车料有限公司</v>
      </c>
      <c r="B1143" s="1" t="str">
        <f>"具有组合筐底的钢丝焊接车筐"</f>
        <v>具有组合筐底的钢丝焊接车筐</v>
      </c>
      <c r="C1143" s="1" t="str">
        <f>"发明公布"</f>
        <v>发明公布</v>
      </c>
      <c r="D1143" s="1" t="str">
        <f>"公布驳回"</f>
        <v>公布驳回</v>
      </c>
      <c r="E1143" s="1" t="str">
        <f>"CN201610600098.3"</f>
        <v>CN201610600098.3</v>
      </c>
      <c r="F1143" s="1" t="str">
        <f>"2016-07-23"</f>
        <v>2016-07-23</v>
      </c>
      <c r="G1143" s="1" t="str">
        <f>"CN106005135A"</f>
        <v>CN106005135A</v>
      </c>
      <c r="H1143" s="1" t="str">
        <f>"2016-10-12"</f>
        <v>2016-10-12</v>
      </c>
      <c r="I1143" s="1" t="s">
        <v>4967</v>
      </c>
      <c r="J1143" s="1" t="str">
        <f t="shared" si="580"/>
        <v>天津市万华车料有限公司</v>
      </c>
    </row>
    <row r="1144" spans="1:10">
      <c r="A1144" s="1" t="str">
        <f t="shared" si="579"/>
        <v>天津市万华车料有限公司</v>
      </c>
      <c r="B1144" s="1" t="str">
        <f>"车筐（二）"</f>
        <v>车筐（二）</v>
      </c>
      <c r="C1144" s="1" t="str">
        <f t="shared" si="584"/>
        <v>外观设计</v>
      </c>
      <c r="D1144" s="1" t="str">
        <f t="shared" si="585"/>
        <v>未缴年费专利权终止</v>
      </c>
      <c r="E1144" s="1" t="str">
        <f>"CN201630156764.X"</f>
        <v>CN201630156764.X</v>
      </c>
      <c r="F1144" s="1" t="str">
        <f t="shared" si="586"/>
        <v>2016-05-03</v>
      </c>
      <c r="G1144" s="1" t="str">
        <f>"CN303886852S"</f>
        <v>CN303886852S</v>
      </c>
      <c r="H1144" s="1" t="str">
        <f>"2016-10-12"</f>
        <v>2016-10-12</v>
      </c>
      <c r="I1144" s="1" t="s">
        <v>4967</v>
      </c>
      <c r="J1144" s="1" t="str">
        <f t="shared" si="580"/>
        <v>天津市万华车料有限公司</v>
      </c>
    </row>
    <row r="1145" spans="1:10">
      <c r="A1145" s="1" t="str">
        <f t="shared" si="579"/>
        <v>天津市万华车料有限公司</v>
      </c>
      <c r="B1145" s="1" t="str">
        <f>"车筐（一）"</f>
        <v>车筐（一）</v>
      </c>
      <c r="C1145" s="1" t="str">
        <f t="shared" si="584"/>
        <v>外观设计</v>
      </c>
      <c r="D1145" s="1" t="str">
        <f t="shared" si="585"/>
        <v>未缴年费专利权终止</v>
      </c>
      <c r="E1145" s="1" t="str">
        <f>"CN201630156765.4"</f>
        <v>CN201630156765.4</v>
      </c>
      <c r="F1145" s="1" t="str">
        <f>"2016-05-02"</f>
        <v>2016-05-02</v>
      </c>
      <c r="G1145" s="1" t="str">
        <f>"CN303870092S"</f>
        <v>CN303870092S</v>
      </c>
      <c r="H1145" s="1" t="str">
        <f>"2016-09-28"</f>
        <v>2016-09-28</v>
      </c>
      <c r="I1145" s="1" t="s">
        <v>4967</v>
      </c>
      <c r="J1145" s="1" t="str">
        <f t="shared" si="580"/>
        <v>天津市万华车料有限公司</v>
      </c>
    </row>
    <row r="1146" spans="1:10">
      <c r="A1146" s="1" t="str">
        <f t="shared" si="579"/>
        <v>天津市万华车料有限公司</v>
      </c>
      <c r="B1146" s="1" t="str">
        <f>"车筐（三）"</f>
        <v>车筐（三）</v>
      </c>
      <c r="C1146" s="1" t="str">
        <f t="shared" si="584"/>
        <v>外观设计</v>
      </c>
      <c r="D1146" s="1" t="str">
        <f t="shared" si="585"/>
        <v>未缴年费专利权终止</v>
      </c>
      <c r="E1146" s="1" t="str">
        <f>"CN201630156763.5"</f>
        <v>CN201630156763.5</v>
      </c>
      <c r="F1146" s="1" t="str">
        <f t="shared" si="586"/>
        <v>2016-05-03</v>
      </c>
      <c r="G1146" s="1" t="str">
        <f>"CN303870091S"</f>
        <v>CN303870091S</v>
      </c>
      <c r="H1146" s="1" t="str">
        <f>"2016-09-28"</f>
        <v>2016-09-28</v>
      </c>
      <c r="I1146" s="1" t="s">
        <v>4967</v>
      </c>
      <c r="J1146" s="1" t="str">
        <f t="shared" si="580"/>
        <v>天津市万华车料有限公司</v>
      </c>
    </row>
    <row r="1147" spans="1:10">
      <c r="A1147" s="1" t="str">
        <f t="shared" si="579"/>
        <v>天津市万华车料有限公司</v>
      </c>
      <c r="B1147" s="1" t="str">
        <f>"钢丝焊接车筐"</f>
        <v>钢丝焊接车筐</v>
      </c>
      <c r="C1147" s="1" t="str">
        <f>"发明公布"</f>
        <v>发明公布</v>
      </c>
      <c r="D1147" s="1" t="str">
        <f>"公布视为撤回"</f>
        <v>公布视为撤回</v>
      </c>
      <c r="E1147" s="1" t="str">
        <f>"CN201610286622.4"</f>
        <v>CN201610286622.4</v>
      </c>
      <c r="F1147" s="1" t="str">
        <f t="shared" si="586"/>
        <v>2016-05-03</v>
      </c>
      <c r="G1147" s="1" t="str">
        <f>"CN105857458A"</f>
        <v>CN105857458A</v>
      </c>
      <c r="H1147" s="1" t="str">
        <f>"2016-08-17"</f>
        <v>2016-08-17</v>
      </c>
      <c r="I1147" s="1" t="s">
        <v>4967</v>
      </c>
      <c r="J1147" s="1" t="str">
        <f t="shared" si="580"/>
        <v>天津市万华车料有限公司</v>
      </c>
    </row>
    <row r="1148" spans="1:10">
      <c r="A1148" s="1" t="str">
        <f t="shared" si="579"/>
        <v>天津市万华车料有限公司</v>
      </c>
      <c r="B1148" s="1" t="str">
        <f>"辐条机"</f>
        <v>辐条机</v>
      </c>
      <c r="C1148" s="1" t="str">
        <f>"发明授权"</f>
        <v>发明授权</v>
      </c>
      <c r="D1148" s="1" t="str">
        <f t="shared" ref="D1148:D1164" si="587">"未缴年费专利权终止"</f>
        <v>未缴年费专利权终止</v>
      </c>
      <c r="E1148" s="1" t="str">
        <f>"CN201310173730.7"</f>
        <v>CN201310173730.7</v>
      </c>
      <c r="F1148" s="1" t="str">
        <f>"2013-05-13"</f>
        <v>2013-05-13</v>
      </c>
      <c r="G1148" s="1" t="str">
        <f>"CN103240605B"</f>
        <v>CN103240605B</v>
      </c>
      <c r="H1148" s="1" t="str">
        <f>"2015-12-30"</f>
        <v>2015-12-30</v>
      </c>
      <c r="I1148" s="1" t="s">
        <v>4968</v>
      </c>
      <c r="J1148" s="1" t="str">
        <f t="shared" si="580"/>
        <v>天津市万华车料有限公司</v>
      </c>
    </row>
    <row r="1149" spans="1:10">
      <c r="A1149" s="1" t="str">
        <f t="shared" si="579"/>
        <v>天津市万华车料有限公司</v>
      </c>
      <c r="B1149" s="1" t="str">
        <f>"高强度车轮辐条"</f>
        <v>高强度车轮辐条</v>
      </c>
      <c r="C1149" s="1" t="str">
        <f t="shared" ref="C1149:C1168" si="588">"实用新型"</f>
        <v>实用新型</v>
      </c>
      <c r="D1149" s="1" t="str">
        <f>"全部无效"</f>
        <v>全部无效</v>
      </c>
      <c r="E1149" s="1" t="str">
        <f>"CN201520342291.2"</f>
        <v>CN201520342291.2</v>
      </c>
      <c r="F1149" s="1" t="str">
        <f>"2015-05-25"</f>
        <v>2015-05-25</v>
      </c>
      <c r="G1149" s="1" t="str">
        <f>"CN204712778U"</f>
        <v>CN204712778U</v>
      </c>
      <c r="H1149" s="1" t="str">
        <f>"2015-10-21"</f>
        <v>2015-10-21</v>
      </c>
      <c r="I1149" s="1" t="str">
        <f t="shared" ref="I1149:I1159" si="589">"樊飞"</f>
        <v>樊飞</v>
      </c>
      <c r="J1149" s="1" t="str">
        <f t="shared" si="580"/>
        <v>天津市万华车料有限公司</v>
      </c>
    </row>
    <row r="1150" spans="1:10">
      <c r="A1150" s="1" t="str">
        <f t="shared" si="579"/>
        <v>天津市万华车料有限公司</v>
      </c>
      <c r="B1150" s="1" t="str">
        <f>"辐条机条帽球面成型模调整结构"</f>
        <v>辐条机条帽球面成型模调整结构</v>
      </c>
      <c r="C1150" s="1" t="str">
        <f>"发明授权"</f>
        <v>发明授权</v>
      </c>
      <c r="D1150" s="1" t="str">
        <f t="shared" si="587"/>
        <v>未缴年费专利权终止</v>
      </c>
      <c r="E1150" s="1" t="str">
        <f>"CN201310173201.7"</f>
        <v>CN201310173201.7</v>
      </c>
      <c r="F1150" s="1" t="str">
        <f>"2013-05-13"</f>
        <v>2013-05-13</v>
      </c>
      <c r="G1150" s="1" t="str">
        <f>"CN103240379B"</f>
        <v>CN103240379B</v>
      </c>
      <c r="H1150" s="1" t="str">
        <f>"2015-10-21"</f>
        <v>2015-10-21</v>
      </c>
      <c r="I1150" s="1" t="s">
        <v>4968</v>
      </c>
      <c r="J1150" s="1" t="str">
        <f t="shared" si="580"/>
        <v>天津市万华车料有限公司</v>
      </c>
    </row>
    <row r="1151" spans="1:10">
      <c r="A1151" s="1" t="str">
        <f t="shared" si="579"/>
        <v>天津市万华车料有限公司</v>
      </c>
      <c r="B1151" s="1" t="str">
        <f>"高强度车轮辐条"</f>
        <v>高强度车轮辐条</v>
      </c>
      <c r="C1151" s="1" t="str">
        <f>"发明公布"</f>
        <v>发明公布</v>
      </c>
      <c r="D1151" s="1" t="str">
        <f>"公布视为撤回"</f>
        <v>公布视为撤回</v>
      </c>
      <c r="E1151" s="1" t="str">
        <f>"CN201510270626.9"</f>
        <v>CN201510270626.9</v>
      </c>
      <c r="F1151" s="1" t="str">
        <f>"2015-05-25"</f>
        <v>2015-05-25</v>
      </c>
      <c r="G1151" s="1" t="str">
        <f>"CN104943465A"</f>
        <v>CN104943465A</v>
      </c>
      <c r="H1151" s="1" t="str">
        <f>"2015-09-30"</f>
        <v>2015-09-30</v>
      </c>
      <c r="I1151" s="1" t="str">
        <f t="shared" si="589"/>
        <v>樊飞</v>
      </c>
      <c r="J1151" s="1" t="str">
        <f t="shared" si="580"/>
        <v>天津市万华车料有限公司</v>
      </c>
    </row>
    <row r="1152" spans="1:10">
      <c r="A1152" s="1" t="str">
        <f t="shared" si="579"/>
        <v>天津市万华车料有限公司</v>
      </c>
      <c r="B1152" s="1" t="str">
        <f>"金属丝焊接车筐安装用背板"</f>
        <v>金属丝焊接车筐安装用背板</v>
      </c>
      <c r="C1152" s="1" t="str">
        <f t="shared" si="588"/>
        <v>实用新型</v>
      </c>
      <c r="D1152" s="1" t="str">
        <f t="shared" si="587"/>
        <v>未缴年费专利权终止</v>
      </c>
      <c r="E1152" s="1" t="str">
        <f>"CN201520006395.6"</f>
        <v>CN201520006395.6</v>
      </c>
      <c r="F1152" s="1" t="str">
        <f>"2015-01-05"</f>
        <v>2015-01-05</v>
      </c>
      <c r="G1152" s="1" t="str">
        <f>"CN204415591U"</f>
        <v>CN204415591U</v>
      </c>
      <c r="H1152" s="1" t="str">
        <f>"2015-06-24"</f>
        <v>2015-06-24</v>
      </c>
      <c r="I1152" s="1" t="s">
        <v>4969</v>
      </c>
      <c r="J1152" s="1" t="str">
        <f t="shared" si="580"/>
        <v>天津市万华车料有限公司</v>
      </c>
    </row>
    <row r="1153" spans="1:10">
      <c r="A1153" s="1" t="str">
        <f t="shared" si="579"/>
        <v>天津市万华车料有限公司</v>
      </c>
      <c r="B1153" s="1" t="str">
        <f>"金属丝焊接车筐安装底板"</f>
        <v>金属丝焊接车筐安装底板</v>
      </c>
      <c r="C1153" s="1" t="str">
        <f t="shared" si="588"/>
        <v>实用新型</v>
      </c>
      <c r="D1153" s="1" t="str">
        <f t="shared" si="587"/>
        <v>未缴年费专利权终止</v>
      </c>
      <c r="E1153" s="1" t="str">
        <f>"CN201520056607.1"</f>
        <v>CN201520056607.1</v>
      </c>
      <c r="F1153" s="1" t="str">
        <f>"2015-01-28"</f>
        <v>2015-01-28</v>
      </c>
      <c r="G1153" s="1" t="str">
        <f>"CN204415592U"</f>
        <v>CN204415592U</v>
      </c>
      <c r="H1153" s="1" t="str">
        <f>"2015-06-24"</f>
        <v>2015-06-24</v>
      </c>
      <c r="I1153" s="1" t="s">
        <v>4969</v>
      </c>
      <c r="J1153" s="1" t="str">
        <f t="shared" si="580"/>
        <v>天津市万华车料有限公司</v>
      </c>
    </row>
    <row r="1154" spans="1:10">
      <c r="A1154" s="1" t="str">
        <f t="shared" si="579"/>
        <v>天津市万华车料有限公司</v>
      </c>
      <c r="B1154" s="1" t="str">
        <f>"一种电动机主轴"</f>
        <v>一种电动机主轴</v>
      </c>
      <c r="C1154" s="1" t="str">
        <f t="shared" si="588"/>
        <v>实用新型</v>
      </c>
      <c r="D1154" s="1" t="str">
        <f t="shared" si="587"/>
        <v>未缴年费专利权终止</v>
      </c>
      <c r="E1154" s="1" t="str">
        <f>"CN201420531987.5"</f>
        <v>CN201420531987.5</v>
      </c>
      <c r="F1154" s="1" t="str">
        <f t="shared" ref="F1154:F1156" si="590">"2014-09-16"</f>
        <v>2014-09-16</v>
      </c>
      <c r="G1154" s="1" t="str">
        <f>"CN204334220U"</f>
        <v>CN204334220U</v>
      </c>
      <c r="H1154" s="1" t="str">
        <f>"2015-05-13"</f>
        <v>2015-05-13</v>
      </c>
      <c r="I1154" s="1" t="str">
        <f t="shared" si="589"/>
        <v>樊飞</v>
      </c>
      <c r="J1154" s="1" t="str">
        <f t="shared" si="580"/>
        <v>天津市万华车料有限公司</v>
      </c>
    </row>
    <row r="1155" spans="1:10">
      <c r="A1155" s="1" t="str">
        <f t="shared" si="579"/>
        <v>天津市万华车料有限公司</v>
      </c>
      <c r="B1155" s="1" t="str">
        <f>"一种高压电动机变频调速装置"</f>
        <v>一种高压电动机变频调速装置</v>
      </c>
      <c r="C1155" s="1" t="str">
        <f t="shared" si="588"/>
        <v>实用新型</v>
      </c>
      <c r="D1155" s="1" t="str">
        <f t="shared" si="587"/>
        <v>未缴年费专利权终止</v>
      </c>
      <c r="E1155" s="1" t="str">
        <f>"CN201420531986.0"</f>
        <v>CN201420531986.0</v>
      </c>
      <c r="F1155" s="1" t="str">
        <f t="shared" si="590"/>
        <v>2014-09-16</v>
      </c>
      <c r="G1155" s="1" t="str">
        <f>"CN204334407U"</f>
        <v>CN204334407U</v>
      </c>
      <c r="H1155" s="1" t="str">
        <f>"2015-05-13"</f>
        <v>2015-05-13</v>
      </c>
      <c r="I1155" s="1" t="str">
        <f t="shared" si="589"/>
        <v>樊飞</v>
      </c>
      <c r="J1155" s="1" t="str">
        <f t="shared" si="580"/>
        <v>天津市万华车料有限公司</v>
      </c>
    </row>
    <row r="1156" spans="1:10">
      <c r="A1156" s="1" t="str">
        <f t="shared" si="579"/>
        <v>天津市万华车料有限公司</v>
      </c>
      <c r="B1156" s="1" t="str">
        <f>"电机变频变压控制柜"</f>
        <v>电机变频变压控制柜</v>
      </c>
      <c r="C1156" s="1" t="str">
        <f t="shared" si="588"/>
        <v>实用新型</v>
      </c>
      <c r="D1156" s="1" t="str">
        <f t="shared" si="587"/>
        <v>未缴年费专利权终止</v>
      </c>
      <c r="E1156" s="1" t="str">
        <f>"CN201420531225.5"</f>
        <v>CN201420531225.5</v>
      </c>
      <c r="F1156" s="1" t="str">
        <f t="shared" si="590"/>
        <v>2014-09-16</v>
      </c>
      <c r="G1156" s="1" t="str">
        <f>"CN204206055U"</f>
        <v>CN204206055U</v>
      </c>
      <c r="H1156" s="1" t="str">
        <f t="shared" ref="H1156:H1158" si="591">"2015-03-11"</f>
        <v>2015-03-11</v>
      </c>
      <c r="I1156" s="1" t="str">
        <f t="shared" si="589"/>
        <v>樊飞</v>
      </c>
      <c r="J1156" s="1" t="str">
        <f t="shared" si="580"/>
        <v>天津市万华车料有限公司</v>
      </c>
    </row>
    <row r="1157" spans="1:10">
      <c r="A1157" s="1" t="str">
        <f t="shared" si="579"/>
        <v>天津市万华车料有限公司</v>
      </c>
      <c r="B1157" s="1" t="str">
        <f>"多级串联叠加电机"</f>
        <v>多级串联叠加电机</v>
      </c>
      <c r="C1157" s="1" t="str">
        <f t="shared" si="588"/>
        <v>实用新型</v>
      </c>
      <c r="D1157" s="1" t="str">
        <f t="shared" si="587"/>
        <v>未缴年费专利权终止</v>
      </c>
      <c r="E1157" s="1" t="str">
        <f>"CN201420535757.6"</f>
        <v>CN201420535757.6</v>
      </c>
      <c r="F1157" s="1" t="str">
        <f>"2014-09-17"</f>
        <v>2014-09-17</v>
      </c>
      <c r="G1157" s="1" t="str">
        <f>"CN204205886U"</f>
        <v>CN204205886U</v>
      </c>
      <c r="H1157" s="1" t="str">
        <f t="shared" si="591"/>
        <v>2015-03-11</v>
      </c>
      <c r="I1157" s="1" t="str">
        <f t="shared" si="589"/>
        <v>樊飞</v>
      </c>
      <c r="J1157" s="1" t="str">
        <f t="shared" si="580"/>
        <v>天津市万华车料有限公司</v>
      </c>
    </row>
    <row r="1158" spans="1:10">
      <c r="A1158" s="1" t="str">
        <f t="shared" si="579"/>
        <v>天津市万华车料有限公司</v>
      </c>
      <c r="B1158" s="1" t="str">
        <f>"一种新型电动机传动装置"</f>
        <v>一种新型电动机传动装置</v>
      </c>
      <c r="C1158" s="1" t="str">
        <f t="shared" si="588"/>
        <v>实用新型</v>
      </c>
      <c r="D1158" s="1" t="str">
        <f t="shared" si="587"/>
        <v>未缴年费专利权终止</v>
      </c>
      <c r="E1158" s="1" t="str">
        <f>"CN201420531764.9"</f>
        <v>CN201420531764.9</v>
      </c>
      <c r="F1158" s="1" t="str">
        <f>"2014-09-16"</f>
        <v>2014-09-16</v>
      </c>
      <c r="G1158" s="1" t="str">
        <f>"CN204205818U"</f>
        <v>CN204205818U</v>
      </c>
      <c r="H1158" s="1" t="str">
        <f t="shared" si="591"/>
        <v>2015-03-11</v>
      </c>
      <c r="I1158" s="1" t="str">
        <f t="shared" si="589"/>
        <v>樊飞</v>
      </c>
      <c r="J1158" s="1" t="str">
        <f t="shared" si="580"/>
        <v>天津市万华车料有限公司</v>
      </c>
    </row>
    <row r="1159" spans="1:10">
      <c r="A1159" s="1" t="str">
        <f t="shared" si="579"/>
        <v>天津市万华车料有限公司</v>
      </c>
      <c r="B1159" s="1" t="str">
        <f>"带盖车筐的板式铰链"</f>
        <v>带盖车筐的板式铰链</v>
      </c>
      <c r="C1159" s="1" t="str">
        <f t="shared" si="588"/>
        <v>实用新型</v>
      </c>
      <c r="D1159" s="1" t="str">
        <f t="shared" si="587"/>
        <v>未缴年费专利权终止</v>
      </c>
      <c r="E1159" s="1" t="str">
        <f>"CN201320354279.4"</f>
        <v>CN201320354279.4</v>
      </c>
      <c r="F1159" s="1" t="str">
        <f>"2013-06-20"</f>
        <v>2013-06-20</v>
      </c>
      <c r="G1159" s="1" t="str">
        <f>"CN203452506U"</f>
        <v>CN203452506U</v>
      </c>
      <c r="H1159" s="1" t="str">
        <f>"2014-02-26"</f>
        <v>2014-02-26</v>
      </c>
      <c r="I1159" s="1" t="str">
        <f t="shared" si="589"/>
        <v>樊飞</v>
      </c>
      <c r="J1159" s="1" t="str">
        <f t="shared" si="580"/>
        <v>天津市万华车料有限公司</v>
      </c>
    </row>
    <row r="1160" spans="1:10">
      <c r="A1160" s="1" t="str">
        <f t="shared" si="579"/>
        <v>天津市万华车料有限公司</v>
      </c>
      <c r="B1160" s="1" t="str">
        <f>"辐条机润滑机构"</f>
        <v>辐条机润滑机构</v>
      </c>
      <c r="C1160" s="1" t="str">
        <f t="shared" si="588"/>
        <v>实用新型</v>
      </c>
      <c r="D1160" s="1" t="str">
        <f t="shared" si="587"/>
        <v>未缴年费专利权终止</v>
      </c>
      <c r="E1160" s="1" t="str">
        <f>"CN201320255949.7"</f>
        <v>CN201320255949.7</v>
      </c>
      <c r="F1160" s="1" t="str">
        <f t="shared" ref="F1160:F1165" si="592">"2013-05-13"</f>
        <v>2013-05-13</v>
      </c>
      <c r="G1160" s="1" t="str">
        <f>"CN203336200U"</f>
        <v>CN203336200U</v>
      </c>
      <c r="H1160" s="1" t="str">
        <f t="shared" ref="H1160:H1168" si="593">"2013-12-11"</f>
        <v>2013-12-11</v>
      </c>
      <c r="I1160" s="1" t="s">
        <v>4968</v>
      </c>
      <c r="J1160" s="1" t="str">
        <f t="shared" si="580"/>
        <v>天津市万华车料有限公司</v>
      </c>
    </row>
    <row r="1161" spans="1:10">
      <c r="A1161" s="1" t="str">
        <f t="shared" si="579"/>
        <v>天津市万华车料有限公司</v>
      </c>
      <c r="B1161" s="1" t="str">
        <f>"辐条机钢丝牵引机构"</f>
        <v>辐条机钢丝牵引机构</v>
      </c>
      <c r="C1161" s="1" t="str">
        <f t="shared" si="588"/>
        <v>实用新型</v>
      </c>
      <c r="D1161" s="1" t="str">
        <f t="shared" si="587"/>
        <v>未缴年费专利权终止</v>
      </c>
      <c r="E1161" s="1" t="str">
        <f>"CN201320255950.X"</f>
        <v>CN201320255950.X</v>
      </c>
      <c r="F1161" s="1" t="str">
        <f t="shared" si="592"/>
        <v>2013-05-13</v>
      </c>
      <c r="G1161" s="1" t="str">
        <f>"CN203330312U"</f>
        <v>CN203330312U</v>
      </c>
      <c r="H1161" s="1" t="str">
        <f t="shared" si="593"/>
        <v>2013-12-11</v>
      </c>
      <c r="I1161" s="1" t="s">
        <v>4968</v>
      </c>
      <c r="J1161" s="1" t="str">
        <f t="shared" si="580"/>
        <v>天津市万华车料有限公司</v>
      </c>
    </row>
    <row r="1162" spans="1:10">
      <c r="A1162" s="1" t="str">
        <f t="shared" si="579"/>
        <v>天津市万华车料有限公司</v>
      </c>
      <c r="B1162" s="1" t="str">
        <f>"辐条机辐条折弯冲模"</f>
        <v>辐条机辐条折弯冲模</v>
      </c>
      <c r="C1162" s="1" t="str">
        <f t="shared" si="588"/>
        <v>实用新型</v>
      </c>
      <c r="D1162" s="1" t="str">
        <f t="shared" si="587"/>
        <v>未缴年费专利权终止</v>
      </c>
      <c r="E1162" s="1" t="str">
        <f>"CN201320254576.1"</f>
        <v>CN201320254576.1</v>
      </c>
      <c r="F1162" s="1" t="str">
        <f t="shared" si="592"/>
        <v>2013-05-13</v>
      </c>
      <c r="G1162" s="1" t="str">
        <f>"CN203330247U"</f>
        <v>CN203330247U</v>
      </c>
      <c r="H1162" s="1" t="str">
        <f t="shared" si="593"/>
        <v>2013-12-11</v>
      </c>
      <c r="I1162" s="1" t="s">
        <v>4968</v>
      </c>
      <c r="J1162" s="1" t="str">
        <f t="shared" si="580"/>
        <v>天津市万华车料有限公司</v>
      </c>
    </row>
    <row r="1163" spans="1:10">
      <c r="A1163" s="1" t="str">
        <f t="shared" si="579"/>
        <v>天津市万华车料有限公司</v>
      </c>
      <c r="B1163" s="1" t="str">
        <f>"辐条钢丝矫直装置"</f>
        <v>辐条钢丝矫直装置</v>
      </c>
      <c r="C1163" s="1" t="str">
        <f t="shared" si="588"/>
        <v>实用新型</v>
      </c>
      <c r="D1163" s="1" t="str">
        <f t="shared" si="587"/>
        <v>未缴年费专利权终止</v>
      </c>
      <c r="E1163" s="1" t="str">
        <f>"CN201320256146.3"</f>
        <v>CN201320256146.3</v>
      </c>
      <c r="F1163" s="1" t="str">
        <f t="shared" si="592"/>
        <v>2013-05-13</v>
      </c>
      <c r="G1163" s="1" t="str">
        <f>"CN203330304U"</f>
        <v>CN203330304U</v>
      </c>
      <c r="H1163" s="1" t="str">
        <f t="shared" si="593"/>
        <v>2013-12-11</v>
      </c>
      <c r="I1163" s="1" t="s">
        <v>4968</v>
      </c>
      <c r="J1163" s="1" t="str">
        <f t="shared" si="580"/>
        <v>天津市万华车料有限公司</v>
      </c>
    </row>
    <row r="1164" spans="1:10">
      <c r="A1164" s="1" t="str">
        <f t="shared" si="579"/>
        <v>天津市万华车料有限公司</v>
      </c>
      <c r="B1164" s="1" t="str">
        <f>"辐条机的一种墩帽机构"</f>
        <v>辐条机的一种墩帽机构</v>
      </c>
      <c r="C1164" s="1" t="str">
        <f t="shared" si="588"/>
        <v>实用新型</v>
      </c>
      <c r="D1164" s="1" t="str">
        <f t="shared" si="587"/>
        <v>未缴年费专利权终止</v>
      </c>
      <c r="E1164" s="1" t="str">
        <f>"CN201320254579.5"</f>
        <v>CN201320254579.5</v>
      </c>
      <c r="F1164" s="1" t="str">
        <f t="shared" si="592"/>
        <v>2013-05-13</v>
      </c>
      <c r="G1164" s="1" t="str">
        <f>"CN203330320U"</f>
        <v>CN203330320U</v>
      </c>
      <c r="H1164" s="1" t="str">
        <f t="shared" si="593"/>
        <v>2013-12-11</v>
      </c>
      <c r="I1164" s="1" t="s">
        <v>4968</v>
      </c>
      <c r="J1164" s="1" t="str">
        <f t="shared" si="580"/>
        <v>天津市万华车料有限公司</v>
      </c>
    </row>
    <row r="1165" spans="1:10">
      <c r="A1165" s="1" t="str">
        <f t="shared" si="579"/>
        <v>天津市万华车料有限公司</v>
      </c>
      <c r="B1165" s="1" t="str">
        <f>"一种辐条机"</f>
        <v>一种辐条机</v>
      </c>
      <c r="C1165" s="1" t="str">
        <f t="shared" si="588"/>
        <v>实用新型</v>
      </c>
      <c r="D1165" s="1" t="str">
        <f>"避重放弃"</f>
        <v>避重放弃</v>
      </c>
      <c r="E1165" s="1" t="str">
        <f>"CN201320255309.6"</f>
        <v>CN201320255309.6</v>
      </c>
      <c r="F1165" s="1" t="str">
        <f t="shared" si="592"/>
        <v>2013-05-13</v>
      </c>
      <c r="G1165" s="1" t="str">
        <f>"CN203330682U"</f>
        <v>CN203330682U</v>
      </c>
      <c r="H1165" s="1" t="str">
        <f t="shared" si="593"/>
        <v>2013-12-11</v>
      </c>
      <c r="I1165" s="1" t="s">
        <v>4968</v>
      </c>
      <c r="J1165" s="1" t="str">
        <f t="shared" si="580"/>
        <v>天津市万华车料有限公司</v>
      </c>
    </row>
    <row r="1166" spans="1:10">
      <c r="A1166" s="1" t="str">
        <f t="shared" si="579"/>
        <v>天津市万华车料有限公司</v>
      </c>
      <c r="B1166" s="1" t="str">
        <f>"高温浸塑电加热炉吊挂车筐自动脱钩装置"</f>
        <v>高温浸塑电加热炉吊挂车筐自动脱钩装置</v>
      </c>
      <c r="C1166" s="1" t="str">
        <f t="shared" si="588"/>
        <v>实用新型</v>
      </c>
      <c r="D1166" s="1" t="str">
        <f t="shared" ref="D1166:D1190" si="594">"未缴年费专利权终止"</f>
        <v>未缴年费专利权终止</v>
      </c>
      <c r="E1166" s="1" t="str">
        <f>"CN201320221283.3"</f>
        <v>CN201320221283.3</v>
      </c>
      <c r="F1166" s="1" t="str">
        <f>"2013-04-27"</f>
        <v>2013-04-27</v>
      </c>
      <c r="G1166" s="1" t="str">
        <f>"CN203332814U"</f>
        <v>CN203332814U</v>
      </c>
      <c r="H1166" s="1" t="str">
        <f t="shared" si="593"/>
        <v>2013-12-11</v>
      </c>
      <c r="I1166" s="1" t="str">
        <f>"樊飞"</f>
        <v>樊飞</v>
      </c>
      <c r="J1166" s="1" t="str">
        <f t="shared" si="580"/>
        <v>天津市万华车料有限公司</v>
      </c>
    </row>
    <row r="1167" spans="1:10">
      <c r="A1167" s="1" t="str">
        <f t="shared" si="579"/>
        <v>天津市万华车料有限公司</v>
      </c>
      <c r="B1167" s="1" t="str">
        <f>"钢丝焊接车筐的筐体口圈结构"</f>
        <v>钢丝焊接车筐的筐体口圈结构</v>
      </c>
      <c r="C1167" s="1" t="str">
        <f t="shared" si="588"/>
        <v>实用新型</v>
      </c>
      <c r="D1167" s="1" t="str">
        <f t="shared" si="594"/>
        <v>未缴年费专利权终止</v>
      </c>
      <c r="E1167" s="1" t="str">
        <f>"CN201320315184.1"</f>
        <v>CN201320315184.1</v>
      </c>
      <c r="F1167" s="1" t="str">
        <f>"2013-06-03"</f>
        <v>2013-06-03</v>
      </c>
      <c r="G1167" s="1" t="str">
        <f>"CN203332287U"</f>
        <v>CN203332287U</v>
      </c>
      <c r="H1167" s="1" t="str">
        <f t="shared" si="593"/>
        <v>2013-12-11</v>
      </c>
      <c r="I1167" s="1" t="str">
        <f>"樊飞"</f>
        <v>樊飞</v>
      </c>
      <c r="J1167" s="1" t="str">
        <f t="shared" si="580"/>
        <v>天津市万华车料有限公司</v>
      </c>
    </row>
    <row r="1168" spans="1:10">
      <c r="A1168" s="1" t="str">
        <f t="shared" si="579"/>
        <v>天津市万华车料有限公司</v>
      </c>
      <c r="B1168" s="1" t="str">
        <f>"辐条机条帽球面成型模调整结构"</f>
        <v>辐条机条帽球面成型模调整结构</v>
      </c>
      <c r="C1168" s="1" t="str">
        <f t="shared" si="588"/>
        <v>实用新型</v>
      </c>
      <c r="D1168" s="1" t="str">
        <f>"避重放弃"</f>
        <v>避重放弃</v>
      </c>
      <c r="E1168" s="1" t="str">
        <f>"CN201320254578.0"</f>
        <v>CN201320254578.0</v>
      </c>
      <c r="F1168" s="1" t="str">
        <f>"2013-05-13"</f>
        <v>2013-05-13</v>
      </c>
      <c r="G1168" s="1" t="str">
        <f>"CN203330327U"</f>
        <v>CN203330327U</v>
      </c>
      <c r="H1168" s="1" t="str">
        <f t="shared" si="593"/>
        <v>2013-12-11</v>
      </c>
      <c r="I1168" s="1" t="s">
        <v>4968</v>
      </c>
      <c r="J1168" s="1" t="str">
        <f t="shared" si="580"/>
        <v>天津市万华车料有限公司</v>
      </c>
    </row>
    <row r="1169" spans="1:10">
      <c r="A1169" s="1" t="str">
        <f t="shared" si="579"/>
        <v>天津市万华车料有限公司</v>
      </c>
      <c r="B1169" s="1" t="str">
        <f>"辐条机的辐条坯料折弯冲模"</f>
        <v>辐条机的辐条坯料折弯冲模</v>
      </c>
      <c r="C1169" s="1" t="str">
        <f>"发明公布"</f>
        <v>发明公布</v>
      </c>
      <c r="D1169" s="1" t="str">
        <f>"公布视为撤回"</f>
        <v>公布视为撤回</v>
      </c>
      <c r="E1169" s="1" t="str">
        <f>"CN201310173826.3"</f>
        <v>CN201310173826.3</v>
      </c>
      <c r="F1169" s="1" t="str">
        <f>"2013-05-13"</f>
        <v>2013-05-13</v>
      </c>
      <c r="G1169" s="1" t="str">
        <f>"CN103272896A"</f>
        <v>CN103272896A</v>
      </c>
      <c r="H1169" s="1" t="str">
        <f>"2013-09-04"</f>
        <v>2013-09-04</v>
      </c>
      <c r="I1169" s="1" t="s">
        <v>4968</v>
      </c>
      <c r="J1169" s="1" t="str">
        <f t="shared" si="580"/>
        <v>天津市万华车料有限公司</v>
      </c>
    </row>
    <row r="1170" spans="1:10">
      <c r="A1170" s="1" t="str">
        <f t="shared" si="579"/>
        <v>天津市万华车料有限公司</v>
      </c>
      <c r="B1170" s="1" t="str">
        <f>"方便安装的辐条"</f>
        <v>方便安装的辐条</v>
      </c>
      <c r="C1170" s="1" t="str">
        <f t="shared" ref="C1170:C1199" si="595">"实用新型"</f>
        <v>实用新型</v>
      </c>
      <c r="D1170" s="1" t="str">
        <f t="shared" si="594"/>
        <v>未缴年费专利权终止</v>
      </c>
      <c r="E1170" s="1" t="str">
        <f>"CN201220559473.1"</f>
        <v>CN201220559473.1</v>
      </c>
      <c r="F1170" s="1" t="str">
        <f t="shared" ref="F1170:F1175" si="596">"2012-10-29"</f>
        <v>2012-10-29</v>
      </c>
      <c r="G1170" s="1" t="str">
        <f>"CN202863010U"</f>
        <v>CN202863010U</v>
      </c>
      <c r="H1170" s="1" t="str">
        <f t="shared" ref="H1170:H1175" si="597">"2013-04-10"</f>
        <v>2013-04-10</v>
      </c>
      <c r="I1170" s="1" t="s">
        <v>4970</v>
      </c>
      <c r="J1170" s="1" t="str">
        <f t="shared" si="580"/>
        <v>天津市万华车料有限公司</v>
      </c>
    </row>
    <row r="1171" spans="1:10">
      <c r="A1171" s="1" t="str">
        <f t="shared" si="579"/>
        <v>天津市万华车料有限公司</v>
      </c>
      <c r="B1171" s="1" t="str">
        <f>"彩色钢丝辐条"</f>
        <v>彩色钢丝辐条</v>
      </c>
      <c r="C1171" s="1" t="str">
        <f t="shared" si="595"/>
        <v>实用新型</v>
      </c>
      <c r="D1171" s="1" t="str">
        <f t="shared" si="594"/>
        <v>未缴年费专利权终止</v>
      </c>
      <c r="E1171" s="1" t="str">
        <f>"CN201220560204.7"</f>
        <v>CN201220560204.7</v>
      </c>
      <c r="F1171" s="1" t="str">
        <f t="shared" si="596"/>
        <v>2012-10-29</v>
      </c>
      <c r="G1171" s="1" t="str">
        <f>"CN202863015U"</f>
        <v>CN202863015U</v>
      </c>
      <c r="H1171" s="1" t="str">
        <f t="shared" si="597"/>
        <v>2013-04-10</v>
      </c>
      <c r="I1171" s="1" t="s">
        <v>4970</v>
      </c>
      <c r="J1171" s="1" t="str">
        <f t="shared" si="580"/>
        <v>天津市万华车料有限公司</v>
      </c>
    </row>
    <row r="1172" spans="1:10">
      <c r="A1172" s="1" t="str">
        <f t="shared" si="579"/>
        <v>天津市万华车料有限公司</v>
      </c>
      <c r="B1172" s="1" t="str">
        <f>"有利于安全的辐条"</f>
        <v>有利于安全的辐条</v>
      </c>
      <c r="C1172" s="1" t="str">
        <f t="shared" si="595"/>
        <v>实用新型</v>
      </c>
      <c r="D1172" s="1" t="str">
        <f t="shared" si="594"/>
        <v>未缴年费专利权终止</v>
      </c>
      <c r="E1172" s="1" t="str">
        <f>"CN201220560217.4"</f>
        <v>CN201220560217.4</v>
      </c>
      <c r="F1172" s="1" t="str">
        <f t="shared" si="596"/>
        <v>2012-10-29</v>
      </c>
      <c r="G1172" s="1" t="str">
        <f>"CN202863011U"</f>
        <v>CN202863011U</v>
      </c>
      <c r="H1172" s="1" t="str">
        <f t="shared" si="597"/>
        <v>2013-04-10</v>
      </c>
      <c r="I1172" s="1" t="s">
        <v>4970</v>
      </c>
      <c r="J1172" s="1" t="str">
        <f t="shared" si="580"/>
        <v>天津市万华车料有限公司</v>
      </c>
    </row>
    <row r="1173" spans="1:10">
      <c r="A1173" s="1" t="str">
        <f t="shared" si="579"/>
        <v>天津市万华车料有限公司</v>
      </c>
      <c r="B1173" s="1" t="str">
        <f>"简化配件规格的自行车辐条"</f>
        <v>简化配件规格的自行车辐条</v>
      </c>
      <c r="C1173" s="1" t="str">
        <f t="shared" si="595"/>
        <v>实用新型</v>
      </c>
      <c r="D1173" s="1" t="str">
        <f t="shared" si="594"/>
        <v>未缴年费专利权终止</v>
      </c>
      <c r="E1173" s="1" t="str">
        <f>"CN201220560189.6"</f>
        <v>CN201220560189.6</v>
      </c>
      <c r="F1173" s="1" t="str">
        <f t="shared" si="596"/>
        <v>2012-10-29</v>
      </c>
      <c r="G1173" s="1" t="str">
        <f>"CN202863014U"</f>
        <v>CN202863014U</v>
      </c>
      <c r="H1173" s="1" t="str">
        <f t="shared" si="597"/>
        <v>2013-04-10</v>
      </c>
      <c r="I1173" s="1" t="s">
        <v>4970</v>
      </c>
      <c r="J1173" s="1" t="str">
        <f t="shared" si="580"/>
        <v>天津市万华车料有限公司</v>
      </c>
    </row>
    <row r="1174" spans="1:10">
      <c r="A1174" s="1" t="str">
        <f t="shared" si="579"/>
        <v>天津市万华车料有限公司</v>
      </c>
      <c r="B1174" s="1" t="str">
        <f>"弧面辐条"</f>
        <v>弧面辐条</v>
      </c>
      <c r="C1174" s="1" t="str">
        <f t="shared" si="595"/>
        <v>实用新型</v>
      </c>
      <c r="D1174" s="1" t="str">
        <f t="shared" si="594"/>
        <v>未缴年费专利权终止</v>
      </c>
      <c r="E1174" s="1" t="str">
        <f>"CN201220559472.7"</f>
        <v>CN201220559472.7</v>
      </c>
      <c r="F1174" s="1" t="str">
        <f t="shared" si="596"/>
        <v>2012-10-29</v>
      </c>
      <c r="G1174" s="1" t="str">
        <f>"CN202863013U"</f>
        <v>CN202863013U</v>
      </c>
      <c r="H1174" s="1" t="str">
        <f t="shared" si="597"/>
        <v>2013-04-10</v>
      </c>
      <c r="I1174" s="1" t="s">
        <v>4970</v>
      </c>
      <c r="J1174" s="1" t="str">
        <f t="shared" si="580"/>
        <v>天津市万华车料有限公司</v>
      </c>
    </row>
    <row r="1175" spans="1:10">
      <c r="A1175" s="1" t="str">
        <f t="shared" si="579"/>
        <v>天津市万华车料有限公司</v>
      </c>
      <c r="B1175" s="1" t="str">
        <f>"跑车辐条"</f>
        <v>跑车辐条</v>
      </c>
      <c r="C1175" s="1" t="str">
        <f t="shared" si="595"/>
        <v>实用新型</v>
      </c>
      <c r="D1175" s="1" t="str">
        <f t="shared" si="594"/>
        <v>未缴年费专利权终止</v>
      </c>
      <c r="E1175" s="1" t="str">
        <f>"CN201220559471.2"</f>
        <v>CN201220559471.2</v>
      </c>
      <c r="F1175" s="1" t="str">
        <f t="shared" si="596"/>
        <v>2012-10-29</v>
      </c>
      <c r="G1175" s="1" t="str">
        <f>"CN202863012U"</f>
        <v>CN202863012U</v>
      </c>
      <c r="H1175" s="1" t="str">
        <f t="shared" si="597"/>
        <v>2013-04-10</v>
      </c>
      <c r="I1175" s="1" t="s">
        <v>4970</v>
      </c>
      <c r="J1175" s="1" t="str">
        <f t="shared" si="580"/>
        <v>天津市万华车料有限公司</v>
      </c>
    </row>
    <row r="1176" spans="1:10">
      <c r="A1176" s="1" t="str">
        <f t="shared" si="579"/>
        <v>天津市万华车料有限公司</v>
      </c>
      <c r="B1176" s="1" t="str">
        <f>"一种带盖车筐用铰链"</f>
        <v>一种带盖车筐用铰链</v>
      </c>
      <c r="C1176" s="1" t="str">
        <f t="shared" si="595"/>
        <v>实用新型</v>
      </c>
      <c r="D1176" s="1" t="str">
        <f t="shared" si="594"/>
        <v>未缴年费专利权终止</v>
      </c>
      <c r="E1176" s="1" t="str">
        <f>"CN200920098700.3"</f>
        <v>CN200920098700.3</v>
      </c>
      <c r="F1176" s="1" t="str">
        <f>"2009-09-10"</f>
        <v>2009-09-10</v>
      </c>
      <c r="G1176" s="1" t="str">
        <f>"CN201635550U"</f>
        <v>CN201635550U</v>
      </c>
      <c r="H1176" s="1" t="str">
        <f>"2010-11-17"</f>
        <v>2010-11-17</v>
      </c>
      <c r="I1176" s="1" t="str">
        <f>"樊玉新"</f>
        <v>樊玉新</v>
      </c>
      <c r="J1176" s="1" t="str">
        <f t="shared" si="580"/>
        <v>天津市万华车料有限公司</v>
      </c>
    </row>
    <row r="1177" spans="1:10">
      <c r="A1177" s="1" t="str">
        <f t="shared" ref="A1177:A1190" si="598">"天津国华塑胶有限公司"</f>
        <v>天津国华塑胶有限公司</v>
      </c>
      <c r="B1177" s="1" t="str">
        <f>"汽车保险杠缓冲块"</f>
        <v>汽车保险杠缓冲块</v>
      </c>
      <c r="C1177" s="1" t="str">
        <f t="shared" si="595"/>
        <v>实用新型</v>
      </c>
      <c r="D1177" s="1" t="str">
        <f t="shared" si="594"/>
        <v>未缴年费专利权终止</v>
      </c>
      <c r="E1177" s="1" t="str">
        <f>"CN201721827845.3"</f>
        <v>CN201721827845.3</v>
      </c>
      <c r="F1177" s="1" t="str">
        <f>"2017-12-25"</f>
        <v>2017-12-25</v>
      </c>
      <c r="G1177" s="1" t="str">
        <f>"CN207997831U"</f>
        <v>CN207997831U</v>
      </c>
      <c r="H1177" s="1" t="str">
        <f>"2018-10-23"</f>
        <v>2018-10-23</v>
      </c>
      <c r="I1177" s="1" t="s">
        <v>4971</v>
      </c>
      <c r="J1177" s="1" t="str">
        <f t="shared" ref="J1177:J1190" si="599">"天津国华塑胶有限公司"</f>
        <v>天津国华塑胶有限公司</v>
      </c>
    </row>
    <row r="1178" spans="1:10">
      <c r="A1178" s="1" t="str">
        <f t="shared" si="598"/>
        <v>天津国华塑胶有限公司</v>
      </c>
      <c r="B1178" s="1" t="str">
        <f>"一种汽车出风口"</f>
        <v>一种汽车出风口</v>
      </c>
      <c r="C1178" s="1" t="str">
        <f t="shared" si="595"/>
        <v>实用新型</v>
      </c>
      <c r="D1178" s="1" t="str">
        <f t="shared" si="594"/>
        <v>未缴年费专利权终止</v>
      </c>
      <c r="E1178" s="1" t="str">
        <f>"CN201721827841.5"</f>
        <v>CN201721827841.5</v>
      </c>
      <c r="F1178" s="1" t="str">
        <f>"2017-12-25"</f>
        <v>2017-12-25</v>
      </c>
      <c r="G1178" s="1" t="str">
        <f>"CN207984504U"</f>
        <v>CN207984504U</v>
      </c>
      <c r="H1178" s="1" t="str">
        <f>"2018-10-19"</f>
        <v>2018-10-19</v>
      </c>
      <c r="I1178" s="1" t="s">
        <v>4972</v>
      </c>
      <c r="J1178" s="1" t="str">
        <f t="shared" si="599"/>
        <v>天津国华塑胶有限公司</v>
      </c>
    </row>
    <row r="1179" spans="1:10">
      <c r="A1179" s="1" t="str">
        <f t="shared" si="598"/>
        <v>天津国华塑胶有限公司</v>
      </c>
      <c r="B1179" s="1" t="str">
        <f>"一种汽车塑料零件生产用模具"</f>
        <v>一种汽车塑料零件生产用模具</v>
      </c>
      <c r="C1179" s="1" t="str">
        <f t="shared" si="595"/>
        <v>实用新型</v>
      </c>
      <c r="D1179" s="1" t="str">
        <f t="shared" si="594"/>
        <v>未缴年费专利权终止</v>
      </c>
      <c r="E1179" s="1" t="str">
        <f>"CN201721823750.4"</f>
        <v>CN201721823750.4</v>
      </c>
      <c r="F1179" s="1" t="str">
        <f>"2017-12-22"</f>
        <v>2017-12-22</v>
      </c>
      <c r="G1179" s="1" t="str">
        <f>"CN207983837U"</f>
        <v>CN207983837U</v>
      </c>
      <c r="H1179" s="1" t="str">
        <f>"2018-10-19"</f>
        <v>2018-10-19</v>
      </c>
      <c r="I1179" s="1" t="s">
        <v>4973</v>
      </c>
      <c r="J1179" s="1" t="str">
        <f t="shared" si="599"/>
        <v>天津国华塑胶有限公司</v>
      </c>
    </row>
    <row r="1180" spans="1:10">
      <c r="A1180" s="1" t="str">
        <f t="shared" si="598"/>
        <v>天津国华塑胶有限公司</v>
      </c>
      <c r="B1180" s="1" t="str">
        <f>"汽车塑料生产用快速冷却装置"</f>
        <v>汽车塑料生产用快速冷却装置</v>
      </c>
      <c r="C1180" s="1" t="str">
        <f t="shared" si="595"/>
        <v>实用新型</v>
      </c>
      <c r="D1180" s="1" t="str">
        <f t="shared" si="594"/>
        <v>未缴年费专利权终止</v>
      </c>
      <c r="E1180" s="1" t="str">
        <f>"CN201721888451.9"</f>
        <v>CN201721888451.9</v>
      </c>
      <c r="F1180" s="1" t="str">
        <f>"2017-12-28"</f>
        <v>2017-12-28</v>
      </c>
      <c r="G1180" s="1" t="str">
        <f>"CN207747287U"</f>
        <v>CN207747287U</v>
      </c>
      <c r="H1180" s="1" t="str">
        <f t="shared" ref="H1180:H1182" si="600">"2018-08-21"</f>
        <v>2018-08-21</v>
      </c>
      <c r="I1180" s="1" t="s">
        <v>4971</v>
      </c>
      <c r="J1180" s="1" t="str">
        <f t="shared" si="599"/>
        <v>天津国华塑胶有限公司</v>
      </c>
    </row>
    <row r="1181" spans="1:10">
      <c r="A1181" s="1" t="str">
        <f t="shared" si="598"/>
        <v>天津国华塑胶有限公司</v>
      </c>
      <c r="B1181" s="1" t="str">
        <f>"汽车塑料零件加工用夹持装置"</f>
        <v>汽车塑料零件加工用夹持装置</v>
      </c>
      <c r="C1181" s="1" t="str">
        <f t="shared" si="595"/>
        <v>实用新型</v>
      </c>
      <c r="D1181" s="1" t="str">
        <f t="shared" si="594"/>
        <v>未缴年费专利权终止</v>
      </c>
      <c r="E1181" s="1" t="str">
        <f>"CN201721874046.1"</f>
        <v>CN201721874046.1</v>
      </c>
      <c r="F1181" s="1" t="str">
        <f>"2017-12-27"</f>
        <v>2017-12-27</v>
      </c>
      <c r="G1181" s="1" t="str">
        <f>"CN207747447U"</f>
        <v>CN207747447U</v>
      </c>
      <c r="H1181" s="1" t="str">
        <f t="shared" si="600"/>
        <v>2018-08-21</v>
      </c>
      <c r="I1181" s="1" t="s">
        <v>4971</v>
      </c>
      <c r="J1181" s="1" t="str">
        <f t="shared" si="599"/>
        <v>天津国华塑胶有限公司</v>
      </c>
    </row>
    <row r="1182" spans="1:10">
      <c r="A1182" s="1" t="str">
        <f t="shared" si="598"/>
        <v>天津国华塑胶有限公司</v>
      </c>
      <c r="B1182" s="1" t="str">
        <f>"一种汽车仪表板"</f>
        <v>一种汽车仪表板</v>
      </c>
      <c r="C1182" s="1" t="str">
        <f t="shared" si="595"/>
        <v>实用新型</v>
      </c>
      <c r="D1182" s="1" t="str">
        <f t="shared" si="594"/>
        <v>未缴年费专利权终止</v>
      </c>
      <c r="E1182" s="1" t="str">
        <f>"CN201721852318.8"</f>
        <v>CN201721852318.8</v>
      </c>
      <c r="F1182" s="1" t="str">
        <f>"2017-12-26"</f>
        <v>2017-12-26</v>
      </c>
      <c r="G1182" s="1" t="str">
        <f>"CN207747757U"</f>
        <v>CN207747757U</v>
      </c>
      <c r="H1182" s="1" t="str">
        <f t="shared" si="600"/>
        <v>2018-08-21</v>
      </c>
      <c r="I1182" s="1" t="s">
        <v>4973</v>
      </c>
      <c r="J1182" s="1" t="str">
        <f t="shared" si="599"/>
        <v>天津国华塑胶有限公司</v>
      </c>
    </row>
    <row r="1183" spans="1:10">
      <c r="A1183" s="1" t="str">
        <f t="shared" si="598"/>
        <v>天津国华塑胶有限公司</v>
      </c>
      <c r="B1183" s="1" t="str">
        <f>"一种汽车发动机护板"</f>
        <v>一种汽车发动机护板</v>
      </c>
      <c r="C1183" s="1" t="str">
        <f t="shared" si="595"/>
        <v>实用新型</v>
      </c>
      <c r="D1183" s="1" t="str">
        <f t="shared" si="594"/>
        <v>未缴年费专利权终止</v>
      </c>
      <c r="E1183" s="1" t="str">
        <f>"CN201721853932.6"</f>
        <v>CN201721853932.6</v>
      </c>
      <c r="F1183" s="1" t="str">
        <f>"2017-12-26"</f>
        <v>2017-12-26</v>
      </c>
      <c r="G1183" s="1" t="str">
        <f>"CN207737228U"</f>
        <v>CN207737228U</v>
      </c>
      <c r="H1183" s="1" t="str">
        <f>"2018-08-17"</f>
        <v>2018-08-17</v>
      </c>
      <c r="I1183" s="1" t="s">
        <v>4972</v>
      </c>
      <c r="J1183" s="1" t="str">
        <f t="shared" si="599"/>
        <v>天津国华塑胶有限公司</v>
      </c>
    </row>
    <row r="1184" spans="1:10">
      <c r="A1184" s="1" t="str">
        <f t="shared" si="598"/>
        <v>天津国华塑胶有限公司</v>
      </c>
      <c r="B1184" s="1" t="str">
        <f>"一种汽车后暖风管"</f>
        <v>一种汽车后暖风管</v>
      </c>
      <c r="C1184" s="1" t="str">
        <f t="shared" si="595"/>
        <v>实用新型</v>
      </c>
      <c r="D1184" s="1" t="str">
        <f t="shared" si="594"/>
        <v>未缴年费专利权终止</v>
      </c>
      <c r="E1184" s="1" t="str">
        <f>"CN201721874047.6"</f>
        <v>CN201721874047.6</v>
      </c>
      <c r="F1184" s="1" t="str">
        <f>"2017-12-27"</f>
        <v>2017-12-27</v>
      </c>
      <c r="G1184" s="1" t="str">
        <f>"CN207740598U"</f>
        <v>CN207740598U</v>
      </c>
      <c r="H1184" s="1" t="str">
        <f>"2018-08-17"</f>
        <v>2018-08-17</v>
      </c>
      <c r="I1184" s="1" t="s">
        <v>4972</v>
      </c>
      <c r="J1184" s="1" t="str">
        <f t="shared" si="599"/>
        <v>天津国华塑胶有限公司</v>
      </c>
    </row>
    <row r="1185" spans="1:10">
      <c r="A1185" s="1" t="str">
        <f t="shared" si="598"/>
        <v>天津国华塑胶有限公司</v>
      </c>
      <c r="B1185" s="1" t="str">
        <f>"一种汽车中央风管"</f>
        <v>一种汽车中央风管</v>
      </c>
      <c r="C1185" s="1" t="str">
        <f t="shared" si="595"/>
        <v>实用新型</v>
      </c>
      <c r="D1185" s="1" t="str">
        <f t="shared" si="594"/>
        <v>未缴年费专利权终止</v>
      </c>
      <c r="E1185" s="1" t="str">
        <f>"CN201721884150.9"</f>
        <v>CN201721884150.9</v>
      </c>
      <c r="F1185" s="1" t="str">
        <f>"2017-12-28"</f>
        <v>2017-12-28</v>
      </c>
      <c r="G1185" s="1" t="str">
        <f>"CN207697427U"</f>
        <v>CN207697427U</v>
      </c>
      <c r="H1185" s="1" t="str">
        <f t="shared" ref="H1185:H1187" si="601">"2018-08-07"</f>
        <v>2018-08-07</v>
      </c>
      <c r="I1185" s="1" t="s">
        <v>4973</v>
      </c>
      <c r="J1185" s="1" t="str">
        <f t="shared" si="599"/>
        <v>天津国华塑胶有限公司</v>
      </c>
    </row>
    <row r="1186" spans="1:10">
      <c r="A1186" s="1" t="str">
        <f t="shared" si="598"/>
        <v>天津国华塑胶有限公司</v>
      </c>
      <c r="B1186" s="1" t="str">
        <f>"一种汽车行李箱盖板"</f>
        <v>一种汽车行李箱盖板</v>
      </c>
      <c r="C1186" s="1" t="str">
        <f t="shared" si="595"/>
        <v>实用新型</v>
      </c>
      <c r="D1186" s="1" t="str">
        <f t="shared" si="594"/>
        <v>未缴年费专利权终止</v>
      </c>
      <c r="E1186" s="1" t="str">
        <f>"CN201721841999.8"</f>
        <v>CN201721841999.8</v>
      </c>
      <c r="F1186" s="1" t="str">
        <f>"2017-12-25"</f>
        <v>2017-12-25</v>
      </c>
      <c r="G1186" s="1" t="str">
        <f>"CN207697836U"</f>
        <v>CN207697836U</v>
      </c>
      <c r="H1186" s="1" t="str">
        <f t="shared" si="601"/>
        <v>2018-08-07</v>
      </c>
      <c r="I1186" s="1" t="s">
        <v>4973</v>
      </c>
      <c r="J1186" s="1" t="str">
        <f t="shared" si="599"/>
        <v>天津国华塑胶有限公司</v>
      </c>
    </row>
    <row r="1187" spans="1:10">
      <c r="A1187" s="1" t="str">
        <f t="shared" si="598"/>
        <v>天津国华塑胶有限公司</v>
      </c>
      <c r="B1187" s="1" t="str">
        <f>"一种汽车用副水箱"</f>
        <v>一种汽车用副水箱</v>
      </c>
      <c r="C1187" s="1" t="str">
        <f t="shared" si="595"/>
        <v>实用新型</v>
      </c>
      <c r="D1187" s="1" t="str">
        <f t="shared" si="594"/>
        <v>未缴年费专利权终止</v>
      </c>
      <c r="E1187" s="1" t="str">
        <f>"CN201721872129.7"</f>
        <v>CN201721872129.7</v>
      </c>
      <c r="F1187" s="1" t="str">
        <f>"2017-12-27"</f>
        <v>2017-12-27</v>
      </c>
      <c r="G1187" s="1" t="str">
        <f>"CN207697482U"</f>
        <v>CN207697482U</v>
      </c>
      <c r="H1187" s="1" t="str">
        <f t="shared" si="601"/>
        <v>2018-08-07</v>
      </c>
      <c r="I1187" s="1" t="s">
        <v>4973</v>
      </c>
      <c r="J1187" s="1" t="str">
        <f t="shared" si="599"/>
        <v>天津国华塑胶有限公司</v>
      </c>
    </row>
    <row r="1188" spans="1:10">
      <c r="A1188" s="1" t="str">
        <f t="shared" si="598"/>
        <v>天津国华塑胶有限公司</v>
      </c>
      <c r="B1188" s="1" t="str">
        <f>"汽车车侧防擦饰条"</f>
        <v>汽车车侧防擦饰条</v>
      </c>
      <c r="C1188" s="1" t="str">
        <f t="shared" si="595"/>
        <v>实用新型</v>
      </c>
      <c r="D1188" s="1" t="str">
        <f t="shared" si="594"/>
        <v>未缴年费专利权终止</v>
      </c>
      <c r="E1188" s="1" t="str">
        <f>"CN201721844368.1"</f>
        <v>CN201721844368.1</v>
      </c>
      <c r="F1188" s="1" t="str">
        <f>"2017-12-26"</f>
        <v>2017-12-26</v>
      </c>
      <c r="G1188" s="1" t="str">
        <f>"CN207644302U"</f>
        <v>CN207644302U</v>
      </c>
      <c r="H1188" s="1" t="str">
        <f>"2018-07-24"</f>
        <v>2018-07-24</v>
      </c>
      <c r="I1188" s="1" t="s">
        <v>4971</v>
      </c>
      <c r="J1188" s="1" t="str">
        <f t="shared" si="599"/>
        <v>天津国华塑胶有限公司</v>
      </c>
    </row>
    <row r="1189" spans="1:10">
      <c r="A1189" s="1" t="str">
        <f t="shared" si="598"/>
        <v>天津国华塑胶有限公司</v>
      </c>
      <c r="B1189" s="1" t="str">
        <f>"一种强硬度汽车后保险杠"</f>
        <v>一种强硬度汽车后保险杠</v>
      </c>
      <c r="C1189" s="1" t="str">
        <f t="shared" si="595"/>
        <v>实用新型</v>
      </c>
      <c r="D1189" s="1" t="str">
        <f t="shared" si="594"/>
        <v>未缴年费专利权终止</v>
      </c>
      <c r="E1189" s="1" t="str">
        <f>"CN201721812340.X"</f>
        <v>CN201721812340.X</v>
      </c>
      <c r="F1189" s="1" t="str">
        <f>"2017-12-22"</f>
        <v>2017-12-22</v>
      </c>
      <c r="G1189" s="1" t="str">
        <f>"CN207644323U"</f>
        <v>CN207644323U</v>
      </c>
      <c r="H1189" s="1" t="str">
        <f>"2018-07-24"</f>
        <v>2018-07-24</v>
      </c>
      <c r="I1189" s="1" t="s">
        <v>4971</v>
      </c>
      <c r="J1189" s="1" t="str">
        <f t="shared" si="599"/>
        <v>天津国华塑胶有限公司</v>
      </c>
    </row>
    <row r="1190" spans="1:10">
      <c r="A1190" s="1" t="str">
        <f t="shared" si="598"/>
        <v>天津国华塑胶有限公司</v>
      </c>
      <c r="B1190" s="1" t="str">
        <f>"一种密闭式汽车前保险杠"</f>
        <v>一种密闭式汽车前保险杠</v>
      </c>
      <c r="C1190" s="1" t="str">
        <f t="shared" si="595"/>
        <v>实用新型</v>
      </c>
      <c r="D1190" s="1" t="str">
        <f t="shared" si="594"/>
        <v>未缴年费专利权终止</v>
      </c>
      <c r="E1190" s="1" t="str">
        <f>"CN201721828057.6"</f>
        <v>CN201721828057.6</v>
      </c>
      <c r="F1190" s="1" t="str">
        <f>"2017-12-22"</f>
        <v>2017-12-22</v>
      </c>
      <c r="G1190" s="1" t="str">
        <f>"CN207631177U"</f>
        <v>CN207631177U</v>
      </c>
      <c r="H1190" s="1" t="str">
        <f>"2018-07-20"</f>
        <v>2018-07-20</v>
      </c>
      <c r="I1190" s="1" t="s">
        <v>4972</v>
      </c>
      <c r="J1190" s="1" t="str">
        <f t="shared" si="599"/>
        <v>天津国华塑胶有限公司</v>
      </c>
    </row>
    <row r="1191" spans="1:10">
      <c r="A1191" s="1" t="str">
        <f t="shared" ref="A1191:A1236" si="602">"天津锦城汽车电装有限公司"</f>
        <v>天津锦城汽车电装有限公司</v>
      </c>
      <c r="B1191" s="1" t="str">
        <f>"一种锁片辅助安装装置"</f>
        <v>一种锁片辅助安装装置</v>
      </c>
      <c r="C1191" s="1" t="str">
        <f t="shared" si="595"/>
        <v>实用新型</v>
      </c>
      <c r="D1191" s="1" t="str">
        <f t="shared" ref="D1191:D1235" si="603">"授权"</f>
        <v>授权</v>
      </c>
      <c r="E1191" s="1" t="str">
        <f>"CN202223155657.4"</f>
        <v>CN202223155657.4</v>
      </c>
      <c r="F1191" s="1" t="str">
        <f t="shared" ref="F1191:F1194" si="604">"2022-11-28"</f>
        <v>2022-11-28</v>
      </c>
      <c r="G1191" s="1" t="str">
        <f>"CN219235212U"</f>
        <v>CN219235212U</v>
      </c>
      <c r="H1191" s="1" t="str">
        <f>"2023-06-23"</f>
        <v>2023-06-23</v>
      </c>
      <c r="I1191" s="1" t="str">
        <f t="shared" ref="I1191:I1198" si="605">"周兴成"</f>
        <v>周兴成</v>
      </c>
      <c r="J1191" s="1" t="str">
        <f t="shared" ref="J1191:J1236" si="606">"天津锦城汽车电装有限公司"</f>
        <v>天津锦城汽车电装有限公司</v>
      </c>
    </row>
    <row r="1192" spans="1:10">
      <c r="A1192" s="1" t="str">
        <f t="shared" si="602"/>
        <v>天津锦城汽车电装有限公司</v>
      </c>
      <c r="B1192" s="1" t="str">
        <f>"一种端子定位压接装置"</f>
        <v>一种端子定位压接装置</v>
      </c>
      <c r="C1192" s="1" t="str">
        <f t="shared" si="595"/>
        <v>实用新型</v>
      </c>
      <c r="D1192" s="1" t="str">
        <f t="shared" si="603"/>
        <v>授权</v>
      </c>
      <c r="E1192" s="1" t="str">
        <f>"CN202222873783.7"</f>
        <v>CN202222873783.7</v>
      </c>
      <c r="F1192" s="1" t="str">
        <f>"2022-10-31"</f>
        <v>2022-10-31</v>
      </c>
      <c r="G1192" s="1" t="str">
        <f>"CN218732347U"</f>
        <v>CN218732347U</v>
      </c>
      <c r="H1192" s="1" t="str">
        <f>"2023-03-24"</f>
        <v>2023-03-24</v>
      </c>
      <c r="I1192" s="1" t="str">
        <f t="shared" si="605"/>
        <v>周兴成</v>
      </c>
      <c r="J1192" s="1" t="str">
        <f t="shared" si="606"/>
        <v>天津锦城汽车电装有限公司</v>
      </c>
    </row>
    <row r="1193" spans="1:10">
      <c r="A1193" s="1" t="str">
        <f t="shared" si="602"/>
        <v>天津锦城汽车电装有限公司</v>
      </c>
      <c r="B1193" s="1" t="str">
        <f>"一种端子垂直度验证装置"</f>
        <v>一种端子垂直度验证装置</v>
      </c>
      <c r="C1193" s="1" t="str">
        <f t="shared" si="595"/>
        <v>实用新型</v>
      </c>
      <c r="D1193" s="1" t="str">
        <f t="shared" si="603"/>
        <v>授权</v>
      </c>
      <c r="E1193" s="1" t="str">
        <f>"CN202223155951.5"</f>
        <v>CN202223155951.5</v>
      </c>
      <c r="F1193" s="1" t="str">
        <f t="shared" si="604"/>
        <v>2022-11-28</v>
      </c>
      <c r="G1193" s="1" t="str">
        <f>"CN218566396U"</f>
        <v>CN218566396U</v>
      </c>
      <c r="H1193" s="1" t="str">
        <f>"2023-03-03"</f>
        <v>2023-03-03</v>
      </c>
      <c r="I1193" s="1" t="str">
        <f t="shared" si="605"/>
        <v>周兴成</v>
      </c>
      <c r="J1193" s="1" t="str">
        <f t="shared" si="606"/>
        <v>天津锦城汽车电装有限公司</v>
      </c>
    </row>
    <row r="1194" spans="1:10">
      <c r="A1194" s="1" t="str">
        <f t="shared" si="602"/>
        <v>天津锦城汽车电装有限公司</v>
      </c>
      <c r="B1194" s="1" t="str">
        <f>"一种针孔端子压接装置"</f>
        <v>一种针孔端子压接装置</v>
      </c>
      <c r="C1194" s="1" t="str">
        <f t="shared" si="595"/>
        <v>实用新型</v>
      </c>
      <c r="D1194" s="1" t="str">
        <f t="shared" si="603"/>
        <v>授权</v>
      </c>
      <c r="E1194" s="1" t="str">
        <f>"CN202223155658.9"</f>
        <v>CN202223155658.9</v>
      </c>
      <c r="F1194" s="1" t="str">
        <f t="shared" si="604"/>
        <v>2022-11-28</v>
      </c>
      <c r="G1194" s="1" t="str">
        <f>"CN218549049U"</f>
        <v>CN218549049U</v>
      </c>
      <c r="H1194" s="1" t="str">
        <f>"2023-02-28"</f>
        <v>2023-02-28</v>
      </c>
      <c r="I1194" s="1" t="str">
        <f t="shared" si="605"/>
        <v>周兴成</v>
      </c>
      <c r="J1194" s="1" t="str">
        <f t="shared" si="606"/>
        <v>天津锦城汽车电装有限公司</v>
      </c>
    </row>
    <row r="1195" spans="1:10">
      <c r="A1195" s="1" t="str">
        <f t="shared" si="602"/>
        <v>天津锦城汽车电装有限公司</v>
      </c>
      <c r="B1195" s="1" t="str">
        <f>"一种保险盒固定装置"</f>
        <v>一种保险盒固定装置</v>
      </c>
      <c r="C1195" s="1" t="str">
        <f t="shared" si="595"/>
        <v>实用新型</v>
      </c>
      <c r="D1195" s="1" t="str">
        <f t="shared" si="603"/>
        <v>授权</v>
      </c>
      <c r="E1195" s="1" t="str">
        <f>"CN202222873782.2"</f>
        <v>CN202222873782.2</v>
      </c>
      <c r="F1195" s="1" t="str">
        <f>"2022-10-31"</f>
        <v>2022-10-31</v>
      </c>
      <c r="G1195" s="1" t="str">
        <f>"CN218548358U"</f>
        <v>CN218548358U</v>
      </c>
      <c r="H1195" s="1" t="str">
        <f>"2023-02-28"</f>
        <v>2023-02-28</v>
      </c>
      <c r="I1195" s="1" t="str">
        <f t="shared" si="605"/>
        <v>周兴成</v>
      </c>
      <c r="J1195" s="1" t="str">
        <f t="shared" si="606"/>
        <v>天津锦城汽车电装有限公司</v>
      </c>
    </row>
    <row r="1196" spans="1:10">
      <c r="A1196" s="1" t="str">
        <f t="shared" si="602"/>
        <v>天津锦城汽车电装有限公司</v>
      </c>
      <c r="B1196" s="1" t="str">
        <f>"一种防水堵装配辅助工装"</f>
        <v>一种防水堵装配辅助工装</v>
      </c>
      <c r="C1196" s="1" t="str">
        <f t="shared" si="595"/>
        <v>实用新型</v>
      </c>
      <c r="D1196" s="1" t="str">
        <f t="shared" si="603"/>
        <v>授权</v>
      </c>
      <c r="E1196" s="1" t="str">
        <f>"CN202222106167.9"</f>
        <v>CN202222106167.9</v>
      </c>
      <c r="F1196" s="1" t="str">
        <f t="shared" ref="F1196:F1198" si="607">"2022-08-11"</f>
        <v>2022-08-11</v>
      </c>
      <c r="G1196" s="1" t="str">
        <f>"CN218525864U"</f>
        <v>CN218525864U</v>
      </c>
      <c r="H1196" s="1" t="str">
        <f>"2023-02-24"</f>
        <v>2023-02-24</v>
      </c>
      <c r="I1196" s="1" t="str">
        <f t="shared" si="605"/>
        <v>周兴成</v>
      </c>
      <c r="J1196" s="1" t="str">
        <f t="shared" si="606"/>
        <v>天津锦城汽车电装有限公司</v>
      </c>
    </row>
    <row r="1197" spans="1:10">
      <c r="A1197" s="1" t="str">
        <f t="shared" si="602"/>
        <v>天津锦城汽车电装有限公司</v>
      </c>
      <c r="B1197" s="1" t="str">
        <f>"一种防水线束注胶器"</f>
        <v>一种防水线束注胶器</v>
      </c>
      <c r="C1197" s="1" t="str">
        <f t="shared" si="595"/>
        <v>实用新型</v>
      </c>
      <c r="D1197" s="1" t="str">
        <f t="shared" si="603"/>
        <v>授权</v>
      </c>
      <c r="E1197" s="1" t="str">
        <f>"CN202222106171.5"</f>
        <v>CN202222106171.5</v>
      </c>
      <c r="F1197" s="1" t="str">
        <f t="shared" si="607"/>
        <v>2022-08-11</v>
      </c>
      <c r="G1197" s="1" t="str">
        <f>"CN218132939U"</f>
        <v>CN218132939U</v>
      </c>
      <c r="H1197" s="1" t="str">
        <f>"2022-12-27"</f>
        <v>2022-12-27</v>
      </c>
      <c r="I1197" s="1" t="str">
        <f t="shared" si="605"/>
        <v>周兴成</v>
      </c>
      <c r="J1197" s="1" t="str">
        <f t="shared" si="606"/>
        <v>天津锦城汽车电装有限公司</v>
      </c>
    </row>
    <row r="1198" spans="1:10">
      <c r="A1198" s="1" t="str">
        <f t="shared" si="602"/>
        <v>天津锦城汽车电装有限公司</v>
      </c>
      <c r="B1198" s="1" t="str">
        <f>"一种线束胶套气密性检测工装"</f>
        <v>一种线束胶套气密性检测工装</v>
      </c>
      <c r="C1198" s="1" t="str">
        <f t="shared" si="595"/>
        <v>实用新型</v>
      </c>
      <c r="D1198" s="1" t="str">
        <f t="shared" si="603"/>
        <v>授权</v>
      </c>
      <c r="E1198" s="1" t="str">
        <f>"CN202222106113.2"</f>
        <v>CN202222106113.2</v>
      </c>
      <c r="F1198" s="1" t="str">
        <f t="shared" si="607"/>
        <v>2022-08-11</v>
      </c>
      <c r="G1198" s="1" t="str">
        <f>"CN218156725U"</f>
        <v>CN218156725U</v>
      </c>
      <c r="H1198" s="1" t="str">
        <f>"2022-12-27"</f>
        <v>2022-12-27</v>
      </c>
      <c r="I1198" s="1" t="str">
        <f t="shared" si="605"/>
        <v>周兴成</v>
      </c>
      <c r="J1198" s="1" t="str">
        <f t="shared" si="606"/>
        <v>天津锦城汽车电装有限公司</v>
      </c>
    </row>
    <row r="1199" spans="1:10">
      <c r="A1199" s="1" t="str">
        <f t="shared" si="602"/>
        <v>天津锦城汽车电装有限公司</v>
      </c>
      <c r="B1199" s="1" t="str">
        <f>"一种导线漏铜检测装置"</f>
        <v>一种导线漏铜检测装置</v>
      </c>
      <c r="C1199" s="1" t="str">
        <f t="shared" si="595"/>
        <v>实用新型</v>
      </c>
      <c r="D1199" s="1" t="str">
        <f t="shared" si="603"/>
        <v>授权</v>
      </c>
      <c r="E1199" s="1" t="str">
        <f>"CN202221792948.1"</f>
        <v>CN202221792948.1</v>
      </c>
      <c r="F1199" s="1" t="str">
        <f>"2022-07-13"</f>
        <v>2022-07-13</v>
      </c>
      <c r="G1199" s="1" t="str">
        <f>"CN217820902U"</f>
        <v>CN217820902U</v>
      </c>
      <c r="H1199" s="1" t="str">
        <f>"2022-11-15"</f>
        <v>2022-11-15</v>
      </c>
      <c r="I1199" s="1" t="str">
        <f>"杨婉"</f>
        <v>杨婉</v>
      </c>
      <c r="J1199" s="1" t="str">
        <f t="shared" si="606"/>
        <v>天津锦城汽车电装有限公司</v>
      </c>
    </row>
    <row r="1200" spans="1:10">
      <c r="A1200" s="1" t="str">
        <f t="shared" si="602"/>
        <v>天津锦城汽车电装有限公司</v>
      </c>
      <c r="B1200" s="1" t="str">
        <f>"一种用于高压屏蔽丝的绝缘装置"</f>
        <v>一种用于高压屏蔽丝的绝缘装置</v>
      </c>
      <c r="C1200" s="1" t="str">
        <f>"发明授权"</f>
        <v>发明授权</v>
      </c>
      <c r="D1200" s="1" t="str">
        <f t="shared" si="603"/>
        <v>授权</v>
      </c>
      <c r="E1200" s="1" t="str">
        <f>"CN201710318673.5"</f>
        <v>CN201710318673.5</v>
      </c>
      <c r="F1200" s="1" t="str">
        <f>"2017-05-08"</f>
        <v>2017-05-08</v>
      </c>
      <c r="G1200" s="1" t="str">
        <f>"CN107017063B"</f>
        <v>CN107017063B</v>
      </c>
      <c r="H1200" s="1" t="str">
        <f>"2022-11-15"</f>
        <v>2022-11-15</v>
      </c>
      <c r="I1200" s="1" t="str">
        <f>"王晓宇"</f>
        <v>王晓宇</v>
      </c>
      <c r="J1200" s="1" t="str">
        <f t="shared" si="606"/>
        <v>天津锦城汽车电装有限公司</v>
      </c>
    </row>
    <row r="1201" spans="1:10">
      <c r="A1201" s="1" t="str">
        <f t="shared" si="602"/>
        <v>天津锦城汽车电装有限公司</v>
      </c>
      <c r="B1201" s="1" t="str">
        <f>"一种汽车保险盒"</f>
        <v>一种汽车保险盒</v>
      </c>
      <c r="C1201" s="1" t="str">
        <f t="shared" ref="C1201:C1235" si="608">"实用新型"</f>
        <v>实用新型</v>
      </c>
      <c r="D1201" s="1" t="str">
        <f t="shared" si="603"/>
        <v>授权</v>
      </c>
      <c r="E1201" s="1" t="str">
        <f>"CN202221792911.9"</f>
        <v>CN202221792911.9</v>
      </c>
      <c r="F1201" s="1" t="str">
        <f>"2022-07-13"</f>
        <v>2022-07-13</v>
      </c>
      <c r="G1201" s="1" t="str">
        <f>"CN217655841U"</f>
        <v>CN217655841U</v>
      </c>
      <c r="H1201" s="1" t="str">
        <f>"2022-10-25"</f>
        <v>2022-10-25</v>
      </c>
      <c r="I1201" s="1" t="str">
        <f>"宋梓青"</f>
        <v>宋梓青</v>
      </c>
      <c r="J1201" s="1" t="str">
        <f t="shared" si="606"/>
        <v>天津锦城汽车电装有限公司</v>
      </c>
    </row>
    <row r="1202" spans="1:10">
      <c r="A1202" s="1" t="str">
        <f t="shared" si="602"/>
        <v>天津锦城汽车电装有限公司</v>
      </c>
      <c r="B1202" s="1" t="str">
        <f>"气密导通一体式工装"</f>
        <v>气密导通一体式工装</v>
      </c>
      <c r="C1202" s="1" t="str">
        <f t="shared" si="608"/>
        <v>实用新型</v>
      </c>
      <c r="D1202" s="1" t="str">
        <f t="shared" si="603"/>
        <v>授权</v>
      </c>
      <c r="E1202" s="1" t="str">
        <f>"CN202120074501.X"</f>
        <v>CN202120074501.X</v>
      </c>
      <c r="F1202" s="1" t="str">
        <f>"2021-01-12"</f>
        <v>2021-01-12</v>
      </c>
      <c r="G1202" s="1" t="str">
        <f>"CN214373130U"</f>
        <v>CN214373130U</v>
      </c>
      <c r="H1202" s="1" t="str">
        <f>"2021-10-08"</f>
        <v>2021-10-08</v>
      </c>
      <c r="I1202" s="1" t="str">
        <f t="shared" ref="I1202:I1225" si="609">"周兴成"</f>
        <v>周兴成</v>
      </c>
      <c r="J1202" s="1" t="str">
        <f t="shared" si="606"/>
        <v>天津锦城汽车电装有限公司</v>
      </c>
    </row>
    <row r="1203" spans="1:10">
      <c r="A1203" s="1" t="str">
        <f t="shared" si="602"/>
        <v>天津锦城汽车电装有限公司</v>
      </c>
      <c r="B1203" s="1" t="str">
        <f>"一种继电器保护壳"</f>
        <v>一种继电器保护壳</v>
      </c>
      <c r="C1203" s="1" t="str">
        <f t="shared" si="608"/>
        <v>实用新型</v>
      </c>
      <c r="D1203" s="1" t="str">
        <f t="shared" si="603"/>
        <v>授权</v>
      </c>
      <c r="E1203" s="1" t="str">
        <f>"CN202022469570.9"</f>
        <v>CN202022469570.9</v>
      </c>
      <c r="F1203" s="1" t="str">
        <f>"2020-10-30"</f>
        <v>2020-10-30</v>
      </c>
      <c r="G1203" s="1" t="str">
        <f>"CN214378225U"</f>
        <v>CN214378225U</v>
      </c>
      <c r="H1203" s="1" t="str">
        <f>"2021-10-08"</f>
        <v>2021-10-08</v>
      </c>
      <c r="I1203" s="1" t="str">
        <f t="shared" si="609"/>
        <v>周兴成</v>
      </c>
      <c r="J1203" s="1" t="str">
        <f t="shared" si="606"/>
        <v>天津锦城汽车电装有限公司</v>
      </c>
    </row>
    <row r="1204" spans="1:10">
      <c r="A1204" s="1" t="str">
        <f t="shared" si="602"/>
        <v>天津锦城汽车电装有限公司</v>
      </c>
      <c r="B1204" s="1" t="str">
        <f>"一种贴片式端子"</f>
        <v>一种贴片式端子</v>
      </c>
      <c r="C1204" s="1" t="str">
        <f t="shared" si="608"/>
        <v>实用新型</v>
      </c>
      <c r="D1204" s="1" t="str">
        <f t="shared" si="603"/>
        <v>授权</v>
      </c>
      <c r="E1204" s="1" t="str">
        <f>"CN202021473434.0"</f>
        <v>CN202021473434.0</v>
      </c>
      <c r="F1204" s="1" t="str">
        <f t="shared" ref="F1204:F1208" si="610">"2020-07-23"</f>
        <v>2020-07-23</v>
      </c>
      <c r="G1204" s="1" t="str">
        <f>"CN213484006U"</f>
        <v>CN213484006U</v>
      </c>
      <c r="H1204" s="1" t="str">
        <f>"2021-06-18"</f>
        <v>2021-06-18</v>
      </c>
      <c r="I1204" s="1" t="str">
        <f t="shared" si="609"/>
        <v>周兴成</v>
      </c>
      <c r="J1204" s="1" t="str">
        <f t="shared" si="606"/>
        <v>天津锦城汽车电装有限公司</v>
      </c>
    </row>
    <row r="1205" spans="1:10">
      <c r="A1205" s="1" t="str">
        <f t="shared" si="602"/>
        <v>天津锦城汽车电装有限公司</v>
      </c>
      <c r="B1205" s="1" t="str">
        <f>"一种用来豁开波纹管的工装"</f>
        <v>一种用来豁开波纹管的工装</v>
      </c>
      <c r="C1205" s="1" t="str">
        <f t="shared" si="608"/>
        <v>实用新型</v>
      </c>
      <c r="D1205" s="1" t="str">
        <f t="shared" si="603"/>
        <v>授权</v>
      </c>
      <c r="E1205" s="1" t="str">
        <f>"CN202021475245.7"</f>
        <v>CN202021475245.7</v>
      </c>
      <c r="F1205" s="1" t="str">
        <f t="shared" si="610"/>
        <v>2020-07-23</v>
      </c>
      <c r="G1205" s="1" t="str">
        <f>"CN213469742U"</f>
        <v>CN213469742U</v>
      </c>
      <c r="H1205" s="1" t="str">
        <f>"2021-06-18"</f>
        <v>2021-06-18</v>
      </c>
      <c r="I1205" s="1" t="str">
        <f t="shared" si="609"/>
        <v>周兴成</v>
      </c>
      <c r="J1205" s="1" t="str">
        <f t="shared" si="606"/>
        <v>天津锦城汽车电装有限公司</v>
      </c>
    </row>
    <row r="1206" spans="1:10">
      <c r="A1206" s="1" t="str">
        <f t="shared" si="602"/>
        <v>天津锦城汽车电装有限公司</v>
      </c>
      <c r="B1206" s="1" t="str">
        <f>"一种用来做气密测试的工装"</f>
        <v>一种用来做气密测试的工装</v>
      </c>
      <c r="C1206" s="1" t="str">
        <f t="shared" si="608"/>
        <v>实用新型</v>
      </c>
      <c r="D1206" s="1" t="str">
        <f t="shared" si="603"/>
        <v>授权</v>
      </c>
      <c r="E1206" s="1" t="str">
        <f>"CN202021475243.8"</f>
        <v>CN202021475243.8</v>
      </c>
      <c r="F1206" s="1" t="str">
        <f t="shared" si="610"/>
        <v>2020-07-23</v>
      </c>
      <c r="G1206" s="1" t="str">
        <f>"CN213091076U"</f>
        <v>CN213091076U</v>
      </c>
      <c r="H1206" s="1" t="str">
        <f t="shared" ref="H1206:H1208" si="611">"2021-04-30"</f>
        <v>2021-04-30</v>
      </c>
      <c r="I1206" s="1" t="str">
        <f t="shared" si="609"/>
        <v>周兴成</v>
      </c>
      <c r="J1206" s="1" t="str">
        <f t="shared" si="606"/>
        <v>天津锦城汽车电装有限公司</v>
      </c>
    </row>
    <row r="1207" spans="1:10">
      <c r="A1207" s="1" t="str">
        <f t="shared" si="602"/>
        <v>天津锦城汽车电装有限公司</v>
      </c>
      <c r="B1207" s="1" t="str">
        <f>"一种汽车线束防水密封塞"</f>
        <v>一种汽车线束防水密封塞</v>
      </c>
      <c r="C1207" s="1" t="str">
        <f t="shared" si="608"/>
        <v>实用新型</v>
      </c>
      <c r="D1207" s="1" t="str">
        <f t="shared" si="603"/>
        <v>授权</v>
      </c>
      <c r="E1207" s="1" t="str">
        <f>"CN202021471249.8"</f>
        <v>CN202021471249.8</v>
      </c>
      <c r="F1207" s="1" t="str">
        <f t="shared" si="610"/>
        <v>2020-07-23</v>
      </c>
      <c r="G1207" s="1" t="str">
        <f>"CN213093813U"</f>
        <v>CN213093813U</v>
      </c>
      <c r="H1207" s="1" t="str">
        <f t="shared" si="611"/>
        <v>2021-04-30</v>
      </c>
      <c r="I1207" s="1" t="str">
        <f t="shared" si="609"/>
        <v>周兴成</v>
      </c>
      <c r="J1207" s="1" t="str">
        <f t="shared" si="606"/>
        <v>天津锦城汽车电装有限公司</v>
      </c>
    </row>
    <row r="1208" spans="1:10">
      <c r="A1208" s="1" t="str">
        <f t="shared" si="602"/>
        <v>天津锦城汽车电装有限公司</v>
      </c>
      <c r="B1208" s="1" t="str">
        <f>"一种用于钣金空间的卡扣"</f>
        <v>一种用于钣金空间的卡扣</v>
      </c>
      <c r="C1208" s="1" t="str">
        <f t="shared" si="608"/>
        <v>实用新型</v>
      </c>
      <c r="D1208" s="1" t="str">
        <f t="shared" si="603"/>
        <v>授权</v>
      </c>
      <c r="E1208" s="1" t="str">
        <f>"CN202021475642.4"</f>
        <v>CN202021475642.4</v>
      </c>
      <c r="F1208" s="1" t="str">
        <f t="shared" si="610"/>
        <v>2020-07-23</v>
      </c>
      <c r="G1208" s="1" t="str">
        <f>"CN213093764U"</f>
        <v>CN213093764U</v>
      </c>
      <c r="H1208" s="1" t="str">
        <f t="shared" si="611"/>
        <v>2021-04-30</v>
      </c>
      <c r="I1208" s="1" t="str">
        <f t="shared" si="609"/>
        <v>周兴成</v>
      </c>
      <c r="J1208" s="1" t="str">
        <f t="shared" si="606"/>
        <v>天津锦城汽车电装有限公司</v>
      </c>
    </row>
    <row r="1209" spans="1:10">
      <c r="A1209" s="1" t="str">
        <f t="shared" si="602"/>
        <v>天津锦城汽车电装有限公司</v>
      </c>
      <c r="B1209" s="1" t="str">
        <f>"一种同时采集电压和温度的集成端子"</f>
        <v>一种同时采集电压和温度的集成端子</v>
      </c>
      <c r="C1209" s="1" t="str">
        <f t="shared" si="608"/>
        <v>实用新型</v>
      </c>
      <c r="D1209" s="1" t="str">
        <f t="shared" si="603"/>
        <v>授权</v>
      </c>
      <c r="E1209" s="1" t="str">
        <f>"CN201922404315.3"</f>
        <v>CN201922404315.3</v>
      </c>
      <c r="F1209" s="1" t="str">
        <f t="shared" ref="F1209:F1215" si="612">"2019-12-27"</f>
        <v>2019-12-27</v>
      </c>
      <c r="G1209" s="1" t="str">
        <f>"CN211955753U"</f>
        <v>CN211955753U</v>
      </c>
      <c r="H1209" s="1" t="str">
        <f>"2020-11-17"</f>
        <v>2020-11-17</v>
      </c>
      <c r="I1209" s="1" t="str">
        <f t="shared" si="609"/>
        <v>周兴成</v>
      </c>
      <c r="J1209" s="1" t="str">
        <f t="shared" si="606"/>
        <v>天津锦城汽车电装有限公司</v>
      </c>
    </row>
    <row r="1210" spans="1:10">
      <c r="A1210" s="1" t="str">
        <f t="shared" si="602"/>
        <v>天津锦城汽车电装有限公司</v>
      </c>
      <c r="B1210" s="1" t="str">
        <f>"一种线束加工过程的防错工装"</f>
        <v>一种线束加工过程的防错工装</v>
      </c>
      <c r="C1210" s="1" t="str">
        <f t="shared" si="608"/>
        <v>实用新型</v>
      </c>
      <c r="D1210" s="1" t="str">
        <f t="shared" si="603"/>
        <v>授权</v>
      </c>
      <c r="E1210" s="1" t="str">
        <f>"CN201922404371.7"</f>
        <v>CN201922404371.7</v>
      </c>
      <c r="F1210" s="1" t="str">
        <f t="shared" si="612"/>
        <v>2019-12-27</v>
      </c>
      <c r="G1210" s="1" t="str">
        <f>"CN211940702U"</f>
        <v>CN211940702U</v>
      </c>
      <c r="H1210" s="1" t="str">
        <f>"2020-11-17"</f>
        <v>2020-11-17</v>
      </c>
      <c r="I1210" s="1" t="str">
        <f t="shared" si="609"/>
        <v>周兴成</v>
      </c>
      <c r="J1210" s="1" t="str">
        <f t="shared" si="606"/>
        <v>天津锦城汽车电装有限公司</v>
      </c>
    </row>
    <row r="1211" spans="1:10">
      <c r="A1211" s="1" t="str">
        <f t="shared" si="602"/>
        <v>天津锦城汽车电装有限公司</v>
      </c>
      <c r="B1211" s="1" t="str">
        <f>"一种高压线缆屏蔽件"</f>
        <v>一种高压线缆屏蔽件</v>
      </c>
      <c r="C1211" s="1" t="str">
        <f t="shared" si="608"/>
        <v>实用新型</v>
      </c>
      <c r="D1211" s="1" t="str">
        <f t="shared" si="603"/>
        <v>授权</v>
      </c>
      <c r="E1211" s="1" t="str">
        <f>"CN201922404367.0"</f>
        <v>CN201922404367.0</v>
      </c>
      <c r="F1211" s="1" t="str">
        <f t="shared" si="612"/>
        <v>2019-12-27</v>
      </c>
      <c r="G1211" s="1" t="str">
        <f>"CN211480364U"</f>
        <v>CN211480364U</v>
      </c>
      <c r="H1211" s="1" t="str">
        <f t="shared" ref="H1211:H1215" si="613">"2020-09-11"</f>
        <v>2020-09-11</v>
      </c>
      <c r="I1211" s="1" t="str">
        <f t="shared" si="609"/>
        <v>周兴成</v>
      </c>
      <c r="J1211" s="1" t="str">
        <f t="shared" si="606"/>
        <v>天津锦城汽车电装有限公司</v>
      </c>
    </row>
    <row r="1212" spans="1:10">
      <c r="A1212" s="1" t="str">
        <f t="shared" si="602"/>
        <v>天津锦城汽车电装有限公司</v>
      </c>
      <c r="B1212" s="1" t="str">
        <f>"一种新型检测屏蔽环的工装"</f>
        <v>一种新型检测屏蔽环的工装</v>
      </c>
      <c r="C1212" s="1" t="str">
        <f t="shared" si="608"/>
        <v>实用新型</v>
      </c>
      <c r="D1212" s="1" t="str">
        <f t="shared" si="603"/>
        <v>授权</v>
      </c>
      <c r="E1212" s="1" t="str">
        <f>"CN201922442588.7"</f>
        <v>CN201922442588.7</v>
      </c>
      <c r="F1212" s="1" t="str">
        <f t="shared" si="612"/>
        <v>2019-12-27</v>
      </c>
      <c r="G1212" s="1" t="str">
        <f>"CN211476912U"</f>
        <v>CN211476912U</v>
      </c>
      <c r="H1212" s="1" t="str">
        <f t="shared" si="613"/>
        <v>2020-09-11</v>
      </c>
      <c r="I1212" s="1" t="str">
        <f t="shared" si="609"/>
        <v>周兴成</v>
      </c>
      <c r="J1212" s="1" t="str">
        <f t="shared" si="606"/>
        <v>天津锦城汽车电装有限公司</v>
      </c>
    </row>
    <row r="1213" spans="1:10">
      <c r="A1213" s="1" t="str">
        <f t="shared" si="602"/>
        <v>天津锦城汽车电装有限公司</v>
      </c>
      <c r="B1213" s="1" t="str">
        <f>"一种端子盘的存放装置"</f>
        <v>一种端子盘的存放装置</v>
      </c>
      <c r="C1213" s="1" t="str">
        <f t="shared" si="608"/>
        <v>实用新型</v>
      </c>
      <c r="D1213" s="1" t="str">
        <f t="shared" si="603"/>
        <v>授权</v>
      </c>
      <c r="E1213" s="1" t="str">
        <f>"CN201922418029.2"</f>
        <v>CN201922418029.2</v>
      </c>
      <c r="F1213" s="1" t="str">
        <f t="shared" si="612"/>
        <v>2019-12-27</v>
      </c>
      <c r="G1213" s="1" t="str">
        <f>"CN211466341U"</f>
        <v>CN211466341U</v>
      </c>
      <c r="H1213" s="1" t="str">
        <f t="shared" si="613"/>
        <v>2020-09-11</v>
      </c>
      <c r="I1213" s="1" t="str">
        <f t="shared" si="609"/>
        <v>周兴成</v>
      </c>
      <c r="J1213" s="1" t="str">
        <f t="shared" si="606"/>
        <v>天津锦城汽车电装有限公司</v>
      </c>
    </row>
    <row r="1214" spans="1:10">
      <c r="A1214" s="1" t="str">
        <f t="shared" si="602"/>
        <v>天津锦城汽车电装有限公司</v>
      </c>
      <c r="B1214" s="1" t="str">
        <f>"一种汽车线束接插件晾胶用架体"</f>
        <v>一种汽车线束接插件晾胶用架体</v>
      </c>
      <c r="C1214" s="1" t="str">
        <f t="shared" si="608"/>
        <v>实用新型</v>
      </c>
      <c r="D1214" s="1" t="str">
        <f t="shared" si="603"/>
        <v>授权</v>
      </c>
      <c r="E1214" s="1" t="str">
        <f>"CN201922404346.9"</f>
        <v>CN201922404346.9</v>
      </c>
      <c r="F1214" s="1" t="str">
        <f t="shared" si="612"/>
        <v>2019-12-27</v>
      </c>
      <c r="G1214" s="1" t="str">
        <f>"CN211476646U"</f>
        <v>CN211476646U</v>
      </c>
      <c r="H1214" s="1" t="str">
        <f t="shared" si="613"/>
        <v>2020-09-11</v>
      </c>
      <c r="I1214" s="1" t="str">
        <f t="shared" si="609"/>
        <v>周兴成</v>
      </c>
      <c r="J1214" s="1" t="str">
        <f t="shared" si="606"/>
        <v>天津锦城汽车电装有限公司</v>
      </c>
    </row>
    <row r="1215" spans="1:10">
      <c r="A1215" s="1" t="str">
        <f t="shared" si="602"/>
        <v>天津锦城汽车电装有限公司</v>
      </c>
      <c r="B1215" s="1" t="str">
        <f>"一种防水堵辅助安装装置"</f>
        <v>一种防水堵辅助安装装置</v>
      </c>
      <c r="C1215" s="1" t="str">
        <f t="shared" si="608"/>
        <v>实用新型</v>
      </c>
      <c r="D1215" s="1" t="str">
        <f t="shared" si="603"/>
        <v>授权</v>
      </c>
      <c r="E1215" s="1" t="str">
        <f>"CN201922404259.3"</f>
        <v>CN201922404259.3</v>
      </c>
      <c r="F1215" s="1" t="str">
        <f t="shared" si="612"/>
        <v>2019-12-27</v>
      </c>
      <c r="G1215" s="1" t="str">
        <f>"CN211479762U"</f>
        <v>CN211479762U</v>
      </c>
      <c r="H1215" s="1" t="str">
        <f t="shared" si="613"/>
        <v>2020-09-11</v>
      </c>
      <c r="I1215" s="1" t="str">
        <f t="shared" si="609"/>
        <v>周兴成</v>
      </c>
      <c r="J1215" s="1" t="str">
        <f t="shared" si="606"/>
        <v>天津锦城汽车电装有限公司</v>
      </c>
    </row>
    <row r="1216" spans="1:10">
      <c r="A1216" s="1" t="str">
        <f t="shared" si="602"/>
        <v>天津锦城汽车电装有限公司</v>
      </c>
      <c r="B1216" s="1" t="str">
        <f>"一种电子线束防水密封塞"</f>
        <v>一种电子线束防水密封塞</v>
      </c>
      <c r="C1216" s="1" t="str">
        <f t="shared" si="608"/>
        <v>实用新型</v>
      </c>
      <c r="D1216" s="1" t="str">
        <f t="shared" si="603"/>
        <v>授权</v>
      </c>
      <c r="E1216" s="1" t="str">
        <f>"CN201920697781.2"</f>
        <v>CN201920697781.2</v>
      </c>
      <c r="F1216" s="1" t="str">
        <f t="shared" ref="F1216:F1220" si="614">"2019-05-14"</f>
        <v>2019-05-14</v>
      </c>
      <c r="G1216" s="1" t="str">
        <f>"CN209860237U"</f>
        <v>CN209860237U</v>
      </c>
      <c r="H1216" s="1" t="str">
        <f t="shared" ref="H1216:H1220" si="615">"2019-12-27"</f>
        <v>2019-12-27</v>
      </c>
      <c r="I1216" s="1" t="str">
        <f t="shared" si="609"/>
        <v>周兴成</v>
      </c>
      <c r="J1216" s="1" t="str">
        <f t="shared" si="606"/>
        <v>天津锦城汽车电装有限公司</v>
      </c>
    </row>
    <row r="1217" spans="1:10">
      <c r="A1217" s="1" t="str">
        <f t="shared" si="602"/>
        <v>天津锦城汽车电装有限公司</v>
      </c>
      <c r="B1217" s="1" t="str">
        <f>"一种用于接插件锁止的工装"</f>
        <v>一种用于接插件锁止的工装</v>
      </c>
      <c r="C1217" s="1" t="str">
        <f t="shared" si="608"/>
        <v>实用新型</v>
      </c>
      <c r="D1217" s="1" t="str">
        <f t="shared" si="603"/>
        <v>授权</v>
      </c>
      <c r="E1217" s="1" t="str">
        <f>"CN201920686000.X"</f>
        <v>CN201920686000.X</v>
      </c>
      <c r="F1217" s="1" t="str">
        <f t="shared" si="614"/>
        <v>2019-05-14</v>
      </c>
      <c r="G1217" s="1" t="str">
        <f>"CN209860332U"</f>
        <v>CN209860332U</v>
      </c>
      <c r="H1217" s="1" t="str">
        <f t="shared" si="615"/>
        <v>2019-12-27</v>
      </c>
      <c r="I1217" s="1" t="str">
        <f t="shared" si="609"/>
        <v>周兴成</v>
      </c>
      <c r="J1217" s="1" t="str">
        <f t="shared" si="606"/>
        <v>天津锦城汽车电装有限公司</v>
      </c>
    </row>
    <row r="1218" spans="1:10">
      <c r="A1218" s="1" t="str">
        <f t="shared" si="602"/>
        <v>天津锦城汽车电装有限公司</v>
      </c>
      <c r="B1218" s="1" t="str">
        <f>"一种导通组立板"</f>
        <v>一种导通组立板</v>
      </c>
      <c r="C1218" s="1" t="str">
        <f t="shared" si="608"/>
        <v>实用新型</v>
      </c>
      <c r="D1218" s="1" t="str">
        <f t="shared" si="603"/>
        <v>授权</v>
      </c>
      <c r="E1218" s="1" t="str">
        <f>"CN201920694062.5"</f>
        <v>CN201920694062.5</v>
      </c>
      <c r="F1218" s="1" t="str">
        <f t="shared" si="614"/>
        <v>2019-05-14</v>
      </c>
      <c r="G1218" s="1" t="str">
        <f>"CN209859692U"</f>
        <v>CN209859692U</v>
      </c>
      <c r="H1218" s="1" t="str">
        <f t="shared" si="615"/>
        <v>2019-12-27</v>
      </c>
      <c r="I1218" s="1" t="str">
        <f t="shared" si="609"/>
        <v>周兴成</v>
      </c>
      <c r="J1218" s="1" t="str">
        <f t="shared" si="606"/>
        <v>天津锦城汽车电装有限公司</v>
      </c>
    </row>
    <row r="1219" spans="1:10">
      <c r="A1219" s="1" t="str">
        <f t="shared" si="602"/>
        <v>天津锦城汽车电装有限公司</v>
      </c>
      <c r="B1219" s="1" t="str">
        <f>"一种防水护套"</f>
        <v>一种防水护套</v>
      </c>
      <c r="C1219" s="1" t="str">
        <f t="shared" si="608"/>
        <v>实用新型</v>
      </c>
      <c r="D1219" s="1" t="str">
        <f t="shared" si="603"/>
        <v>授权</v>
      </c>
      <c r="E1219" s="1" t="str">
        <f>"CN201920697782.7"</f>
        <v>CN201920697782.7</v>
      </c>
      <c r="F1219" s="1" t="str">
        <f t="shared" si="614"/>
        <v>2019-05-14</v>
      </c>
      <c r="G1219" s="1" t="str">
        <f>"CN209860221U"</f>
        <v>CN209860221U</v>
      </c>
      <c r="H1219" s="1" t="str">
        <f t="shared" si="615"/>
        <v>2019-12-27</v>
      </c>
      <c r="I1219" s="1" t="str">
        <f t="shared" si="609"/>
        <v>周兴成</v>
      </c>
      <c r="J1219" s="1" t="str">
        <f t="shared" si="606"/>
        <v>天津锦城汽车电装有限公司</v>
      </c>
    </row>
    <row r="1220" spans="1:10">
      <c r="A1220" s="1" t="str">
        <f t="shared" si="602"/>
        <v>天津锦城汽车电装有限公司</v>
      </c>
      <c r="B1220" s="1" t="str">
        <f>"一种孔式端子"</f>
        <v>一种孔式端子</v>
      </c>
      <c r="C1220" s="1" t="str">
        <f t="shared" si="608"/>
        <v>实用新型</v>
      </c>
      <c r="D1220" s="1" t="str">
        <f t="shared" si="603"/>
        <v>授权</v>
      </c>
      <c r="E1220" s="1" t="str">
        <f>"CN201920685977.X"</f>
        <v>CN201920685977.X</v>
      </c>
      <c r="F1220" s="1" t="str">
        <f t="shared" si="614"/>
        <v>2019-05-14</v>
      </c>
      <c r="G1220" s="1" t="str">
        <f>"CN209860176U"</f>
        <v>CN209860176U</v>
      </c>
      <c r="H1220" s="1" t="str">
        <f t="shared" si="615"/>
        <v>2019-12-27</v>
      </c>
      <c r="I1220" s="1" t="str">
        <f t="shared" si="609"/>
        <v>周兴成</v>
      </c>
      <c r="J1220" s="1" t="str">
        <f t="shared" si="606"/>
        <v>天津锦城汽车电装有限公司</v>
      </c>
    </row>
    <row r="1221" spans="1:10">
      <c r="A1221" s="1" t="str">
        <f t="shared" si="602"/>
        <v>天津锦城汽车电装有限公司</v>
      </c>
      <c r="B1221" s="1" t="str">
        <f>"一种新能源汽车用线束防水密封件"</f>
        <v>一种新能源汽车用线束防水密封件</v>
      </c>
      <c r="C1221" s="1" t="str">
        <f t="shared" si="608"/>
        <v>实用新型</v>
      </c>
      <c r="D1221" s="1" t="str">
        <f t="shared" si="603"/>
        <v>授权</v>
      </c>
      <c r="E1221" s="1" t="str">
        <f>"CN201721874055.0"</f>
        <v>CN201721874055.0</v>
      </c>
      <c r="F1221" s="1" t="str">
        <f t="shared" ref="F1221:F1225" si="616">"2017-12-27"</f>
        <v>2017-12-27</v>
      </c>
      <c r="G1221" s="1" t="str">
        <f>"CN207725225U"</f>
        <v>CN207725225U</v>
      </c>
      <c r="H1221" s="1" t="str">
        <f>"2018-08-14"</f>
        <v>2018-08-14</v>
      </c>
      <c r="I1221" s="1" t="str">
        <f t="shared" si="609"/>
        <v>周兴成</v>
      </c>
      <c r="J1221" s="1" t="str">
        <f t="shared" si="606"/>
        <v>天津锦城汽车电装有限公司</v>
      </c>
    </row>
    <row r="1222" spans="1:10">
      <c r="A1222" s="1" t="str">
        <f t="shared" si="602"/>
        <v>天津锦城汽车电装有限公司</v>
      </c>
      <c r="B1222" s="1" t="str">
        <f>"一种通讯口插座线束"</f>
        <v>一种通讯口插座线束</v>
      </c>
      <c r="C1222" s="1" t="str">
        <f t="shared" si="608"/>
        <v>实用新型</v>
      </c>
      <c r="D1222" s="1" t="str">
        <f t="shared" si="603"/>
        <v>授权</v>
      </c>
      <c r="E1222" s="1" t="str">
        <f>"CN201721874020.7"</f>
        <v>CN201721874020.7</v>
      </c>
      <c r="F1222" s="1" t="str">
        <f t="shared" si="616"/>
        <v>2017-12-27</v>
      </c>
      <c r="G1222" s="1" t="str">
        <f>"CN207691092U"</f>
        <v>CN207691092U</v>
      </c>
      <c r="H1222" s="1" t="str">
        <f t="shared" ref="H1222:H1225" si="617">"2018-08-03"</f>
        <v>2018-08-03</v>
      </c>
      <c r="I1222" s="1" t="str">
        <f t="shared" si="609"/>
        <v>周兴成</v>
      </c>
      <c r="J1222" s="1" t="str">
        <f t="shared" si="606"/>
        <v>天津锦城汽车电装有限公司</v>
      </c>
    </row>
    <row r="1223" spans="1:10">
      <c r="A1223" s="1" t="str">
        <f t="shared" si="602"/>
        <v>天津锦城汽车电装有限公司</v>
      </c>
      <c r="B1223" s="1" t="str">
        <f>"一种配电箱插件线束"</f>
        <v>一种配电箱插件线束</v>
      </c>
      <c r="C1223" s="1" t="str">
        <f t="shared" si="608"/>
        <v>实用新型</v>
      </c>
      <c r="D1223" s="1" t="str">
        <f t="shared" si="603"/>
        <v>授权</v>
      </c>
      <c r="E1223" s="1" t="str">
        <f>"CN201721867962.2"</f>
        <v>CN201721867962.2</v>
      </c>
      <c r="F1223" s="1" t="str">
        <f t="shared" si="616"/>
        <v>2017-12-27</v>
      </c>
      <c r="G1223" s="1" t="str">
        <f>"CN207691321U"</f>
        <v>CN207691321U</v>
      </c>
      <c r="H1223" s="1" t="str">
        <f t="shared" si="617"/>
        <v>2018-08-03</v>
      </c>
      <c r="I1223" s="1" t="str">
        <f t="shared" si="609"/>
        <v>周兴成</v>
      </c>
      <c r="J1223" s="1" t="str">
        <f t="shared" si="606"/>
        <v>天津锦城汽车电装有限公司</v>
      </c>
    </row>
    <row r="1224" spans="1:10">
      <c r="A1224" s="1" t="str">
        <f t="shared" si="602"/>
        <v>天津锦城汽车电装有限公司</v>
      </c>
      <c r="B1224" s="1" t="str">
        <f>"一种汽车保险杆线束卡座"</f>
        <v>一种汽车保险杆线束卡座</v>
      </c>
      <c r="C1224" s="1" t="str">
        <f t="shared" si="608"/>
        <v>实用新型</v>
      </c>
      <c r="D1224" s="1" t="str">
        <f t="shared" si="603"/>
        <v>授权</v>
      </c>
      <c r="E1224" s="1" t="str">
        <f>"CN201721874063.5"</f>
        <v>CN201721874063.5</v>
      </c>
      <c r="F1224" s="1" t="str">
        <f t="shared" si="616"/>
        <v>2017-12-27</v>
      </c>
      <c r="G1224" s="1" t="str">
        <f>"CN207691340U"</f>
        <v>CN207691340U</v>
      </c>
      <c r="H1224" s="1" t="str">
        <f t="shared" si="617"/>
        <v>2018-08-03</v>
      </c>
      <c r="I1224" s="1" t="str">
        <f t="shared" si="609"/>
        <v>周兴成</v>
      </c>
      <c r="J1224" s="1" t="str">
        <f t="shared" si="606"/>
        <v>天津锦城汽车电装有限公司</v>
      </c>
    </row>
    <row r="1225" spans="1:10">
      <c r="A1225" s="1" t="str">
        <f t="shared" si="602"/>
        <v>天津锦城汽车电装有限公司</v>
      </c>
      <c r="B1225" s="1" t="str">
        <f>"一种高压检测口插座线束"</f>
        <v>一种高压检测口插座线束</v>
      </c>
      <c r="C1225" s="1" t="str">
        <f t="shared" si="608"/>
        <v>实用新型</v>
      </c>
      <c r="D1225" s="1" t="str">
        <f t="shared" si="603"/>
        <v>授权</v>
      </c>
      <c r="E1225" s="1" t="str">
        <f>"CN201721874065.4"</f>
        <v>CN201721874065.4</v>
      </c>
      <c r="F1225" s="1" t="str">
        <f t="shared" si="616"/>
        <v>2017-12-27</v>
      </c>
      <c r="G1225" s="1" t="str">
        <f>"CN207691341U"</f>
        <v>CN207691341U</v>
      </c>
      <c r="H1225" s="1" t="str">
        <f t="shared" si="617"/>
        <v>2018-08-03</v>
      </c>
      <c r="I1225" s="1" t="str">
        <f t="shared" si="609"/>
        <v>周兴成</v>
      </c>
      <c r="J1225" s="1" t="str">
        <f t="shared" si="606"/>
        <v>天津锦城汽车电装有限公司</v>
      </c>
    </row>
    <row r="1226" spans="1:10">
      <c r="A1226" s="1" t="str">
        <f t="shared" si="602"/>
        <v>天津锦城汽车电装有限公司</v>
      </c>
      <c r="B1226" s="1" t="str">
        <f>"一种组合式电装线束"</f>
        <v>一种组合式电装线束</v>
      </c>
      <c r="C1226" s="1" t="str">
        <f t="shared" si="608"/>
        <v>实用新型</v>
      </c>
      <c r="D1226" s="1" t="str">
        <f t="shared" si="603"/>
        <v>授权</v>
      </c>
      <c r="E1226" s="1" t="str">
        <f>"CN201720876484.5"</f>
        <v>CN201720876484.5</v>
      </c>
      <c r="F1226" s="1" t="str">
        <f t="shared" ref="F1226:F1230" si="618">"2017-07-18"</f>
        <v>2017-07-18</v>
      </c>
      <c r="G1226" s="1" t="str">
        <f>"CN207010130U"</f>
        <v>CN207010130U</v>
      </c>
      <c r="H1226" s="1" t="str">
        <f t="shared" ref="H1226:H1230" si="619">"2018-02-13"</f>
        <v>2018-02-13</v>
      </c>
      <c r="I1226" s="1" t="str">
        <f>"宋玮"</f>
        <v>宋玮</v>
      </c>
      <c r="J1226" s="1" t="str">
        <f t="shared" si="606"/>
        <v>天津锦城汽车电装有限公司</v>
      </c>
    </row>
    <row r="1227" spans="1:10">
      <c r="A1227" s="1" t="str">
        <f t="shared" si="602"/>
        <v>天津锦城汽车电装有限公司</v>
      </c>
      <c r="B1227" s="1" t="str">
        <f>"一种自锁防脱式汽车用线束"</f>
        <v>一种自锁防脱式汽车用线束</v>
      </c>
      <c r="C1227" s="1" t="str">
        <f t="shared" si="608"/>
        <v>实用新型</v>
      </c>
      <c r="D1227" s="1" t="str">
        <f t="shared" si="603"/>
        <v>授权</v>
      </c>
      <c r="E1227" s="1" t="str">
        <f>"CN201720876045.4"</f>
        <v>CN201720876045.4</v>
      </c>
      <c r="F1227" s="1" t="str">
        <f t="shared" si="618"/>
        <v>2017-07-18</v>
      </c>
      <c r="G1227" s="1" t="str">
        <f>"CN207000360U"</f>
        <v>CN207000360U</v>
      </c>
      <c r="H1227" s="1" t="str">
        <f t="shared" si="619"/>
        <v>2018-02-13</v>
      </c>
      <c r="I1227" s="1" t="str">
        <f>"吴占刚"</f>
        <v>吴占刚</v>
      </c>
      <c r="J1227" s="1" t="str">
        <f t="shared" si="606"/>
        <v>天津锦城汽车电装有限公司</v>
      </c>
    </row>
    <row r="1228" spans="1:10">
      <c r="A1228" s="1" t="str">
        <f t="shared" si="602"/>
        <v>天津锦城汽车电装有限公司</v>
      </c>
      <c r="B1228" s="1" t="str">
        <f>"一种易穿套的压缩线束"</f>
        <v>一种易穿套的压缩线束</v>
      </c>
      <c r="C1228" s="1" t="str">
        <f t="shared" si="608"/>
        <v>实用新型</v>
      </c>
      <c r="D1228" s="1" t="str">
        <f t="shared" si="603"/>
        <v>授权</v>
      </c>
      <c r="E1228" s="1" t="str">
        <f>"CN201720875862.8"</f>
        <v>CN201720875862.8</v>
      </c>
      <c r="F1228" s="1" t="str">
        <f t="shared" si="618"/>
        <v>2017-07-18</v>
      </c>
      <c r="G1228" s="1" t="str">
        <f>"CN207010129U"</f>
        <v>CN207010129U</v>
      </c>
      <c r="H1228" s="1" t="str">
        <f t="shared" si="619"/>
        <v>2018-02-13</v>
      </c>
      <c r="I1228" s="1" t="str">
        <f>"杨杰"</f>
        <v>杨杰</v>
      </c>
      <c r="J1228" s="1" t="str">
        <f t="shared" si="606"/>
        <v>天津锦城汽车电装有限公司</v>
      </c>
    </row>
    <row r="1229" spans="1:10">
      <c r="A1229" s="1" t="str">
        <f t="shared" si="602"/>
        <v>天津锦城汽车电装有限公司</v>
      </c>
      <c r="B1229" s="1" t="str">
        <f>"一种用于航空线束的压装端子定位装置"</f>
        <v>一种用于航空线束的压装端子定位装置</v>
      </c>
      <c r="C1229" s="1" t="str">
        <f t="shared" si="608"/>
        <v>实用新型</v>
      </c>
      <c r="D1229" s="1" t="str">
        <f t="shared" si="603"/>
        <v>授权</v>
      </c>
      <c r="E1229" s="1" t="str">
        <f>"CN201720875861.3"</f>
        <v>CN201720875861.3</v>
      </c>
      <c r="F1229" s="1" t="str">
        <f t="shared" si="618"/>
        <v>2017-07-18</v>
      </c>
      <c r="G1229" s="1" t="str">
        <f>"CN207009870U"</f>
        <v>CN207009870U</v>
      </c>
      <c r="H1229" s="1" t="str">
        <f t="shared" si="619"/>
        <v>2018-02-13</v>
      </c>
      <c r="I1229" s="1" t="str">
        <f>"管新悦"</f>
        <v>管新悦</v>
      </c>
      <c r="J1229" s="1" t="str">
        <f t="shared" si="606"/>
        <v>天津锦城汽车电装有限公司</v>
      </c>
    </row>
    <row r="1230" spans="1:10">
      <c r="A1230" s="1" t="str">
        <f t="shared" si="602"/>
        <v>天津锦城汽车电装有限公司</v>
      </c>
      <c r="B1230" s="1" t="str">
        <f>"一种新型线束"</f>
        <v>一种新型线束</v>
      </c>
      <c r="C1230" s="1" t="str">
        <f t="shared" si="608"/>
        <v>实用新型</v>
      </c>
      <c r="D1230" s="1" t="str">
        <f t="shared" si="603"/>
        <v>授权</v>
      </c>
      <c r="E1230" s="1" t="str">
        <f>"CN201720876506.8"</f>
        <v>CN201720876506.8</v>
      </c>
      <c r="F1230" s="1" t="str">
        <f t="shared" si="618"/>
        <v>2017-07-18</v>
      </c>
      <c r="G1230" s="1" t="str">
        <f>"CN207010119U"</f>
        <v>CN207010119U</v>
      </c>
      <c r="H1230" s="1" t="str">
        <f t="shared" si="619"/>
        <v>2018-02-13</v>
      </c>
      <c r="I1230" s="1" t="str">
        <f>"旋艳召"</f>
        <v>旋艳召</v>
      </c>
      <c r="J1230" s="1" t="str">
        <f t="shared" si="606"/>
        <v>天津锦城汽车电装有限公司</v>
      </c>
    </row>
    <row r="1231" spans="1:10">
      <c r="A1231" s="1" t="str">
        <f t="shared" si="602"/>
        <v>天津锦城汽车电装有限公司</v>
      </c>
      <c r="B1231" s="1" t="str">
        <f>"一种便于线束装配的电子元件"</f>
        <v>一种便于线束装配的电子元件</v>
      </c>
      <c r="C1231" s="1" t="str">
        <f t="shared" si="608"/>
        <v>实用新型</v>
      </c>
      <c r="D1231" s="1" t="str">
        <f t="shared" si="603"/>
        <v>授权</v>
      </c>
      <c r="E1231" s="1" t="str">
        <f>"CN201720504373.1"</f>
        <v>CN201720504373.1</v>
      </c>
      <c r="F1231" s="1" t="str">
        <f t="shared" ref="F1231:F1235" si="620">"2017-05-08"</f>
        <v>2017-05-08</v>
      </c>
      <c r="G1231" s="1" t="str">
        <f>"CN206864777U"</f>
        <v>CN206864777U</v>
      </c>
      <c r="H1231" s="1" t="str">
        <f>"2018-01-09"</f>
        <v>2018-01-09</v>
      </c>
      <c r="I1231" s="1" t="str">
        <f>"杨婉"</f>
        <v>杨婉</v>
      </c>
      <c r="J1231" s="1" t="str">
        <f t="shared" si="606"/>
        <v>天津锦城汽车电装有限公司</v>
      </c>
    </row>
    <row r="1232" spans="1:10">
      <c r="A1232" s="1" t="str">
        <f t="shared" si="602"/>
        <v>天津锦城汽车电装有限公司</v>
      </c>
      <c r="B1232" s="1" t="str">
        <f>"一种电装用导线器"</f>
        <v>一种电装用导线器</v>
      </c>
      <c r="C1232" s="1" t="str">
        <f t="shared" si="608"/>
        <v>实用新型</v>
      </c>
      <c r="D1232" s="1" t="str">
        <f t="shared" si="603"/>
        <v>授权</v>
      </c>
      <c r="E1232" s="1" t="str">
        <f>"CN201720507336.6"</f>
        <v>CN201720507336.6</v>
      </c>
      <c r="F1232" s="1" t="str">
        <f t="shared" si="620"/>
        <v>2017-05-08</v>
      </c>
      <c r="G1232" s="1" t="str">
        <f>"CN206711673U"</f>
        <v>CN206711673U</v>
      </c>
      <c r="H1232" s="1" t="str">
        <f t="shared" ref="H1232:H1235" si="621">"2017-12-05"</f>
        <v>2017-12-05</v>
      </c>
      <c r="I1232" s="1" t="str">
        <f>"吴占刚"</f>
        <v>吴占刚</v>
      </c>
      <c r="J1232" s="1" t="str">
        <f t="shared" si="606"/>
        <v>天津锦城汽车电装有限公司</v>
      </c>
    </row>
    <row r="1233" spans="1:10">
      <c r="A1233" s="1" t="str">
        <f t="shared" si="602"/>
        <v>天津锦城汽车电装有限公司</v>
      </c>
      <c r="B1233" s="1" t="str">
        <f>"一种电子集线引线器"</f>
        <v>一种电子集线引线器</v>
      </c>
      <c r="C1233" s="1" t="str">
        <f t="shared" si="608"/>
        <v>实用新型</v>
      </c>
      <c r="D1233" s="1" t="str">
        <f t="shared" si="603"/>
        <v>授权</v>
      </c>
      <c r="E1233" s="1" t="str">
        <f>"CN201720503278.X"</f>
        <v>CN201720503278.X</v>
      </c>
      <c r="F1233" s="1" t="str">
        <f t="shared" si="620"/>
        <v>2017-05-08</v>
      </c>
      <c r="G1233" s="1" t="str">
        <f>"CN206712349U"</f>
        <v>CN206712349U</v>
      </c>
      <c r="H1233" s="1" t="str">
        <f t="shared" si="621"/>
        <v>2017-12-05</v>
      </c>
      <c r="I1233" s="1" t="str">
        <f>"杨婉"</f>
        <v>杨婉</v>
      </c>
      <c r="J1233" s="1" t="str">
        <f t="shared" si="606"/>
        <v>天津锦城汽车电装有限公司</v>
      </c>
    </row>
    <row r="1234" spans="1:10">
      <c r="A1234" s="1" t="str">
        <f t="shared" si="602"/>
        <v>天津锦城汽车电装有限公司</v>
      </c>
      <c r="B1234" s="1" t="str">
        <f>"一种用于高压屏蔽丝的绝缘装置"</f>
        <v>一种用于高压屏蔽丝的绝缘装置</v>
      </c>
      <c r="C1234" s="1" t="str">
        <f t="shared" si="608"/>
        <v>实用新型</v>
      </c>
      <c r="D1234" s="1" t="str">
        <f t="shared" si="603"/>
        <v>授权</v>
      </c>
      <c r="E1234" s="1" t="str">
        <f>"CN201720507310.1"</f>
        <v>CN201720507310.1</v>
      </c>
      <c r="F1234" s="1" t="str">
        <f t="shared" si="620"/>
        <v>2017-05-08</v>
      </c>
      <c r="G1234" s="1" t="str">
        <f>"CN206711686U"</f>
        <v>CN206711686U</v>
      </c>
      <c r="H1234" s="1" t="str">
        <f t="shared" si="621"/>
        <v>2017-12-05</v>
      </c>
      <c r="I1234" s="1" t="str">
        <f>"王晓宇"</f>
        <v>王晓宇</v>
      </c>
      <c r="J1234" s="1" t="str">
        <f t="shared" si="606"/>
        <v>天津锦城汽车电装有限公司</v>
      </c>
    </row>
    <row r="1235" spans="1:10">
      <c r="A1235" s="1" t="str">
        <f t="shared" si="602"/>
        <v>天津锦城汽车电装有限公司</v>
      </c>
      <c r="B1235" s="1" t="str">
        <f>"一种电装端子防护体"</f>
        <v>一种电装端子防护体</v>
      </c>
      <c r="C1235" s="1" t="str">
        <f t="shared" si="608"/>
        <v>实用新型</v>
      </c>
      <c r="D1235" s="1" t="str">
        <f t="shared" si="603"/>
        <v>授权</v>
      </c>
      <c r="E1235" s="1" t="str">
        <f>"CN201720503277.5"</f>
        <v>CN201720503277.5</v>
      </c>
      <c r="F1235" s="1" t="str">
        <f t="shared" si="620"/>
        <v>2017-05-08</v>
      </c>
      <c r="G1235" s="1" t="str">
        <f>"CN206712100U"</f>
        <v>CN206712100U</v>
      </c>
      <c r="H1235" s="1" t="str">
        <f t="shared" si="621"/>
        <v>2017-12-05</v>
      </c>
      <c r="I1235" s="1" t="str">
        <f>"宋玮"</f>
        <v>宋玮</v>
      </c>
      <c r="J1235" s="1" t="str">
        <f t="shared" si="606"/>
        <v>天津锦城汽车电装有限公司</v>
      </c>
    </row>
    <row r="1236" spans="1:10">
      <c r="A1236" s="1" t="str">
        <f t="shared" si="602"/>
        <v>天津锦城汽车电装有限公司</v>
      </c>
      <c r="B1236" s="1" t="str">
        <f>"一种易拆装电装线束"</f>
        <v>一种易拆装电装线束</v>
      </c>
      <c r="C1236" s="1" t="str">
        <f>"发明公布"</f>
        <v>发明公布</v>
      </c>
      <c r="D1236" s="1" t="str">
        <f>"公布驳回"</f>
        <v>公布驳回</v>
      </c>
      <c r="E1236" s="1" t="str">
        <f>"CN201710585954.7"</f>
        <v>CN201710585954.7</v>
      </c>
      <c r="F1236" s="1" t="str">
        <f>"2017-07-18"</f>
        <v>2017-07-18</v>
      </c>
      <c r="G1236" s="1" t="str">
        <f>"CN107221897A"</f>
        <v>CN107221897A</v>
      </c>
      <c r="H1236" s="1" t="str">
        <f>"2017-09-29"</f>
        <v>2017-09-29</v>
      </c>
      <c r="I1236" s="1" t="str">
        <f>"宋玮"</f>
        <v>宋玮</v>
      </c>
      <c r="J1236" s="1" t="str">
        <f t="shared" si="606"/>
        <v>天津锦城汽车电装有限公司</v>
      </c>
    </row>
    <row r="1237" spans="1:10">
      <c r="A1237" s="1" t="str">
        <f t="shared" ref="A1237:A1247" si="622">"天津昆文汽车电子有限公司"</f>
        <v>天津昆文汽车电子有限公司</v>
      </c>
      <c r="B1237" s="1" t="str">
        <f>"一种新型60孔混合型连接器"</f>
        <v>一种新型60孔混合型连接器</v>
      </c>
      <c r="C1237" s="1" t="str">
        <f t="shared" ref="C1237:C1245" si="623">"实用新型"</f>
        <v>实用新型</v>
      </c>
      <c r="D1237" s="1" t="str">
        <f t="shared" ref="D1237:D1245" si="624">"授权"</f>
        <v>授权</v>
      </c>
      <c r="E1237" s="1" t="str">
        <f>"CN202420547164.5"</f>
        <v>CN202420547164.5</v>
      </c>
      <c r="F1237" s="1" t="str">
        <f t="shared" ref="F1237:F1241" si="625">"2024-03-20"</f>
        <v>2024-03-20</v>
      </c>
      <c r="G1237" s="1" t="str">
        <f>"CN223124299U"</f>
        <v>CN223124299U</v>
      </c>
      <c r="H1237" s="1" t="str">
        <f>"2025-07-18"</f>
        <v>2025-07-18</v>
      </c>
      <c r="I1237" s="1" t="s">
        <v>4974</v>
      </c>
      <c r="J1237" s="1" t="str">
        <f t="shared" ref="J1237:J1247" si="626">"天津昆文汽车电子有限公司"</f>
        <v>天津昆文汽车电子有限公司</v>
      </c>
    </row>
    <row r="1238" spans="1:10">
      <c r="A1238" s="1" t="str">
        <f t="shared" si="622"/>
        <v>天津昆文汽车电子有限公司</v>
      </c>
      <c r="B1238" s="1" t="str">
        <f>"一种防水直插式保险丝盒"</f>
        <v>一种防水直插式保险丝盒</v>
      </c>
      <c r="C1238" s="1" t="str">
        <f t="shared" si="623"/>
        <v>实用新型</v>
      </c>
      <c r="D1238" s="1" t="str">
        <f t="shared" si="624"/>
        <v>授权</v>
      </c>
      <c r="E1238" s="1" t="str">
        <f>"CN202420585447.9"</f>
        <v>CN202420585447.9</v>
      </c>
      <c r="F1238" s="1" t="str">
        <f>"2024-03-25"</f>
        <v>2024-03-25</v>
      </c>
      <c r="G1238" s="1" t="str">
        <f>"CN221927956U"</f>
        <v>CN221927956U</v>
      </c>
      <c r="H1238" s="1" t="str">
        <f t="shared" ref="H1238:H1240" si="627">"2024-10-29"</f>
        <v>2024-10-29</v>
      </c>
      <c r="I1238" s="1" t="s">
        <v>4975</v>
      </c>
      <c r="J1238" s="1" t="str">
        <f t="shared" si="626"/>
        <v>天津昆文汽车电子有限公司</v>
      </c>
    </row>
    <row r="1239" spans="1:10">
      <c r="A1239" s="1" t="str">
        <f t="shared" si="622"/>
        <v>天津昆文汽车电子有限公司</v>
      </c>
      <c r="B1239" s="1" t="str">
        <f>"一种仪表保险丝盒"</f>
        <v>一种仪表保险丝盒</v>
      </c>
      <c r="C1239" s="1" t="str">
        <f t="shared" si="623"/>
        <v>实用新型</v>
      </c>
      <c r="D1239" s="1" t="str">
        <f t="shared" si="624"/>
        <v>授权</v>
      </c>
      <c r="E1239" s="1" t="str">
        <f>"CN202420585448.3"</f>
        <v>CN202420585448.3</v>
      </c>
      <c r="F1239" s="1" t="str">
        <f>"2024-03-25"</f>
        <v>2024-03-25</v>
      </c>
      <c r="G1239" s="1" t="str">
        <f>"CN221927957U"</f>
        <v>CN221927957U</v>
      </c>
      <c r="H1239" s="1" t="str">
        <f t="shared" si="627"/>
        <v>2024-10-29</v>
      </c>
      <c r="I1239" s="1" t="s">
        <v>4976</v>
      </c>
      <c r="J1239" s="1" t="str">
        <f t="shared" si="626"/>
        <v>天津昆文汽车电子有限公司</v>
      </c>
    </row>
    <row r="1240" spans="1:10">
      <c r="A1240" s="1" t="str">
        <f t="shared" si="622"/>
        <v>天津昆文汽车电子有限公司</v>
      </c>
      <c r="B1240" s="1" t="str">
        <f>"一种有过压保护的端子"</f>
        <v>一种有过压保护的端子</v>
      </c>
      <c r="C1240" s="1" t="str">
        <f t="shared" si="623"/>
        <v>实用新型</v>
      </c>
      <c r="D1240" s="1" t="str">
        <f t="shared" si="624"/>
        <v>授权</v>
      </c>
      <c r="E1240" s="1" t="str">
        <f>"CN202420547165.X"</f>
        <v>CN202420547165.X</v>
      </c>
      <c r="F1240" s="1" t="str">
        <f t="shared" si="625"/>
        <v>2024-03-20</v>
      </c>
      <c r="G1240" s="1" t="str">
        <f>"CN221928621U"</f>
        <v>CN221928621U</v>
      </c>
      <c r="H1240" s="1" t="str">
        <f t="shared" si="627"/>
        <v>2024-10-29</v>
      </c>
      <c r="I1240" s="1" t="s">
        <v>4977</v>
      </c>
      <c r="J1240" s="1" t="str">
        <f t="shared" si="626"/>
        <v>天津昆文汽车电子有限公司</v>
      </c>
    </row>
    <row r="1241" spans="1:10">
      <c r="A1241" s="1" t="str">
        <f t="shared" si="622"/>
        <v>天津昆文汽车电子有限公司</v>
      </c>
      <c r="B1241" s="1" t="str">
        <f>"一种便于端子拆卸的连接器"</f>
        <v>一种便于端子拆卸的连接器</v>
      </c>
      <c r="C1241" s="1" t="str">
        <f t="shared" si="623"/>
        <v>实用新型</v>
      </c>
      <c r="D1241" s="1" t="str">
        <f t="shared" si="624"/>
        <v>授权</v>
      </c>
      <c r="E1241" s="1" t="str">
        <f>"CN202420547166.4"</f>
        <v>CN202420547166.4</v>
      </c>
      <c r="F1241" s="1" t="str">
        <f t="shared" si="625"/>
        <v>2024-03-20</v>
      </c>
      <c r="G1241" s="1" t="str">
        <f>"CN221900290U"</f>
        <v>CN221900290U</v>
      </c>
      <c r="H1241" s="1" t="str">
        <f>"2024-10-25"</f>
        <v>2024-10-25</v>
      </c>
      <c r="I1241" s="1" t="s">
        <v>4978</v>
      </c>
      <c r="J1241" s="1" t="str">
        <f t="shared" si="626"/>
        <v>天津昆文汽车电子有限公司</v>
      </c>
    </row>
    <row r="1242" spans="1:10">
      <c r="A1242" s="1" t="str">
        <f t="shared" si="622"/>
        <v>天津昆文汽车电子有限公司</v>
      </c>
      <c r="B1242" s="1" t="str">
        <f>"一种混合型连接器"</f>
        <v>一种混合型连接器</v>
      </c>
      <c r="C1242" s="1" t="str">
        <f t="shared" si="623"/>
        <v>实用新型</v>
      </c>
      <c r="D1242" s="1" t="str">
        <f t="shared" si="624"/>
        <v>授权</v>
      </c>
      <c r="E1242" s="1" t="str">
        <f>"CN202323409725.X"</f>
        <v>CN202323409725.X</v>
      </c>
      <c r="F1242" s="1" t="str">
        <f>"2023-12-14"</f>
        <v>2023-12-14</v>
      </c>
      <c r="G1242" s="1" t="str">
        <f>"CN221861989U"</f>
        <v>CN221861989U</v>
      </c>
      <c r="H1242" s="1" t="str">
        <f>"2024-10-18"</f>
        <v>2024-10-18</v>
      </c>
      <c r="I1242" s="1" t="s">
        <v>4974</v>
      </c>
      <c r="J1242" s="1" t="str">
        <f t="shared" si="626"/>
        <v>天津昆文汽车电子有限公司</v>
      </c>
    </row>
    <row r="1243" spans="1:10">
      <c r="A1243" s="1" t="str">
        <f t="shared" si="622"/>
        <v>天津昆文汽车电子有限公司</v>
      </c>
      <c r="B1243" s="1" t="str">
        <f>"一种四孔连接器"</f>
        <v>一种四孔连接器</v>
      </c>
      <c r="C1243" s="1" t="str">
        <f t="shared" si="623"/>
        <v>实用新型</v>
      </c>
      <c r="D1243" s="1" t="str">
        <f t="shared" si="624"/>
        <v>授权</v>
      </c>
      <c r="E1243" s="1" t="str">
        <f>"CN202323497793.6"</f>
        <v>CN202323497793.6</v>
      </c>
      <c r="F1243" s="1" t="str">
        <f>"2023-12-20"</f>
        <v>2023-12-20</v>
      </c>
      <c r="G1243" s="1" t="str">
        <f>"CN221862083U"</f>
        <v>CN221862083U</v>
      </c>
      <c r="H1243" s="1" t="str">
        <f>"2024-10-18"</f>
        <v>2024-10-18</v>
      </c>
      <c r="I1243" s="1" t="s">
        <v>4979</v>
      </c>
      <c r="J1243" s="1" t="str">
        <f t="shared" si="626"/>
        <v>天津昆文汽车电子有限公司</v>
      </c>
    </row>
    <row r="1244" spans="1:10">
      <c r="A1244" s="1" t="str">
        <f t="shared" si="622"/>
        <v>天津昆文汽车电子有限公司</v>
      </c>
      <c r="B1244" s="1" t="str">
        <f>"一种线控转向连接器"</f>
        <v>一种线控转向连接器</v>
      </c>
      <c r="C1244" s="1" t="str">
        <f t="shared" si="623"/>
        <v>实用新型</v>
      </c>
      <c r="D1244" s="1" t="str">
        <f t="shared" si="624"/>
        <v>授权</v>
      </c>
      <c r="E1244" s="1" t="str">
        <f>"CN202323394815.6"</f>
        <v>CN202323394815.6</v>
      </c>
      <c r="F1244" s="1" t="str">
        <f>"2023-12-13"</f>
        <v>2023-12-13</v>
      </c>
      <c r="G1244" s="1" t="str">
        <f>"CN221708979U"</f>
        <v>CN221708979U</v>
      </c>
      <c r="H1244" s="1" t="str">
        <f>"2024-09-13"</f>
        <v>2024-09-13</v>
      </c>
      <c r="I1244" s="1" t="s">
        <v>4974</v>
      </c>
      <c r="J1244" s="1" t="str">
        <f t="shared" si="626"/>
        <v>天津昆文汽车电子有限公司</v>
      </c>
    </row>
    <row r="1245" spans="1:10">
      <c r="A1245" s="1" t="str">
        <f t="shared" si="622"/>
        <v>天津昆文汽车电子有限公司</v>
      </c>
      <c r="B1245" s="1" t="str">
        <f>"一体化二次锁止加强端子稳定性机构组合连接器"</f>
        <v>一体化二次锁止加强端子稳定性机构组合连接器</v>
      </c>
      <c r="C1245" s="1" t="str">
        <f t="shared" si="623"/>
        <v>实用新型</v>
      </c>
      <c r="D1245" s="1" t="str">
        <f t="shared" si="624"/>
        <v>授权</v>
      </c>
      <c r="E1245" s="1" t="str">
        <f>"CN202323391046.4"</f>
        <v>CN202323391046.4</v>
      </c>
      <c r="F1245" s="1" t="str">
        <f>"2023-12-13"</f>
        <v>2023-12-13</v>
      </c>
      <c r="G1245" s="1" t="str">
        <f>"CN221709057U"</f>
        <v>CN221709057U</v>
      </c>
      <c r="H1245" s="1" t="str">
        <f>"2024-09-13"</f>
        <v>2024-09-13</v>
      </c>
      <c r="I1245" s="1" t="s">
        <v>4978</v>
      </c>
      <c r="J1245" s="1" t="str">
        <f t="shared" si="626"/>
        <v>天津昆文汽车电子有限公司</v>
      </c>
    </row>
    <row r="1246" spans="1:10">
      <c r="A1246" s="1" t="str">
        <f t="shared" si="622"/>
        <v>天津昆文汽车电子有限公司</v>
      </c>
      <c r="B1246" s="1" t="str">
        <f>"一种基于车用配电盒的电热耦合温升仿真方法"</f>
        <v>一种基于车用配电盒的电热耦合温升仿真方法</v>
      </c>
      <c r="C1246" s="1" t="str">
        <f t="shared" ref="C1246:C1250" si="628">"发明公布"</f>
        <v>发明公布</v>
      </c>
      <c r="D1246" s="1" t="str">
        <f>"实质审查"</f>
        <v>实质审查</v>
      </c>
      <c r="E1246" s="1" t="str">
        <f>"CN202410727324.9"</f>
        <v>CN202410727324.9</v>
      </c>
      <c r="F1246" s="1" t="str">
        <f>"2024-06-06"</f>
        <v>2024-06-06</v>
      </c>
      <c r="G1246" s="1" t="str">
        <f>"CN118520745A"</f>
        <v>CN118520745A</v>
      </c>
      <c r="H1246" s="1" t="str">
        <f>"2024-08-20"</f>
        <v>2024-08-20</v>
      </c>
      <c r="I1246" s="1" t="s">
        <v>4980</v>
      </c>
      <c r="J1246" s="1" t="str">
        <f t="shared" si="626"/>
        <v>天津昆文汽车电子有限公司</v>
      </c>
    </row>
    <row r="1247" spans="1:10">
      <c r="A1247" s="1" t="str">
        <f t="shared" si="622"/>
        <v>天津昆文汽车电子有限公司</v>
      </c>
      <c r="B1247" s="1" t="str">
        <f>"一种带母端滑杆和公端浮板的连接器"</f>
        <v>一种带母端滑杆和公端浮板的连接器</v>
      </c>
      <c r="C1247" s="1" t="str">
        <f t="shared" si="628"/>
        <v>发明公布</v>
      </c>
      <c r="D1247" s="1" t="str">
        <f>"实质审查"</f>
        <v>实质审查</v>
      </c>
      <c r="E1247" s="1" t="str">
        <f>"CN202311729353.0"</f>
        <v>CN202311729353.0</v>
      </c>
      <c r="F1247" s="1" t="str">
        <f>"2023-12-14"</f>
        <v>2023-12-14</v>
      </c>
      <c r="G1247" s="1" t="str">
        <f>"CN117748223A"</f>
        <v>CN117748223A</v>
      </c>
      <c r="H1247" s="1" t="str">
        <f>"2024-03-22"</f>
        <v>2024-03-22</v>
      </c>
      <c r="I1247" s="1" t="s">
        <v>4977</v>
      </c>
      <c r="J1247" s="1" t="str">
        <f t="shared" si="626"/>
        <v>天津昆文汽车电子有限公司</v>
      </c>
    </row>
    <row r="1248" spans="1:10">
      <c r="A1248" s="1" t="str">
        <f t="shared" ref="A1248:A1258" si="629">"天津市兴盛达液压配件有限公司"</f>
        <v>天津市兴盛达液压配件有限公司</v>
      </c>
      <c r="B1248" s="1" t="str">
        <f>"XSD-23铝合金车梯"</f>
        <v>XSD-23铝合金车梯</v>
      </c>
      <c r="C1248" s="1" t="str">
        <f t="shared" ref="C1248:C1266" si="630">"实用新型"</f>
        <v>实用新型</v>
      </c>
      <c r="D1248" s="1" t="str">
        <f t="shared" ref="D1248:D1266" si="631">"未缴年费专利权终止"</f>
        <v>未缴年费专利权终止</v>
      </c>
      <c r="E1248" s="1" t="str">
        <f>"CN201420861111.7"</f>
        <v>CN201420861111.7</v>
      </c>
      <c r="F1248" s="1" t="str">
        <f>"2014-12-31"</f>
        <v>2014-12-31</v>
      </c>
      <c r="G1248" s="1" t="str">
        <f>"CN204452663U"</f>
        <v>CN204452663U</v>
      </c>
      <c r="H1248" s="1" t="str">
        <f>"2015-07-08"</f>
        <v>2015-07-08</v>
      </c>
      <c r="I1248" s="1" t="s">
        <v>4981</v>
      </c>
      <c r="J1248" s="1" t="str">
        <f t="shared" ref="J1248:J1258" si="632">"天津市兴盛达液压配件有限公司"</f>
        <v>天津市兴盛达液压配件有限公司</v>
      </c>
    </row>
    <row r="1249" spans="1:10">
      <c r="A1249" s="1" t="str">
        <f t="shared" si="629"/>
        <v>天津市兴盛达液压配件有限公司</v>
      </c>
      <c r="B1249" s="1" t="str">
        <f>"奶牛子宫内膜炎治疗装置"</f>
        <v>奶牛子宫内膜炎治疗装置</v>
      </c>
      <c r="C1249" s="1" t="str">
        <f t="shared" si="628"/>
        <v>发明公布</v>
      </c>
      <c r="D1249" s="1" t="str">
        <f>"公布视为撤回"</f>
        <v>公布视为撤回</v>
      </c>
      <c r="E1249" s="1" t="str">
        <f>"CN201310262873.5"</f>
        <v>CN201310262873.5</v>
      </c>
      <c r="F1249" s="1" t="str">
        <f t="shared" ref="F1249:F1252" si="633">"2013-06-26"</f>
        <v>2013-06-26</v>
      </c>
      <c r="G1249" s="1" t="str">
        <f>"CN104248503A"</f>
        <v>CN104248503A</v>
      </c>
      <c r="H1249" s="1" t="str">
        <f>"2014-12-31"</f>
        <v>2014-12-31</v>
      </c>
      <c r="I1249" s="1" t="s">
        <v>4982</v>
      </c>
      <c r="J1249" s="1" t="str">
        <f t="shared" si="632"/>
        <v>天津市兴盛达液压配件有限公司</v>
      </c>
    </row>
    <row r="1250" spans="1:10">
      <c r="A1250" s="1" t="str">
        <f t="shared" si="629"/>
        <v>天津市兴盛达液压配件有限公司</v>
      </c>
      <c r="B1250" s="1" t="str">
        <f>"奶牛子宫内膜炎治疗熏蒸装置"</f>
        <v>奶牛子宫内膜炎治疗熏蒸装置</v>
      </c>
      <c r="C1250" s="1" t="str">
        <f t="shared" si="628"/>
        <v>发明公布</v>
      </c>
      <c r="D1250" s="1" t="str">
        <f>"公布视为撤回"</f>
        <v>公布视为撤回</v>
      </c>
      <c r="E1250" s="1" t="str">
        <f>"CN201310262874.X"</f>
        <v>CN201310262874.X</v>
      </c>
      <c r="F1250" s="1" t="str">
        <f t="shared" si="633"/>
        <v>2013-06-26</v>
      </c>
      <c r="G1250" s="1" t="str">
        <f>"CN104248474A"</f>
        <v>CN104248474A</v>
      </c>
      <c r="H1250" s="1" t="str">
        <f>"2014-12-31"</f>
        <v>2014-12-31</v>
      </c>
      <c r="I1250" s="1" t="s">
        <v>4982</v>
      </c>
      <c r="J1250" s="1" t="str">
        <f t="shared" si="632"/>
        <v>天津市兴盛达液压配件有限公司</v>
      </c>
    </row>
    <row r="1251" spans="1:10">
      <c r="A1251" s="1" t="str">
        <f t="shared" si="629"/>
        <v>天津市兴盛达液压配件有限公司</v>
      </c>
      <c r="B1251" s="1" t="str">
        <f>"奶牛子宫内膜炎治疗装置"</f>
        <v>奶牛子宫内膜炎治疗装置</v>
      </c>
      <c r="C1251" s="1" t="str">
        <f t="shared" si="630"/>
        <v>实用新型</v>
      </c>
      <c r="D1251" s="1" t="str">
        <f t="shared" si="631"/>
        <v>未缴年费专利权终止</v>
      </c>
      <c r="E1251" s="1" t="str">
        <f>"CN201320376103.9"</f>
        <v>CN201320376103.9</v>
      </c>
      <c r="F1251" s="1" t="str">
        <f t="shared" si="633"/>
        <v>2013-06-26</v>
      </c>
      <c r="G1251" s="1" t="str">
        <f>"CN203425061U"</f>
        <v>CN203425061U</v>
      </c>
      <c r="H1251" s="1" t="str">
        <f>"2014-02-12"</f>
        <v>2014-02-12</v>
      </c>
      <c r="I1251" s="1" t="s">
        <v>4982</v>
      </c>
      <c r="J1251" s="1" t="str">
        <f t="shared" si="632"/>
        <v>天津市兴盛达液压配件有限公司</v>
      </c>
    </row>
    <row r="1252" spans="1:10">
      <c r="A1252" s="1" t="str">
        <f t="shared" si="629"/>
        <v>天津市兴盛达液压配件有限公司</v>
      </c>
      <c r="B1252" s="1" t="str">
        <f>"奶牛子宫内膜炎治疗熏蒸装置"</f>
        <v>奶牛子宫内膜炎治疗熏蒸装置</v>
      </c>
      <c r="C1252" s="1" t="str">
        <f t="shared" si="630"/>
        <v>实用新型</v>
      </c>
      <c r="D1252" s="1" t="str">
        <f t="shared" si="631"/>
        <v>未缴年费专利权终止</v>
      </c>
      <c r="E1252" s="1" t="str">
        <f>"CN201320376102.4"</f>
        <v>CN201320376102.4</v>
      </c>
      <c r="F1252" s="1" t="str">
        <f t="shared" si="633"/>
        <v>2013-06-26</v>
      </c>
      <c r="G1252" s="1" t="str">
        <f>"CN203328847U"</f>
        <v>CN203328847U</v>
      </c>
      <c r="H1252" s="1" t="str">
        <f>"2013-12-11"</f>
        <v>2013-12-11</v>
      </c>
      <c r="I1252" s="1" t="s">
        <v>4982</v>
      </c>
      <c r="J1252" s="1" t="str">
        <f t="shared" si="632"/>
        <v>天津市兴盛达液压配件有限公司</v>
      </c>
    </row>
    <row r="1253" spans="1:10">
      <c r="A1253" s="1" t="str">
        <f t="shared" si="629"/>
        <v>天津市兴盛达液压配件有限公司</v>
      </c>
      <c r="B1253" s="1" t="str">
        <f>"奶牛乳头腐烂臭氧治疗仪"</f>
        <v>奶牛乳头腐烂臭氧治疗仪</v>
      </c>
      <c r="C1253" s="1" t="str">
        <f t="shared" si="630"/>
        <v>实用新型</v>
      </c>
      <c r="D1253" s="1" t="str">
        <f t="shared" si="631"/>
        <v>未缴年费专利权终止</v>
      </c>
      <c r="E1253" s="1" t="str">
        <f>"CN201220520052.8"</f>
        <v>CN201220520052.8</v>
      </c>
      <c r="F1253" s="1" t="str">
        <f>"2012-10-12"</f>
        <v>2012-10-12</v>
      </c>
      <c r="G1253" s="1" t="str">
        <f>"CN203017133U"</f>
        <v>CN203017133U</v>
      </c>
      <c r="H1253" s="1" t="str">
        <f>"2013-06-26"</f>
        <v>2013-06-26</v>
      </c>
      <c r="I1253" s="1" t="s">
        <v>4982</v>
      </c>
      <c r="J1253" s="1" t="str">
        <f t="shared" si="632"/>
        <v>天津市兴盛达液压配件有限公司</v>
      </c>
    </row>
    <row r="1254" spans="1:10">
      <c r="A1254" s="1" t="str">
        <f t="shared" si="629"/>
        <v>天津市兴盛达液压配件有限公司</v>
      </c>
      <c r="B1254" s="1" t="str">
        <f>"奶牛乳头药浴器"</f>
        <v>奶牛乳头药浴器</v>
      </c>
      <c r="C1254" s="1" t="str">
        <f t="shared" si="630"/>
        <v>实用新型</v>
      </c>
      <c r="D1254" s="1" t="str">
        <f t="shared" si="631"/>
        <v>未缴年费专利权终止</v>
      </c>
      <c r="E1254" s="1" t="str">
        <f>"CN201220520053.2"</f>
        <v>CN201220520053.2</v>
      </c>
      <c r="F1254" s="1" t="str">
        <f>"2012-10-12"</f>
        <v>2012-10-12</v>
      </c>
      <c r="G1254" s="1" t="str">
        <f>"CN203017134U"</f>
        <v>CN203017134U</v>
      </c>
      <c r="H1254" s="1" t="str">
        <f>"2013-06-26"</f>
        <v>2013-06-26</v>
      </c>
      <c r="I1254" s="1" t="s">
        <v>4982</v>
      </c>
      <c r="J1254" s="1" t="str">
        <f t="shared" si="632"/>
        <v>天津市兴盛达液压配件有限公司</v>
      </c>
    </row>
    <row r="1255" spans="1:10">
      <c r="A1255" s="1" t="str">
        <f t="shared" si="629"/>
        <v>天津市兴盛达液压配件有限公司</v>
      </c>
      <c r="B1255" s="1" t="str">
        <f>"猪舍臭氧杀菌装置"</f>
        <v>猪舍臭氧杀菌装置</v>
      </c>
      <c r="C1255" s="1" t="str">
        <f t="shared" si="630"/>
        <v>实用新型</v>
      </c>
      <c r="D1255" s="1" t="str">
        <f t="shared" si="631"/>
        <v>未缴年费专利权终止</v>
      </c>
      <c r="E1255" s="1" t="str">
        <f>"CN201120158739.7"</f>
        <v>CN201120158739.7</v>
      </c>
      <c r="F1255" s="1" t="str">
        <f t="shared" ref="F1255:F1258" si="634">"2011-05-18"</f>
        <v>2011-05-18</v>
      </c>
      <c r="G1255" s="1" t="str">
        <f>"CN202077469U"</f>
        <v>CN202077469U</v>
      </c>
      <c r="H1255" s="1" t="str">
        <f>"2011-12-21"</f>
        <v>2011-12-21</v>
      </c>
      <c r="I1255" s="1" t="s">
        <v>4983</v>
      </c>
      <c r="J1255" s="1" t="str">
        <f t="shared" si="632"/>
        <v>天津市兴盛达液压配件有限公司</v>
      </c>
    </row>
    <row r="1256" spans="1:10">
      <c r="A1256" s="1" t="str">
        <f t="shared" si="629"/>
        <v>天津市兴盛达液压配件有限公司</v>
      </c>
      <c r="B1256" s="1" t="str">
        <f>"鸡舍臭氧杀菌装置"</f>
        <v>鸡舍臭氧杀菌装置</v>
      </c>
      <c r="C1256" s="1" t="str">
        <f t="shared" si="630"/>
        <v>实用新型</v>
      </c>
      <c r="D1256" s="1" t="str">
        <f t="shared" si="631"/>
        <v>未缴年费专利权终止</v>
      </c>
      <c r="E1256" s="1" t="str">
        <f>"CN201120158744.8"</f>
        <v>CN201120158744.8</v>
      </c>
      <c r="F1256" s="1" t="str">
        <f t="shared" si="634"/>
        <v>2011-05-18</v>
      </c>
      <c r="G1256" s="1" t="str">
        <f>"CN202059869U"</f>
        <v>CN202059869U</v>
      </c>
      <c r="H1256" s="1" t="str">
        <f>"2011-12-07"</f>
        <v>2011-12-07</v>
      </c>
      <c r="I1256" s="1" t="s">
        <v>4984</v>
      </c>
      <c r="J1256" s="1" t="str">
        <f t="shared" si="632"/>
        <v>天津市兴盛达液压配件有限公司</v>
      </c>
    </row>
    <row r="1257" spans="1:10">
      <c r="A1257" s="1" t="str">
        <f t="shared" si="629"/>
        <v>天津市兴盛达液压配件有限公司</v>
      </c>
      <c r="B1257" s="1" t="str">
        <f>"新型养鱼增氧装置"</f>
        <v>新型养鱼增氧装置</v>
      </c>
      <c r="C1257" s="1" t="str">
        <f t="shared" si="630"/>
        <v>实用新型</v>
      </c>
      <c r="D1257" s="1" t="str">
        <f t="shared" si="631"/>
        <v>未缴年费专利权终止</v>
      </c>
      <c r="E1257" s="1" t="str">
        <f>"CN201120158741.4"</f>
        <v>CN201120158741.4</v>
      </c>
      <c r="F1257" s="1" t="str">
        <f t="shared" si="634"/>
        <v>2011-05-18</v>
      </c>
      <c r="G1257" s="1" t="str">
        <f>"CN202059888U"</f>
        <v>CN202059888U</v>
      </c>
      <c r="H1257" s="1" t="str">
        <f>"2011-12-07"</f>
        <v>2011-12-07</v>
      </c>
      <c r="I1257" s="1" t="s">
        <v>4984</v>
      </c>
      <c r="J1257" s="1" t="str">
        <f t="shared" si="632"/>
        <v>天津市兴盛达液压配件有限公司</v>
      </c>
    </row>
    <row r="1258" spans="1:10">
      <c r="A1258" s="1" t="str">
        <f t="shared" si="629"/>
        <v>天津市兴盛达液压配件有限公司</v>
      </c>
      <c r="B1258" s="1" t="str">
        <f>"大棚臭氧杀菌装置"</f>
        <v>大棚臭氧杀菌装置</v>
      </c>
      <c r="C1258" s="1" t="str">
        <f t="shared" si="630"/>
        <v>实用新型</v>
      </c>
      <c r="D1258" s="1" t="str">
        <f t="shared" si="631"/>
        <v>未缴年费专利权终止</v>
      </c>
      <c r="E1258" s="1" t="str">
        <f>"CN201120158737.8"</f>
        <v>CN201120158737.8</v>
      </c>
      <c r="F1258" s="1" t="str">
        <f t="shared" si="634"/>
        <v>2011-05-18</v>
      </c>
      <c r="G1258" s="1" t="str">
        <f>"CN202052074U"</f>
        <v>CN202052074U</v>
      </c>
      <c r="H1258" s="1" t="str">
        <f>"2011-11-30"</f>
        <v>2011-11-30</v>
      </c>
      <c r="I1258" s="1" t="s">
        <v>4983</v>
      </c>
      <c r="J1258" s="1" t="str">
        <f t="shared" si="632"/>
        <v>天津市兴盛达液压配件有限公司</v>
      </c>
    </row>
    <row r="1259" spans="1:10">
      <c r="A1259" s="1" t="str">
        <f t="shared" ref="A1259:A1322" si="635">"天津市神驰汽车零部件有限公司"</f>
        <v>天津市神驰汽车零部件有限公司</v>
      </c>
      <c r="B1259" s="1" t="str">
        <f>"一种拼接式排气管"</f>
        <v>一种拼接式排气管</v>
      </c>
      <c r="C1259" s="1" t="str">
        <f t="shared" si="630"/>
        <v>实用新型</v>
      </c>
      <c r="D1259" s="1" t="str">
        <f t="shared" si="631"/>
        <v>未缴年费专利权终止</v>
      </c>
      <c r="E1259" s="1" t="str">
        <f>"CN201821238275.9"</f>
        <v>CN201821238275.9</v>
      </c>
      <c r="F1259" s="1" t="str">
        <f>"2018-08-02"</f>
        <v>2018-08-02</v>
      </c>
      <c r="G1259" s="1" t="str">
        <f>"CN209067326U"</f>
        <v>CN209067326U</v>
      </c>
      <c r="H1259" s="1" t="str">
        <f>"2019-07-05"</f>
        <v>2019-07-05</v>
      </c>
      <c r="I1259" s="1" t="str">
        <f t="shared" ref="I1259:I1322" si="636">"肖建民"</f>
        <v>肖建民</v>
      </c>
      <c r="J1259" s="1" t="str">
        <f t="shared" ref="J1259:J1322" si="637">"天津市神驰汽车零部件有限公司"</f>
        <v>天津市神驰汽车零部件有限公司</v>
      </c>
    </row>
    <row r="1260" spans="1:10">
      <c r="A1260" s="1" t="str">
        <f t="shared" si="635"/>
        <v>天津市神驰汽车零部件有限公司</v>
      </c>
      <c r="B1260" s="1" t="str">
        <f>"一种汽车减震排气管"</f>
        <v>一种汽车减震排气管</v>
      </c>
      <c r="C1260" s="1" t="str">
        <f t="shared" si="630"/>
        <v>实用新型</v>
      </c>
      <c r="D1260" s="1" t="str">
        <f t="shared" si="631"/>
        <v>未缴年费专利权终止</v>
      </c>
      <c r="E1260" s="1" t="str">
        <f>"CN201821103376.5"</f>
        <v>CN201821103376.5</v>
      </c>
      <c r="F1260" s="1" t="str">
        <f t="shared" ref="F1260:F1266" si="638">"2018-07-12"</f>
        <v>2018-07-12</v>
      </c>
      <c r="G1260" s="1" t="str">
        <f>"CN208778072U"</f>
        <v>CN208778072U</v>
      </c>
      <c r="H1260" s="1" t="str">
        <f>"2019-04-23"</f>
        <v>2019-04-23</v>
      </c>
      <c r="I1260" s="1" t="str">
        <f t="shared" si="636"/>
        <v>肖建民</v>
      </c>
      <c r="J1260" s="1" t="str">
        <f t="shared" si="637"/>
        <v>天津市神驰汽车零部件有限公司</v>
      </c>
    </row>
    <row r="1261" spans="1:10">
      <c r="A1261" s="1" t="str">
        <f t="shared" si="635"/>
        <v>天津市神驰汽车零部件有限公司</v>
      </c>
      <c r="B1261" s="1" t="str">
        <f>"一种伸缩式排气管"</f>
        <v>一种伸缩式排气管</v>
      </c>
      <c r="C1261" s="1" t="str">
        <f t="shared" si="630"/>
        <v>实用新型</v>
      </c>
      <c r="D1261" s="1" t="str">
        <f t="shared" si="631"/>
        <v>未缴年费专利权终止</v>
      </c>
      <c r="E1261" s="1" t="str">
        <f>"CN201821102770.7"</f>
        <v>CN201821102770.7</v>
      </c>
      <c r="F1261" s="1" t="str">
        <f t="shared" si="638"/>
        <v>2018-07-12</v>
      </c>
      <c r="G1261" s="1" t="str">
        <f>"CN208778071U"</f>
        <v>CN208778071U</v>
      </c>
      <c r="H1261" s="1" t="str">
        <f>"2019-04-23"</f>
        <v>2019-04-23</v>
      </c>
      <c r="I1261" s="1" t="str">
        <f t="shared" si="636"/>
        <v>肖建民</v>
      </c>
      <c r="J1261" s="1" t="str">
        <f t="shared" si="637"/>
        <v>天津市神驰汽车零部件有限公司</v>
      </c>
    </row>
    <row r="1262" spans="1:10">
      <c r="A1262" s="1" t="str">
        <f t="shared" si="635"/>
        <v>天津市神驰汽车零部件有限公司</v>
      </c>
      <c r="B1262" s="1" t="str">
        <f>"一种折叠式排气管"</f>
        <v>一种折叠式排气管</v>
      </c>
      <c r="C1262" s="1" t="str">
        <f t="shared" si="630"/>
        <v>实用新型</v>
      </c>
      <c r="D1262" s="1" t="str">
        <f t="shared" si="631"/>
        <v>未缴年费专利权终止</v>
      </c>
      <c r="E1262" s="1" t="str">
        <f>"CN201821102272.2"</f>
        <v>CN201821102272.2</v>
      </c>
      <c r="F1262" s="1" t="str">
        <f t="shared" si="638"/>
        <v>2018-07-12</v>
      </c>
      <c r="G1262" s="1" t="str">
        <f>"CN208473971U"</f>
        <v>CN208473971U</v>
      </c>
      <c r="H1262" s="1" t="str">
        <f t="shared" ref="H1262:H1266" si="639">"2019-02-05"</f>
        <v>2019-02-05</v>
      </c>
      <c r="I1262" s="1" t="str">
        <f t="shared" si="636"/>
        <v>肖建民</v>
      </c>
      <c r="J1262" s="1" t="str">
        <f t="shared" si="637"/>
        <v>天津市神驰汽车零部件有限公司</v>
      </c>
    </row>
    <row r="1263" spans="1:10">
      <c r="A1263" s="1" t="str">
        <f t="shared" si="635"/>
        <v>天津市神驰汽车零部件有限公司</v>
      </c>
      <c r="B1263" s="1" t="str">
        <f>"一种环保型汽车排气管"</f>
        <v>一种环保型汽车排气管</v>
      </c>
      <c r="C1263" s="1" t="str">
        <f t="shared" si="630"/>
        <v>实用新型</v>
      </c>
      <c r="D1263" s="1" t="str">
        <f t="shared" si="631"/>
        <v>未缴年费专利权终止</v>
      </c>
      <c r="E1263" s="1" t="str">
        <f>"CN201821103359.1"</f>
        <v>CN201821103359.1</v>
      </c>
      <c r="F1263" s="1" t="str">
        <f t="shared" si="638"/>
        <v>2018-07-12</v>
      </c>
      <c r="G1263" s="1" t="str">
        <f>"CN208473973U"</f>
        <v>CN208473973U</v>
      </c>
      <c r="H1263" s="1" t="str">
        <f t="shared" si="639"/>
        <v>2019-02-05</v>
      </c>
      <c r="I1263" s="1" t="str">
        <f t="shared" si="636"/>
        <v>肖建民</v>
      </c>
      <c r="J1263" s="1" t="str">
        <f t="shared" si="637"/>
        <v>天津市神驰汽车零部件有限公司</v>
      </c>
    </row>
    <row r="1264" spans="1:10">
      <c r="A1264" s="1" t="str">
        <f t="shared" si="635"/>
        <v>天津市神驰汽车零部件有限公司</v>
      </c>
      <c r="B1264" s="1" t="str">
        <f>"一种散热汽车排气管"</f>
        <v>一种散热汽车排气管</v>
      </c>
      <c r="C1264" s="1" t="str">
        <f t="shared" si="630"/>
        <v>实用新型</v>
      </c>
      <c r="D1264" s="1" t="str">
        <f t="shared" si="631"/>
        <v>未缴年费专利权终止</v>
      </c>
      <c r="E1264" s="1" t="str">
        <f>"CN201821102769.4"</f>
        <v>CN201821102769.4</v>
      </c>
      <c r="F1264" s="1" t="str">
        <f t="shared" si="638"/>
        <v>2018-07-12</v>
      </c>
      <c r="G1264" s="1" t="str">
        <f>"CN208473972U"</f>
        <v>CN208473972U</v>
      </c>
      <c r="H1264" s="1" t="str">
        <f t="shared" si="639"/>
        <v>2019-02-05</v>
      </c>
      <c r="I1264" s="1" t="str">
        <f t="shared" si="636"/>
        <v>肖建民</v>
      </c>
      <c r="J1264" s="1" t="str">
        <f t="shared" si="637"/>
        <v>天津市神驰汽车零部件有限公司</v>
      </c>
    </row>
    <row r="1265" spans="1:10">
      <c r="A1265" s="1" t="str">
        <f t="shared" si="635"/>
        <v>天津市神驰汽车零部件有限公司</v>
      </c>
      <c r="B1265" s="1" t="str">
        <f>"一种汽车排气管支架"</f>
        <v>一种汽车排气管支架</v>
      </c>
      <c r="C1265" s="1" t="str">
        <f t="shared" si="630"/>
        <v>实用新型</v>
      </c>
      <c r="D1265" s="1" t="str">
        <f t="shared" si="631"/>
        <v>未缴年费专利权终止</v>
      </c>
      <c r="E1265" s="1" t="str">
        <f>"CN201821103379.9"</f>
        <v>CN201821103379.9</v>
      </c>
      <c r="F1265" s="1" t="str">
        <f t="shared" si="638"/>
        <v>2018-07-12</v>
      </c>
      <c r="G1265" s="1" t="str">
        <f>"CN208473974U"</f>
        <v>CN208473974U</v>
      </c>
      <c r="H1265" s="1" t="str">
        <f t="shared" si="639"/>
        <v>2019-02-05</v>
      </c>
      <c r="I1265" s="1" t="str">
        <f t="shared" si="636"/>
        <v>肖建民</v>
      </c>
      <c r="J1265" s="1" t="str">
        <f t="shared" si="637"/>
        <v>天津市神驰汽车零部件有限公司</v>
      </c>
    </row>
    <row r="1266" spans="1:10">
      <c r="A1266" s="1" t="str">
        <f t="shared" si="635"/>
        <v>天津市神驰汽车零部件有限公司</v>
      </c>
      <c r="B1266" s="1" t="str">
        <f>"一种汽车排气管连接件"</f>
        <v>一种汽车排气管连接件</v>
      </c>
      <c r="C1266" s="1" t="str">
        <f t="shared" si="630"/>
        <v>实用新型</v>
      </c>
      <c r="D1266" s="1" t="str">
        <f t="shared" si="631"/>
        <v>未缴年费专利权终止</v>
      </c>
      <c r="E1266" s="1" t="str">
        <f>"CN201821102260.X"</f>
        <v>CN201821102260.X</v>
      </c>
      <c r="F1266" s="1" t="str">
        <f t="shared" si="638"/>
        <v>2018-07-12</v>
      </c>
      <c r="G1266" s="1" t="str">
        <f>"CN208473970U"</f>
        <v>CN208473970U</v>
      </c>
      <c r="H1266" s="1" t="str">
        <f t="shared" si="639"/>
        <v>2019-02-05</v>
      </c>
      <c r="I1266" s="1" t="str">
        <f t="shared" si="636"/>
        <v>肖建民</v>
      </c>
      <c r="J1266" s="1" t="str">
        <f t="shared" si="637"/>
        <v>天津市神驰汽车零部件有限公司</v>
      </c>
    </row>
    <row r="1267" spans="1:10">
      <c r="A1267" s="1" t="str">
        <f t="shared" si="635"/>
        <v>天津市神驰汽车零部件有限公司</v>
      </c>
      <c r="B1267" s="1" t="str">
        <f>"一种排气管卷边机构"</f>
        <v>一种排气管卷边机构</v>
      </c>
      <c r="C1267" s="1" t="str">
        <f>"发明公布"</f>
        <v>发明公布</v>
      </c>
      <c r="D1267" s="1" t="str">
        <f>"公布驳回"</f>
        <v>公布驳回</v>
      </c>
      <c r="E1267" s="1" t="str">
        <f>"CN201810871883.1"</f>
        <v>CN201810871883.1</v>
      </c>
      <c r="F1267" s="1" t="str">
        <f>"2018-08-02"</f>
        <v>2018-08-02</v>
      </c>
      <c r="G1267" s="1" t="str">
        <f>"CN109175045A"</f>
        <v>CN109175045A</v>
      </c>
      <c r="H1267" s="1" t="str">
        <f>"2019-01-11"</f>
        <v>2019-01-11</v>
      </c>
      <c r="I1267" s="1" t="str">
        <f t="shared" si="636"/>
        <v>肖建民</v>
      </c>
      <c r="J1267" s="1" t="str">
        <f t="shared" si="637"/>
        <v>天津市神驰汽车零部件有限公司</v>
      </c>
    </row>
    <row r="1268" spans="1:10">
      <c r="A1268" s="1" t="str">
        <f t="shared" si="635"/>
        <v>天津市神驰汽车零部件有限公司</v>
      </c>
      <c r="B1268" s="1" t="str">
        <f>"一种消声汽车排气管"</f>
        <v>一种消声汽车排气管</v>
      </c>
      <c r="C1268" s="1" t="str">
        <f>"发明授权"</f>
        <v>发明授权</v>
      </c>
      <c r="D1268" s="1" t="str">
        <f t="shared" ref="D1268:D1274" si="640">"未缴年费专利权终止"</f>
        <v>未缴年费专利权终止</v>
      </c>
      <c r="E1268" s="1" t="str">
        <f>"CN201610851715.7"</f>
        <v>CN201610851715.7</v>
      </c>
      <c r="F1268" s="1" t="str">
        <f>"2016-09-27"</f>
        <v>2016-09-27</v>
      </c>
      <c r="G1268" s="1" t="str">
        <f>"CN106246314B"</f>
        <v>CN106246314B</v>
      </c>
      <c r="H1268" s="1" t="str">
        <f>"2019-01-01"</f>
        <v>2019-01-01</v>
      </c>
      <c r="I1268" s="1" t="str">
        <f t="shared" si="636"/>
        <v>肖建民</v>
      </c>
      <c r="J1268" s="1" t="str">
        <f t="shared" si="637"/>
        <v>天津市神驰汽车零部件有限公司</v>
      </c>
    </row>
    <row r="1269" spans="1:10">
      <c r="A1269" s="1" t="str">
        <f t="shared" si="635"/>
        <v>天津市神驰汽车零部件有限公司</v>
      </c>
      <c r="B1269" s="1" t="str">
        <f>"一种汽车排气管密闭性检测装置"</f>
        <v>一种汽车排气管密闭性检测装置</v>
      </c>
      <c r="C1269" s="1" t="str">
        <f>"发明公布"</f>
        <v>发明公布</v>
      </c>
      <c r="D1269" s="1" t="str">
        <f>"公布驳回"</f>
        <v>公布驳回</v>
      </c>
      <c r="E1269" s="1" t="str">
        <f>"CN201810870358.8"</f>
        <v>CN201810870358.8</v>
      </c>
      <c r="F1269" s="1" t="str">
        <f>"2018-08-02"</f>
        <v>2018-08-02</v>
      </c>
      <c r="G1269" s="1" t="str">
        <f>"CN109000851A"</f>
        <v>CN109000851A</v>
      </c>
      <c r="H1269" s="1" t="str">
        <f>"2018-12-14"</f>
        <v>2018-12-14</v>
      </c>
      <c r="I1269" s="1" t="str">
        <f t="shared" si="636"/>
        <v>肖建民</v>
      </c>
      <c r="J1269" s="1" t="str">
        <f t="shared" si="637"/>
        <v>天津市神驰汽车零部件有限公司</v>
      </c>
    </row>
    <row r="1270" spans="1:10">
      <c r="A1270" s="1" t="str">
        <f t="shared" si="635"/>
        <v>天津市神驰汽车零部件有限公司</v>
      </c>
      <c r="B1270" s="1" t="str">
        <f>"一种用于加工消音器壳体的气动夹紧装置"</f>
        <v>一种用于加工消音器壳体的气动夹紧装置</v>
      </c>
      <c r="C1270" s="1" t="str">
        <f t="shared" ref="C1270:C1274" si="641">"实用新型"</f>
        <v>实用新型</v>
      </c>
      <c r="D1270" s="1" t="str">
        <f t="shared" si="640"/>
        <v>未缴年费专利权终止</v>
      </c>
      <c r="E1270" s="1" t="str">
        <f>"CN201721200101.9"</f>
        <v>CN201721200101.9</v>
      </c>
      <c r="F1270" s="1" t="str">
        <f t="shared" ref="F1270:F1276" si="642">"2017-09-19"</f>
        <v>2017-09-19</v>
      </c>
      <c r="G1270" s="1" t="str">
        <f>"CN207788354U"</f>
        <v>CN207788354U</v>
      </c>
      <c r="H1270" s="1" t="str">
        <f>"2018-08-31"</f>
        <v>2018-08-31</v>
      </c>
      <c r="I1270" s="1" t="str">
        <f t="shared" si="636"/>
        <v>肖建民</v>
      </c>
      <c r="J1270" s="1" t="str">
        <f t="shared" si="637"/>
        <v>天津市神驰汽车零部件有限公司</v>
      </c>
    </row>
    <row r="1271" spans="1:10">
      <c r="A1271" s="1" t="str">
        <f t="shared" si="635"/>
        <v>天津市神驰汽车零部件有限公司</v>
      </c>
      <c r="B1271" s="1" t="str">
        <f>"一种用于汽车消声器弯管焊接的夹具"</f>
        <v>一种用于汽车消声器弯管焊接的夹具</v>
      </c>
      <c r="C1271" s="1" t="str">
        <f t="shared" si="641"/>
        <v>实用新型</v>
      </c>
      <c r="D1271" s="1" t="str">
        <f t="shared" si="640"/>
        <v>未缴年费专利权终止</v>
      </c>
      <c r="E1271" s="1" t="str">
        <f>"CN201721200039.3"</f>
        <v>CN201721200039.3</v>
      </c>
      <c r="F1271" s="1" t="str">
        <f t="shared" si="642"/>
        <v>2017-09-19</v>
      </c>
      <c r="G1271" s="1" t="str">
        <f>"CN207723777U"</f>
        <v>CN207723777U</v>
      </c>
      <c r="H1271" s="1" t="str">
        <f>"2018-08-14"</f>
        <v>2018-08-14</v>
      </c>
      <c r="I1271" s="1" t="str">
        <f t="shared" si="636"/>
        <v>肖建民</v>
      </c>
      <c r="J1271" s="1" t="str">
        <f t="shared" si="637"/>
        <v>天津市神驰汽车零部件有限公司</v>
      </c>
    </row>
    <row r="1272" spans="1:10">
      <c r="A1272" s="1" t="str">
        <f t="shared" si="635"/>
        <v>天津市神驰汽车零部件有限公司</v>
      </c>
      <c r="B1272" s="1" t="str">
        <f>"一种汽车消音器"</f>
        <v>一种汽车消音器</v>
      </c>
      <c r="C1272" s="1" t="str">
        <f t="shared" si="641"/>
        <v>实用新型</v>
      </c>
      <c r="D1272" s="1" t="str">
        <f t="shared" si="640"/>
        <v>未缴年费专利权终止</v>
      </c>
      <c r="E1272" s="1" t="str">
        <f>"CN201721206269.0"</f>
        <v>CN201721206269.0</v>
      </c>
      <c r="F1272" s="1" t="str">
        <f t="shared" si="642"/>
        <v>2017-09-19</v>
      </c>
      <c r="G1272" s="1" t="str">
        <f>"CN207513659U"</f>
        <v>CN207513659U</v>
      </c>
      <c r="H1272" s="1" t="str">
        <f>"2018-06-19"</f>
        <v>2018-06-19</v>
      </c>
      <c r="I1272" s="1" t="str">
        <f t="shared" si="636"/>
        <v>肖建民</v>
      </c>
      <c r="J1272" s="1" t="str">
        <f t="shared" si="637"/>
        <v>天津市神驰汽车零部件有限公司</v>
      </c>
    </row>
    <row r="1273" spans="1:10">
      <c r="A1273" s="1" t="str">
        <f t="shared" si="635"/>
        <v>天津市神驰汽车零部件有限公司</v>
      </c>
      <c r="B1273" s="1" t="str">
        <f>"一种汽车消音排气装置"</f>
        <v>一种汽车消音排气装置</v>
      </c>
      <c r="C1273" s="1" t="str">
        <f t="shared" si="641"/>
        <v>实用新型</v>
      </c>
      <c r="D1273" s="1" t="str">
        <f t="shared" si="640"/>
        <v>未缴年费专利权终止</v>
      </c>
      <c r="E1273" s="1" t="str">
        <f>"CN201721200095.7"</f>
        <v>CN201721200095.7</v>
      </c>
      <c r="F1273" s="1" t="str">
        <f t="shared" si="642"/>
        <v>2017-09-19</v>
      </c>
      <c r="G1273" s="1" t="str">
        <f>"CN207513671U"</f>
        <v>CN207513671U</v>
      </c>
      <c r="H1273" s="1" t="str">
        <f>"2018-06-19"</f>
        <v>2018-06-19</v>
      </c>
      <c r="I1273" s="1" t="str">
        <f t="shared" si="636"/>
        <v>肖建民</v>
      </c>
      <c r="J1273" s="1" t="str">
        <f t="shared" si="637"/>
        <v>天津市神驰汽车零部件有限公司</v>
      </c>
    </row>
    <row r="1274" spans="1:10">
      <c r="A1274" s="1" t="str">
        <f t="shared" si="635"/>
        <v>天津市神驰汽车零部件有限公司</v>
      </c>
      <c r="B1274" s="1" t="str">
        <f>"一种汽车消音器气密检测装置"</f>
        <v>一种汽车消音器气密检测装置</v>
      </c>
      <c r="C1274" s="1" t="str">
        <f t="shared" si="641"/>
        <v>实用新型</v>
      </c>
      <c r="D1274" s="1" t="str">
        <f t="shared" si="640"/>
        <v>未缴年费专利权终止</v>
      </c>
      <c r="E1274" s="1" t="str">
        <f>"CN201721199933.3"</f>
        <v>CN201721199933.3</v>
      </c>
      <c r="F1274" s="1" t="str">
        <f t="shared" si="642"/>
        <v>2017-09-19</v>
      </c>
      <c r="G1274" s="1" t="str">
        <f>"CN207240022U"</f>
        <v>CN207240022U</v>
      </c>
      <c r="H1274" s="1" t="str">
        <f>"2018-04-17"</f>
        <v>2018-04-17</v>
      </c>
      <c r="I1274" s="1" t="str">
        <f t="shared" si="636"/>
        <v>肖建民</v>
      </c>
      <c r="J1274" s="1" t="str">
        <f t="shared" si="637"/>
        <v>天津市神驰汽车零部件有限公司</v>
      </c>
    </row>
    <row r="1275" spans="1:10">
      <c r="A1275" s="1" t="str">
        <f t="shared" si="635"/>
        <v>天津市神驰汽车零部件有限公司</v>
      </c>
      <c r="B1275" s="1" t="str">
        <f>"一种汽车消音器气密检测装置"</f>
        <v>一种汽车消音器气密检测装置</v>
      </c>
      <c r="C1275" s="1" t="str">
        <f>"发明公布"</f>
        <v>发明公布</v>
      </c>
      <c r="D1275" s="1" t="str">
        <f>"公布视为撤回"</f>
        <v>公布视为撤回</v>
      </c>
      <c r="E1275" s="1" t="str">
        <f>"CN201710846403.1"</f>
        <v>CN201710846403.1</v>
      </c>
      <c r="F1275" s="1" t="str">
        <f t="shared" si="642"/>
        <v>2017-09-19</v>
      </c>
      <c r="G1275" s="1" t="str">
        <f>"CN107627237A"</f>
        <v>CN107627237A</v>
      </c>
      <c r="H1275" s="1" t="str">
        <f>"2018-01-26"</f>
        <v>2018-01-26</v>
      </c>
      <c r="I1275" s="1" t="str">
        <f t="shared" si="636"/>
        <v>肖建民</v>
      </c>
      <c r="J1275" s="1" t="str">
        <f t="shared" si="637"/>
        <v>天津市神驰汽车零部件有限公司</v>
      </c>
    </row>
    <row r="1276" spans="1:10">
      <c r="A1276" s="1" t="str">
        <f t="shared" si="635"/>
        <v>天津市神驰汽车零部件有限公司</v>
      </c>
      <c r="B1276" s="1" t="str">
        <f>"一种汽车发动机的排气管总成"</f>
        <v>一种汽车发动机的排气管总成</v>
      </c>
      <c r="C1276" s="1" t="str">
        <f>"发明公布"</f>
        <v>发明公布</v>
      </c>
      <c r="D1276" s="1" t="str">
        <f>"公布视为撤回"</f>
        <v>公布视为撤回</v>
      </c>
      <c r="E1276" s="1" t="str">
        <f>"CN201710847199.5"</f>
        <v>CN201710847199.5</v>
      </c>
      <c r="F1276" s="1" t="str">
        <f t="shared" si="642"/>
        <v>2017-09-19</v>
      </c>
      <c r="G1276" s="1" t="str">
        <f>"CN107620623A"</f>
        <v>CN107620623A</v>
      </c>
      <c r="H1276" s="1" t="str">
        <f>"2018-01-23"</f>
        <v>2018-01-23</v>
      </c>
      <c r="I1276" s="1" t="str">
        <f t="shared" si="636"/>
        <v>肖建民</v>
      </c>
      <c r="J1276" s="1" t="str">
        <f t="shared" si="637"/>
        <v>天津市神驰汽车零部件有限公司</v>
      </c>
    </row>
    <row r="1277" spans="1:10">
      <c r="A1277" s="1" t="str">
        <f t="shared" si="635"/>
        <v>天津市神驰汽车零部件有限公司</v>
      </c>
      <c r="B1277" s="1" t="str">
        <f>"一种带吸收装置的排气尾管"</f>
        <v>一种带吸收装置的排气尾管</v>
      </c>
      <c r="C1277" s="1" t="str">
        <f t="shared" ref="C1277:C1282" si="643">"发明授权"</f>
        <v>发明授权</v>
      </c>
      <c r="D1277" s="1" t="str">
        <f t="shared" ref="D1277:D1282" si="644">"未缴年费专利权终止"</f>
        <v>未缴年费专利权终止</v>
      </c>
      <c r="E1277" s="1" t="str">
        <f>"CN201510476865.X"</f>
        <v>CN201510476865.X</v>
      </c>
      <c r="F1277" s="1" t="str">
        <f>"2015-08-06"</f>
        <v>2015-08-06</v>
      </c>
      <c r="G1277" s="1" t="str">
        <f>"CN105134356B"</f>
        <v>CN105134356B</v>
      </c>
      <c r="H1277" s="1" t="str">
        <f t="shared" ref="H1277:H1279" si="645">"2017-12-01"</f>
        <v>2017-12-01</v>
      </c>
      <c r="I1277" s="1" t="str">
        <f t="shared" si="636"/>
        <v>肖建民</v>
      </c>
      <c r="J1277" s="1" t="str">
        <f t="shared" si="637"/>
        <v>天津市神驰汽车零部件有限公司</v>
      </c>
    </row>
    <row r="1278" spans="1:10">
      <c r="A1278" s="1" t="str">
        <f t="shared" si="635"/>
        <v>天津市神驰汽车零部件有限公司</v>
      </c>
      <c r="B1278" s="1" t="str">
        <f>"一种消声器总成自动焊接多工位工装夹具"</f>
        <v>一种消声器总成自动焊接多工位工装夹具</v>
      </c>
      <c r="C1278" s="1" t="str">
        <f t="shared" si="643"/>
        <v>发明授权</v>
      </c>
      <c r="D1278" s="1" t="str">
        <f t="shared" si="644"/>
        <v>未缴年费专利权终止</v>
      </c>
      <c r="E1278" s="1" t="str">
        <f>"CN201610624216.4"</f>
        <v>CN201610624216.4</v>
      </c>
      <c r="F1278" s="1" t="str">
        <f>"2016-07-28"</f>
        <v>2016-07-28</v>
      </c>
      <c r="G1278" s="1" t="str">
        <f>"CN106078053B"</f>
        <v>CN106078053B</v>
      </c>
      <c r="H1278" s="1" t="str">
        <f t="shared" si="645"/>
        <v>2017-12-01</v>
      </c>
      <c r="I1278" s="1" t="str">
        <f t="shared" si="636"/>
        <v>肖建民</v>
      </c>
      <c r="J1278" s="1" t="str">
        <f t="shared" si="637"/>
        <v>天津市神驰汽车零部件有限公司</v>
      </c>
    </row>
    <row r="1279" spans="1:10">
      <c r="A1279" s="1" t="str">
        <f t="shared" si="635"/>
        <v>天津市神驰汽车零部件有限公司</v>
      </c>
      <c r="B1279" s="1" t="str">
        <f>"一种汽车排气消音器"</f>
        <v>一种汽车排气消音器</v>
      </c>
      <c r="C1279" s="1" t="str">
        <f t="shared" si="643"/>
        <v>发明授权</v>
      </c>
      <c r="D1279" s="1" t="str">
        <f t="shared" si="644"/>
        <v>未缴年费专利权终止</v>
      </c>
      <c r="E1279" s="1" t="str">
        <f>"CN201510505981.X"</f>
        <v>CN201510505981.X</v>
      </c>
      <c r="F1279" s="1" t="str">
        <f>"2015-08-17"</f>
        <v>2015-08-17</v>
      </c>
      <c r="G1279" s="1" t="str">
        <f>"CN105134337B"</f>
        <v>CN105134337B</v>
      </c>
      <c r="H1279" s="1" t="str">
        <f t="shared" si="645"/>
        <v>2017-12-01</v>
      </c>
      <c r="I1279" s="1" t="str">
        <f t="shared" si="636"/>
        <v>肖建民</v>
      </c>
      <c r="J1279" s="1" t="str">
        <f t="shared" si="637"/>
        <v>天津市神驰汽车零部件有限公司</v>
      </c>
    </row>
    <row r="1280" spans="1:10">
      <c r="A1280" s="1" t="str">
        <f t="shared" si="635"/>
        <v>天津市神驰汽车零部件有限公司</v>
      </c>
      <c r="B1280" s="1" t="str">
        <f>"一种双管路尾气缓冲消音器"</f>
        <v>一种双管路尾气缓冲消音器</v>
      </c>
      <c r="C1280" s="1" t="str">
        <f t="shared" si="643"/>
        <v>发明授权</v>
      </c>
      <c r="D1280" s="1" t="str">
        <f t="shared" si="644"/>
        <v>未缴年费专利权终止</v>
      </c>
      <c r="E1280" s="1" t="str">
        <f>"CN201510106805.9"</f>
        <v>CN201510106805.9</v>
      </c>
      <c r="F1280" s="1" t="str">
        <f>"2015-03-11"</f>
        <v>2015-03-11</v>
      </c>
      <c r="G1280" s="1" t="str">
        <f>"CN104819033B"</f>
        <v>CN104819033B</v>
      </c>
      <c r="H1280" s="1" t="str">
        <f>"2017-11-14"</f>
        <v>2017-11-14</v>
      </c>
      <c r="I1280" s="1" t="str">
        <f t="shared" si="636"/>
        <v>肖建民</v>
      </c>
      <c r="J1280" s="1" t="str">
        <f t="shared" si="637"/>
        <v>天津市神驰汽车零部件有限公司</v>
      </c>
    </row>
    <row r="1281" spans="1:10">
      <c r="A1281" s="1" t="str">
        <f t="shared" si="635"/>
        <v>天津市神驰汽车零部件有限公司</v>
      </c>
      <c r="B1281" s="1" t="str">
        <f>"一种用于汽车排气管的消音器"</f>
        <v>一种用于汽车排气管的消音器</v>
      </c>
      <c r="C1281" s="1" t="str">
        <f t="shared" si="643"/>
        <v>发明授权</v>
      </c>
      <c r="D1281" s="1" t="str">
        <f t="shared" si="644"/>
        <v>未缴年费专利权终止</v>
      </c>
      <c r="E1281" s="1" t="str">
        <f>"CN201510478770.1"</f>
        <v>CN201510478770.1</v>
      </c>
      <c r="F1281" s="1" t="str">
        <f>"2015-08-06"</f>
        <v>2015-08-06</v>
      </c>
      <c r="G1281" s="1" t="str">
        <f>"CN105134338B"</f>
        <v>CN105134338B</v>
      </c>
      <c r="H1281" s="1" t="str">
        <f>"2017-11-14"</f>
        <v>2017-11-14</v>
      </c>
      <c r="I1281" s="1" t="str">
        <f t="shared" si="636"/>
        <v>肖建民</v>
      </c>
      <c r="J1281" s="1" t="str">
        <f t="shared" si="637"/>
        <v>天津市神驰汽车零部件有限公司</v>
      </c>
    </row>
    <row r="1282" spans="1:10">
      <c r="A1282" s="1" t="str">
        <f t="shared" si="635"/>
        <v>天津市神驰汽车零部件有限公司</v>
      </c>
      <c r="B1282" s="1" t="str">
        <f>"一种汽车消声器"</f>
        <v>一种汽车消声器</v>
      </c>
      <c r="C1282" s="1" t="str">
        <f t="shared" si="643"/>
        <v>发明授权</v>
      </c>
      <c r="D1282" s="1" t="str">
        <f t="shared" si="644"/>
        <v>未缴年费专利权终止</v>
      </c>
      <c r="E1282" s="1" t="str">
        <f>"CN201510506055.4"</f>
        <v>CN201510506055.4</v>
      </c>
      <c r="F1282" s="1" t="str">
        <f>"2015-08-17"</f>
        <v>2015-08-17</v>
      </c>
      <c r="G1282" s="1" t="str">
        <f>"CN105019984B"</f>
        <v>CN105019984B</v>
      </c>
      <c r="H1282" s="1" t="str">
        <f>"2017-07-28"</f>
        <v>2017-07-28</v>
      </c>
      <c r="I1282" s="1" t="str">
        <f t="shared" si="636"/>
        <v>肖建民</v>
      </c>
      <c r="J1282" s="1" t="str">
        <f t="shared" si="637"/>
        <v>天津市神驰汽车零部件有限公司</v>
      </c>
    </row>
    <row r="1283" spans="1:10">
      <c r="A1283" s="1" t="str">
        <f t="shared" si="635"/>
        <v>天津市神驰汽车零部件有限公司</v>
      </c>
      <c r="B1283" s="1" t="str">
        <f>"一种消声器成型纵缝咬合机的传送机构"</f>
        <v>一种消声器成型纵缝咬合机的传送机构</v>
      </c>
      <c r="C1283" s="1" t="str">
        <f t="shared" ref="C1283:C1288" si="646">"发明公布"</f>
        <v>发明公布</v>
      </c>
      <c r="D1283" s="1" t="str">
        <f t="shared" ref="D1283:D1288" si="647">"公布驳回"</f>
        <v>公布驳回</v>
      </c>
      <c r="E1283" s="1" t="str">
        <f>"CN201610856974.9"</f>
        <v>CN201610856974.9</v>
      </c>
      <c r="F1283" s="1" t="str">
        <f>"2017-01-13"</f>
        <v>2017-01-13</v>
      </c>
      <c r="G1283" s="1" t="str">
        <f>"CN106623646A"</f>
        <v>CN106623646A</v>
      </c>
      <c r="H1283" s="1" t="str">
        <f>"2017-05-10"</f>
        <v>2017-05-10</v>
      </c>
      <c r="I1283" s="1" t="str">
        <f t="shared" si="636"/>
        <v>肖建民</v>
      </c>
      <c r="J1283" s="1" t="str">
        <f t="shared" si="637"/>
        <v>天津市神驰汽车零部件有限公司</v>
      </c>
    </row>
    <row r="1284" spans="1:10">
      <c r="A1284" s="1" t="str">
        <f t="shared" si="635"/>
        <v>天津市神驰汽车零部件有限公司</v>
      </c>
      <c r="B1284" s="1" t="str">
        <f>"一种带有双层消音箱的双管路消音器"</f>
        <v>一种带有双层消音箱的双管路消音器</v>
      </c>
      <c r="C1284" s="1" t="str">
        <f>"发明授权"</f>
        <v>发明授权</v>
      </c>
      <c r="D1284" s="1" t="str">
        <f t="shared" ref="D1284:D1294" si="648">"未缴年费专利权终止"</f>
        <v>未缴年费专利权终止</v>
      </c>
      <c r="E1284" s="1" t="str">
        <f>"CN201510075493.X"</f>
        <v>CN201510075493.X</v>
      </c>
      <c r="F1284" s="1" t="str">
        <f>"2015-02-12"</f>
        <v>2015-02-12</v>
      </c>
      <c r="G1284" s="1" t="str">
        <f>"CN104763504B"</f>
        <v>CN104763504B</v>
      </c>
      <c r="H1284" s="1" t="str">
        <f>"2017-04-19"</f>
        <v>2017-04-19</v>
      </c>
      <c r="I1284" s="1" t="str">
        <f t="shared" si="636"/>
        <v>肖建民</v>
      </c>
      <c r="J1284" s="1" t="str">
        <f t="shared" si="637"/>
        <v>天津市神驰汽车零部件有限公司</v>
      </c>
    </row>
    <row r="1285" spans="1:10">
      <c r="A1285" s="1" t="str">
        <f t="shared" si="635"/>
        <v>天津市神驰汽车零部件有限公司</v>
      </c>
      <c r="B1285" s="1" t="str">
        <f>"一种后消声器总成检具"</f>
        <v>一种后消声器总成检具</v>
      </c>
      <c r="C1285" s="1" t="str">
        <f t="shared" ref="C1285:C1297" si="649">"实用新型"</f>
        <v>实用新型</v>
      </c>
      <c r="D1285" s="1" t="str">
        <f t="shared" si="648"/>
        <v>未缴年费专利权终止</v>
      </c>
      <c r="E1285" s="1" t="str">
        <f>"CN201621085211.0"</f>
        <v>CN201621085211.0</v>
      </c>
      <c r="F1285" s="1" t="str">
        <f t="shared" ref="F1285:F1288" si="650">"2016-09-27"</f>
        <v>2016-09-27</v>
      </c>
      <c r="G1285" s="1" t="str">
        <f>"CN206113803U"</f>
        <v>CN206113803U</v>
      </c>
      <c r="H1285" s="1" t="str">
        <f>"2017-04-19"</f>
        <v>2017-04-19</v>
      </c>
      <c r="I1285" s="1" t="str">
        <f t="shared" si="636"/>
        <v>肖建民</v>
      </c>
      <c r="J1285" s="1" t="str">
        <f t="shared" si="637"/>
        <v>天津市神驰汽车零部件有限公司</v>
      </c>
    </row>
    <row r="1286" spans="1:10">
      <c r="A1286" s="1" t="str">
        <f t="shared" si="635"/>
        <v>天津市神驰汽车零部件有限公司</v>
      </c>
      <c r="B1286" s="1" t="str">
        <f>"一种副消声器气密性检测台"</f>
        <v>一种副消声器气密性检测台</v>
      </c>
      <c r="C1286" s="1" t="str">
        <f t="shared" si="646"/>
        <v>发明公布</v>
      </c>
      <c r="D1286" s="1" t="str">
        <f t="shared" si="647"/>
        <v>公布驳回</v>
      </c>
      <c r="E1286" s="1" t="str">
        <f>"CN201610855185.3"</f>
        <v>CN201610855185.3</v>
      </c>
      <c r="F1286" s="1" t="str">
        <f t="shared" si="650"/>
        <v>2016-09-27</v>
      </c>
      <c r="G1286" s="1" t="str">
        <f>"CN106482914A"</f>
        <v>CN106482914A</v>
      </c>
      <c r="H1286" s="1" t="str">
        <f>"2017-03-08"</f>
        <v>2017-03-08</v>
      </c>
      <c r="I1286" s="1" t="str">
        <f t="shared" si="636"/>
        <v>肖建民</v>
      </c>
      <c r="J1286" s="1" t="str">
        <f t="shared" si="637"/>
        <v>天津市神驰汽车零部件有限公司</v>
      </c>
    </row>
    <row r="1287" spans="1:10">
      <c r="A1287" s="1" t="str">
        <f t="shared" si="635"/>
        <v>天津市神驰汽车零部件有限公司</v>
      </c>
      <c r="B1287" s="1" t="str">
        <f>"一种汽车排气管净化消声器"</f>
        <v>一种汽车排气管净化消声器</v>
      </c>
      <c r="C1287" s="1" t="str">
        <f t="shared" si="646"/>
        <v>发明公布</v>
      </c>
      <c r="D1287" s="1" t="str">
        <f t="shared" si="647"/>
        <v>公布驳回</v>
      </c>
      <c r="E1287" s="1" t="str">
        <f>"CN201610855319.1"</f>
        <v>CN201610855319.1</v>
      </c>
      <c r="F1287" s="1" t="str">
        <f t="shared" si="650"/>
        <v>2016-09-27</v>
      </c>
      <c r="G1287" s="1" t="str">
        <f>"CN106351721A"</f>
        <v>CN106351721A</v>
      </c>
      <c r="H1287" s="1" t="str">
        <f>"2017-01-25"</f>
        <v>2017-01-25</v>
      </c>
      <c r="I1287" s="1" t="str">
        <f t="shared" si="636"/>
        <v>肖建民</v>
      </c>
      <c r="J1287" s="1" t="str">
        <f t="shared" si="637"/>
        <v>天津市神驰汽车零部件有限公司</v>
      </c>
    </row>
    <row r="1288" spans="1:10">
      <c r="A1288" s="1" t="str">
        <f t="shared" si="635"/>
        <v>天津市神驰汽车零部件有限公司</v>
      </c>
      <c r="B1288" s="1" t="str">
        <f>"一种后消声器总成检具"</f>
        <v>一种后消声器总成检具</v>
      </c>
      <c r="C1288" s="1" t="str">
        <f t="shared" si="646"/>
        <v>发明公布</v>
      </c>
      <c r="D1288" s="1" t="str">
        <f t="shared" si="647"/>
        <v>公布驳回</v>
      </c>
      <c r="E1288" s="1" t="str">
        <f>"CN201610855181.5"</f>
        <v>CN201610855181.5</v>
      </c>
      <c r="F1288" s="1" t="str">
        <f t="shared" si="650"/>
        <v>2016-09-27</v>
      </c>
      <c r="G1288" s="1" t="str">
        <f>"CN106352757A"</f>
        <v>CN106352757A</v>
      </c>
      <c r="H1288" s="1" t="str">
        <f>"2017-01-25"</f>
        <v>2017-01-25</v>
      </c>
      <c r="I1288" s="1" t="str">
        <f t="shared" si="636"/>
        <v>肖建民</v>
      </c>
      <c r="J1288" s="1" t="str">
        <f t="shared" si="637"/>
        <v>天津市神驰汽车零部件有限公司</v>
      </c>
    </row>
    <row r="1289" spans="1:10">
      <c r="A1289" s="1" t="str">
        <f t="shared" si="635"/>
        <v>天津市神驰汽车零部件有限公司</v>
      </c>
      <c r="B1289" s="1" t="str">
        <f>"一种超低噪音消声器"</f>
        <v>一种超低噪音消声器</v>
      </c>
      <c r="C1289" s="1" t="str">
        <f t="shared" si="649"/>
        <v>实用新型</v>
      </c>
      <c r="D1289" s="1" t="str">
        <f t="shared" si="648"/>
        <v>未缴年费专利权终止</v>
      </c>
      <c r="E1289" s="1" t="str">
        <f>"CN201620699915.0"</f>
        <v>CN201620699915.0</v>
      </c>
      <c r="F1289" s="1" t="str">
        <f t="shared" ref="F1289:F1293" si="651">"2016-07-05"</f>
        <v>2016-07-05</v>
      </c>
      <c r="G1289" s="1" t="str">
        <f>"CN205895364U"</f>
        <v>CN205895364U</v>
      </c>
      <c r="H1289" s="1" t="str">
        <f t="shared" ref="H1289:H1297" si="652">"2017-01-18"</f>
        <v>2017-01-18</v>
      </c>
      <c r="I1289" s="1" t="str">
        <f t="shared" si="636"/>
        <v>肖建民</v>
      </c>
      <c r="J1289" s="1" t="str">
        <f t="shared" si="637"/>
        <v>天津市神驰汽车零部件有限公司</v>
      </c>
    </row>
    <row r="1290" spans="1:10">
      <c r="A1290" s="1" t="str">
        <f t="shared" si="635"/>
        <v>天津市神驰汽车零部件有限公司</v>
      </c>
      <c r="B1290" s="1" t="str">
        <f>"一种消声器封盖机"</f>
        <v>一种消声器封盖机</v>
      </c>
      <c r="C1290" s="1" t="str">
        <f t="shared" si="649"/>
        <v>实用新型</v>
      </c>
      <c r="D1290" s="1" t="str">
        <f t="shared" si="648"/>
        <v>未缴年费专利权终止</v>
      </c>
      <c r="E1290" s="1" t="str">
        <f>"CN201620828956.5"</f>
        <v>CN201620828956.5</v>
      </c>
      <c r="F1290" s="1" t="str">
        <f t="shared" ref="F1290:F1295" si="653">"2016-07-28"</f>
        <v>2016-07-28</v>
      </c>
      <c r="G1290" s="1" t="str">
        <f>"CN205887861U"</f>
        <v>CN205887861U</v>
      </c>
      <c r="H1290" s="1" t="str">
        <f t="shared" si="652"/>
        <v>2017-01-18</v>
      </c>
      <c r="I1290" s="1" t="str">
        <f t="shared" si="636"/>
        <v>肖建民</v>
      </c>
      <c r="J1290" s="1" t="str">
        <f t="shared" si="637"/>
        <v>天津市神驰汽车零部件有限公司</v>
      </c>
    </row>
    <row r="1291" spans="1:10">
      <c r="A1291" s="1" t="str">
        <f t="shared" si="635"/>
        <v>天津市神驰汽车零部件有限公司</v>
      </c>
      <c r="B1291" s="1" t="str">
        <f>"一种副消声器旋压机"</f>
        <v>一种副消声器旋压机</v>
      </c>
      <c r="C1291" s="1" t="str">
        <f t="shared" si="649"/>
        <v>实用新型</v>
      </c>
      <c r="D1291" s="1" t="str">
        <f t="shared" si="648"/>
        <v>未缴年费专利权终止</v>
      </c>
      <c r="E1291" s="1" t="str">
        <f>"CN201620696832.6"</f>
        <v>CN201620696832.6</v>
      </c>
      <c r="F1291" s="1" t="str">
        <f t="shared" si="651"/>
        <v>2016-07-05</v>
      </c>
      <c r="G1291" s="1" t="str">
        <f>"CN205887770U"</f>
        <v>CN205887770U</v>
      </c>
      <c r="H1291" s="1" t="str">
        <f t="shared" si="652"/>
        <v>2017-01-18</v>
      </c>
      <c r="I1291" s="1" t="str">
        <f t="shared" si="636"/>
        <v>肖建民</v>
      </c>
      <c r="J1291" s="1" t="str">
        <f t="shared" si="637"/>
        <v>天津市神驰汽车零部件有限公司</v>
      </c>
    </row>
    <row r="1292" spans="1:10">
      <c r="A1292" s="1" t="str">
        <f t="shared" si="635"/>
        <v>天津市神驰汽车零部件有限公司</v>
      </c>
      <c r="B1292" s="1" t="str">
        <f>"一种消声器耐压强度及内压耐久试验台"</f>
        <v>一种消声器耐压强度及内压耐久试验台</v>
      </c>
      <c r="C1292" s="1" t="str">
        <f t="shared" si="649"/>
        <v>实用新型</v>
      </c>
      <c r="D1292" s="1" t="str">
        <f t="shared" si="648"/>
        <v>未缴年费专利权终止</v>
      </c>
      <c r="E1292" s="1" t="str">
        <f>"CN201620827420.1"</f>
        <v>CN201620827420.1</v>
      </c>
      <c r="F1292" s="1" t="str">
        <f t="shared" si="653"/>
        <v>2016-07-28</v>
      </c>
      <c r="G1292" s="1" t="str">
        <f>"CN205898439U"</f>
        <v>CN205898439U</v>
      </c>
      <c r="H1292" s="1" t="str">
        <f t="shared" si="652"/>
        <v>2017-01-18</v>
      </c>
      <c r="I1292" s="1" t="str">
        <f t="shared" si="636"/>
        <v>肖建民</v>
      </c>
      <c r="J1292" s="1" t="str">
        <f t="shared" si="637"/>
        <v>天津市神驰汽车零部件有限公司</v>
      </c>
    </row>
    <row r="1293" spans="1:10">
      <c r="A1293" s="1" t="str">
        <f t="shared" si="635"/>
        <v>天津市神驰汽车零部件有限公司</v>
      </c>
      <c r="B1293" s="1" t="str">
        <f>"一种单层厚板纵缝咬合机成型轴"</f>
        <v>一种单层厚板纵缝咬合机成型轴</v>
      </c>
      <c r="C1293" s="1" t="str">
        <f t="shared" si="649"/>
        <v>实用新型</v>
      </c>
      <c r="D1293" s="1" t="str">
        <f t="shared" si="648"/>
        <v>未缴年费专利权终止</v>
      </c>
      <c r="E1293" s="1" t="str">
        <f>"CN201620699912.7"</f>
        <v>CN201620699912.7</v>
      </c>
      <c r="F1293" s="1" t="str">
        <f t="shared" si="651"/>
        <v>2016-07-05</v>
      </c>
      <c r="G1293" s="1" t="str">
        <f>"CN205887859U"</f>
        <v>CN205887859U</v>
      </c>
      <c r="H1293" s="1" t="str">
        <f t="shared" si="652"/>
        <v>2017-01-18</v>
      </c>
      <c r="I1293" s="1" t="str">
        <f t="shared" si="636"/>
        <v>肖建民</v>
      </c>
      <c r="J1293" s="1" t="str">
        <f t="shared" si="637"/>
        <v>天津市神驰汽车零部件有限公司</v>
      </c>
    </row>
    <row r="1294" spans="1:10">
      <c r="A1294" s="1" t="str">
        <f t="shared" si="635"/>
        <v>天津市神驰汽车零部件有限公司</v>
      </c>
      <c r="B1294" s="1" t="str">
        <f>"一种新型单层厚板纵缝咬合机"</f>
        <v>一种新型单层厚板纵缝咬合机</v>
      </c>
      <c r="C1294" s="1" t="str">
        <f t="shared" si="649"/>
        <v>实用新型</v>
      </c>
      <c r="D1294" s="1" t="str">
        <f t="shared" si="648"/>
        <v>未缴年费专利权终止</v>
      </c>
      <c r="E1294" s="1" t="str">
        <f>"CN201620827418.4"</f>
        <v>CN201620827418.4</v>
      </c>
      <c r="F1294" s="1" t="str">
        <f t="shared" si="653"/>
        <v>2016-07-28</v>
      </c>
      <c r="G1294" s="1" t="str">
        <f>"CN205887860U"</f>
        <v>CN205887860U</v>
      </c>
      <c r="H1294" s="1" t="str">
        <f t="shared" si="652"/>
        <v>2017-01-18</v>
      </c>
      <c r="I1294" s="1" t="str">
        <f t="shared" si="636"/>
        <v>肖建民</v>
      </c>
      <c r="J1294" s="1" t="str">
        <f t="shared" si="637"/>
        <v>天津市神驰汽车零部件有限公司</v>
      </c>
    </row>
    <row r="1295" spans="1:10">
      <c r="A1295" s="1" t="str">
        <f t="shared" si="635"/>
        <v>天津市神驰汽车零部件有限公司</v>
      </c>
      <c r="B1295" s="1" t="str">
        <f>"一种消声器总成自动焊接多工位工装夹具"</f>
        <v>一种消声器总成自动焊接多工位工装夹具</v>
      </c>
      <c r="C1295" s="1" t="str">
        <f t="shared" si="649"/>
        <v>实用新型</v>
      </c>
      <c r="D1295" s="1" t="str">
        <f>"避重放弃"</f>
        <v>避重放弃</v>
      </c>
      <c r="E1295" s="1" t="str">
        <f>"CN201620828143.6"</f>
        <v>CN201620828143.6</v>
      </c>
      <c r="F1295" s="1" t="str">
        <f t="shared" si="653"/>
        <v>2016-07-28</v>
      </c>
      <c r="G1295" s="1" t="str">
        <f>"CN205888442U"</f>
        <v>CN205888442U</v>
      </c>
      <c r="H1295" s="1" t="str">
        <f t="shared" si="652"/>
        <v>2017-01-18</v>
      </c>
      <c r="I1295" s="1" t="str">
        <f t="shared" si="636"/>
        <v>肖建民</v>
      </c>
      <c r="J1295" s="1" t="str">
        <f t="shared" si="637"/>
        <v>天津市神驰汽车零部件有限公司</v>
      </c>
    </row>
    <row r="1296" spans="1:10">
      <c r="A1296" s="1" t="str">
        <f t="shared" si="635"/>
        <v>天津市神驰汽车零部件有限公司</v>
      </c>
      <c r="B1296" s="1" t="str">
        <f>"一种卷筒成型专机"</f>
        <v>一种卷筒成型专机</v>
      </c>
      <c r="C1296" s="1" t="str">
        <f t="shared" si="649"/>
        <v>实用新型</v>
      </c>
      <c r="D1296" s="1" t="str">
        <f>"未缴年费专利权终止"</f>
        <v>未缴年费专利权终止</v>
      </c>
      <c r="E1296" s="1" t="str">
        <f>"CN201620696748.4"</f>
        <v>CN201620696748.4</v>
      </c>
      <c r="F1296" s="1" t="str">
        <f t="shared" ref="F1296:F1301" si="654">"2016-07-05"</f>
        <v>2016-07-05</v>
      </c>
      <c r="G1296" s="1" t="str">
        <f>"CN205887732U"</f>
        <v>CN205887732U</v>
      </c>
      <c r="H1296" s="1" t="str">
        <f t="shared" si="652"/>
        <v>2017-01-18</v>
      </c>
      <c r="I1296" s="1" t="str">
        <f t="shared" si="636"/>
        <v>肖建民</v>
      </c>
      <c r="J1296" s="1" t="str">
        <f t="shared" si="637"/>
        <v>天津市神驰汽车零部件有限公司</v>
      </c>
    </row>
    <row r="1297" spans="1:10">
      <c r="A1297" s="1" t="str">
        <f t="shared" si="635"/>
        <v>天津市神驰汽车零部件有限公司</v>
      </c>
      <c r="B1297" s="1" t="str">
        <f>"一种超长消声器总成焊接工装夹具"</f>
        <v>一种超长消声器总成焊接工装夹具</v>
      </c>
      <c r="C1297" s="1" t="str">
        <f t="shared" si="649"/>
        <v>实用新型</v>
      </c>
      <c r="D1297" s="1" t="str">
        <f>"未缴年费专利权终止"</f>
        <v>未缴年费专利权终止</v>
      </c>
      <c r="E1297" s="1" t="str">
        <f>"CN201620699914.6"</f>
        <v>CN201620699914.6</v>
      </c>
      <c r="F1297" s="1" t="str">
        <f t="shared" si="654"/>
        <v>2016-07-05</v>
      </c>
      <c r="G1297" s="1" t="str">
        <f>"CN205888422U"</f>
        <v>CN205888422U</v>
      </c>
      <c r="H1297" s="1" t="str">
        <f t="shared" si="652"/>
        <v>2017-01-18</v>
      </c>
      <c r="I1297" s="1" t="str">
        <f t="shared" si="636"/>
        <v>肖建民</v>
      </c>
      <c r="J1297" s="1" t="str">
        <f t="shared" si="637"/>
        <v>天津市神驰汽车零部件有限公司</v>
      </c>
    </row>
    <row r="1298" spans="1:10">
      <c r="A1298" s="1" t="str">
        <f t="shared" si="635"/>
        <v>天津市神驰汽车零部件有限公司</v>
      </c>
      <c r="B1298" s="1" t="str">
        <f>"一种消声器耐压强度及内压耐久试验台及试验方法"</f>
        <v>一种消声器耐压强度及内压耐久试验台及试验方法</v>
      </c>
      <c r="C1298" s="1" t="str">
        <f t="shared" ref="C1298:C1301" si="655">"发明公布"</f>
        <v>发明公布</v>
      </c>
      <c r="D1298" s="1" t="str">
        <f>"公布驳回"</f>
        <v>公布驳回</v>
      </c>
      <c r="E1298" s="1" t="str">
        <f>"CN201610624115.7"</f>
        <v>CN201610624115.7</v>
      </c>
      <c r="F1298" s="1" t="str">
        <f t="shared" ref="F1298:F1300" si="656">"2016-07-28"</f>
        <v>2016-07-28</v>
      </c>
      <c r="G1298" s="1" t="str">
        <f>"CN106226053A"</f>
        <v>CN106226053A</v>
      </c>
      <c r="H1298" s="1" t="str">
        <f>"2016-12-14"</f>
        <v>2016-12-14</v>
      </c>
      <c r="I1298" s="1" t="str">
        <f t="shared" si="636"/>
        <v>肖建民</v>
      </c>
      <c r="J1298" s="1" t="str">
        <f t="shared" si="637"/>
        <v>天津市神驰汽车零部件有限公司</v>
      </c>
    </row>
    <row r="1299" spans="1:10">
      <c r="A1299" s="1" t="str">
        <f t="shared" si="635"/>
        <v>天津市神驰汽车零部件有限公司</v>
      </c>
      <c r="B1299" s="1" t="str">
        <f>"一种新型单层厚板纵缝咬合机"</f>
        <v>一种新型单层厚板纵缝咬合机</v>
      </c>
      <c r="C1299" s="1" t="str">
        <f t="shared" si="655"/>
        <v>发明公布</v>
      </c>
      <c r="D1299" s="1" t="str">
        <f>"公布视为撤回"</f>
        <v>公布视为撤回</v>
      </c>
      <c r="E1299" s="1" t="str">
        <f>"CN201610624217.9"</f>
        <v>CN201610624217.9</v>
      </c>
      <c r="F1299" s="1" t="str">
        <f t="shared" si="656"/>
        <v>2016-07-28</v>
      </c>
      <c r="G1299" s="1" t="str">
        <f>"CN106077314A"</f>
        <v>CN106077314A</v>
      </c>
      <c r="H1299" s="1" t="str">
        <f>"2016-11-09"</f>
        <v>2016-11-09</v>
      </c>
      <c r="I1299" s="1" t="str">
        <f t="shared" si="636"/>
        <v>肖建民</v>
      </c>
      <c r="J1299" s="1" t="str">
        <f t="shared" si="637"/>
        <v>天津市神驰汽车零部件有限公司</v>
      </c>
    </row>
    <row r="1300" spans="1:10">
      <c r="A1300" s="1" t="str">
        <f t="shared" si="635"/>
        <v>天津市神驰汽车零部件有限公司</v>
      </c>
      <c r="B1300" s="1" t="str">
        <f>"一种消声器封盖机"</f>
        <v>一种消声器封盖机</v>
      </c>
      <c r="C1300" s="1" t="str">
        <f t="shared" si="655"/>
        <v>发明公布</v>
      </c>
      <c r="D1300" s="1" t="str">
        <f>"公布视为撤回"</f>
        <v>公布视为撤回</v>
      </c>
      <c r="E1300" s="1" t="str">
        <f>"CN201610623530.0"</f>
        <v>CN201610623530.0</v>
      </c>
      <c r="F1300" s="1" t="str">
        <f t="shared" si="656"/>
        <v>2016-07-28</v>
      </c>
      <c r="G1300" s="1" t="str">
        <f>"CN106077313A"</f>
        <v>CN106077313A</v>
      </c>
      <c r="H1300" s="1" t="str">
        <f>"2016-11-09"</f>
        <v>2016-11-09</v>
      </c>
      <c r="I1300" s="1" t="str">
        <f t="shared" si="636"/>
        <v>肖建民</v>
      </c>
      <c r="J1300" s="1" t="str">
        <f t="shared" si="637"/>
        <v>天津市神驰汽车零部件有限公司</v>
      </c>
    </row>
    <row r="1301" spans="1:10">
      <c r="A1301" s="1" t="str">
        <f t="shared" si="635"/>
        <v>天津市神驰汽车零部件有限公司</v>
      </c>
      <c r="B1301" s="1" t="str">
        <f>"一种副消声器旋压机"</f>
        <v>一种副消声器旋压机</v>
      </c>
      <c r="C1301" s="1" t="str">
        <f t="shared" si="655"/>
        <v>发明公布</v>
      </c>
      <c r="D1301" s="1" t="str">
        <f>"公布驳回"</f>
        <v>公布驳回</v>
      </c>
      <c r="E1301" s="1" t="str">
        <f>"CN201610520646.1"</f>
        <v>CN201610520646.1</v>
      </c>
      <c r="F1301" s="1" t="str">
        <f t="shared" si="654"/>
        <v>2016-07-05</v>
      </c>
      <c r="G1301" s="1" t="str">
        <f>"CN105921579A"</f>
        <v>CN105921579A</v>
      </c>
      <c r="H1301" s="1" t="str">
        <f>"2016-09-07"</f>
        <v>2016-09-07</v>
      </c>
      <c r="I1301" s="1" t="str">
        <f t="shared" si="636"/>
        <v>肖建民</v>
      </c>
      <c r="J1301" s="1" t="str">
        <f t="shared" si="637"/>
        <v>天津市神驰汽车零部件有限公司</v>
      </c>
    </row>
    <row r="1302" spans="1:10">
      <c r="A1302" s="1" t="str">
        <f t="shared" si="635"/>
        <v>天津市神驰汽车零部件有限公司</v>
      </c>
      <c r="B1302" s="1" t="str">
        <f>"一种可旋转的排气管"</f>
        <v>一种可旋转的排气管</v>
      </c>
      <c r="C1302" s="1" t="str">
        <f t="shared" ref="C1302:C1311" si="657">"实用新型"</f>
        <v>实用新型</v>
      </c>
      <c r="D1302" s="1" t="str">
        <f t="shared" ref="D1302:D1311" si="658">"未缴年费专利权终止"</f>
        <v>未缴年费专利权终止</v>
      </c>
      <c r="E1302" s="1" t="str">
        <f>"CN201520584242.X"</f>
        <v>CN201520584242.X</v>
      </c>
      <c r="F1302" s="1" t="str">
        <f t="shared" ref="F1302:F1307" si="659">"2015-08-05"</f>
        <v>2015-08-05</v>
      </c>
      <c r="G1302" s="1" t="str">
        <f>"CN205064060U"</f>
        <v>CN205064060U</v>
      </c>
      <c r="H1302" s="1" t="str">
        <f>"2016-03-02"</f>
        <v>2016-03-02</v>
      </c>
      <c r="I1302" s="1" t="str">
        <f t="shared" si="636"/>
        <v>肖建民</v>
      </c>
      <c r="J1302" s="1" t="str">
        <f t="shared" si="637"/>
        <v>天津市神驰汽车零部件有限公司</v>
      </c>
    </row>
    <row r="1303" spans="1:10">
      <c r="A1303" s="1" t="str">
        <f t="shared" si="635"/>
        <v>天津市神驰汽车零部件有限公司</v>
      </c>
      <c r="B1303" s="1" t="str">
        <f>"一种汽车消声器"</f>
        <v>一种汽车消声器</v>
      </c>
      <c r="C1303" s="1" t="str">
        <f t="shared" si="657"/>
        <v>实用新型</v>
      </c>
      <c r="D1303" s="1" t="str">
        <f>"避重放弃"</f>
        <v>避重放弃</v>
      </c>
      <c r="E1303" s="1" t="str">
        <f>"CN201520621006.0"</f>
        <v>CN201520621006.0</v>
      </c>
      <c r="F1303" s="1" t="str">
        <f>"2015-08-17"</f>
        <v>2015-08-17</v>
      </c>
      <c r="G1303" s="1" t="str">
        <f>"CN204941645U"</f>
        <v>CN204941645U</v>
      </c>
      <c r="H1303" s="1" t="str">
        <f t="shared" ref="H1303:H1311" si="660">"2016-01-06"</f>
        <v>2016-01-06</v>
      </c>
      <c r="I1303" s="1" t="str">
        <f t="shared" si="636"/>
        <v>肖建民</v>
      </c>
      <c r="J1303" s="1" t="str">
        <f t="shared" si="637"/>
        <v>天津市神驰汽车零部件有限公司</v>
      </c>
    </row>
    <row r="1304" spans="1:10">
      <c r="A1304" s="1" t="str">
        <f t="shared" si="635"/>
        <v>天津市神驰汽车零部件有限公司</v>
      </c>
      <c r="B1304" s="1" t="str">
        <f>"一种防止水倒灌的排气管"</f>
        <v>一种防止水倒灌的排气管</v>
      </c>
      <c r="C1304" s="1" t="str">
        <f t="shared" si="657"/>
        <v>实用新型</v>
      </c>
      <c r="D1304" s="1" t="str">
        <f t="shared" si="658"/>
        <v>未缴年费专利权终止</v>
      </c>
      <c r="E1304" s="1" t="str">
        <f>"CN201520584243.4"</f>
        <v>CN201520584243.4</v>
      </c>
      <c r="F1304" s="1" t="str">
        <f t="shared" si="659"/>
        <v>2015-08-05</v>
      </c>
      <c r="G1304" s="1" t="str">
        <f>"CN204941672U"</f>
        <v>CN204941672U</v>
      </c>
      <c r="H1304" s="1" t="str">
        <f t="shared" si="660"/>
        <v>2016-01-06</v>
      </c>
      <c r="I1304" s="1" t="str">
        <f t="shared" si="636"/>
        <v>肖建民</v>
      </c>
      <c r="J1304" s="1" t="str">
        <f t="shared" si="637"/>
        <v>天津市神驰汽车零部件有限公司</v>
      </c>
    </row>
    <row r="1305" spans="1:10">
      <c r="A1305" s="1" t="str">
        <f t="shared" si="635"/>
        <v>天津市神驰汽车零部件有限公司</v>
      </c>
      <c r="B1305" s="1" t="str">
        <f>"一种消音汽车排气管"</f>
        <v>一种消音汽车排气管</v>
      </c>
      <c r="C1305" s="1" t="str">
        <f t="shared" si="657"/>
        <v>实用新型</v>
      </c>
      <c r="D1305" s="1" t="str">
        <f t="shared" si="658"/>
        <v>未缴年费专利权终止</v>
      </c>
      <c r="E1305" s="1" t="str">
        <f>"CN201520586331.8"</f>
        <v>CN201520586331.8</v>
      </c>
      <c r="F1305" s="1" t="str">
        <f>"2015-08-06"</f>
        <v>2015-08-06</v>
      </c>
      <c r="G1305" s="1" t="str">
        <f>"CN204941673U"</f>
        <v>CN204941673U</v>
      </c>
      <c r="H1305" s="1" t="str">
        <f t="shared" si="660"/>
        <v>2016-01-06</v>
      </c>
      <c r="I1305" s="1" t="str">
        <f t="shared" si="636"/>
        <v>肖建民</v>
      </c>
      <c r="J1305" s="1" t="str">
        <f t="shared" si="637"/>
        <v>天津市神驰汽车零部件有限公司</v>
      </c>
    </row>
    <row r="1306" spans="1:10">
      <c r="A1306" s="1" t="str">
        <f t="shared" si="635"/>
        <v>天津市神驰汽车零部件有限公司</v>
      </c>
      <c r="B1306" s="1" t="str">
        <f>"一种带双重消音器的汽车排气管"</f>
        <v>一种带双重消音器的汽车排气管</v>
      </c>
      <c r="C1306" s="1" t="str">
        <f t="shared" si="657"/>
        <v>实用新型</v>
      </c>
      <c r="D1306" s="1" t="str">
        <f t="shared" si="658"/>
        <v>未缴年费专利权终止</v>
      </c>
      <c r="E1306" s="1" t="str">
        <f>"CN201520576697.7"</f>
        <v>CN201520576697.7</v>
      </c>
      <c r="F1306" s="1" t="str">
        <f>"2015-08-03"</f>
        <v>2015-08-03</v>
      </c>
      <c r="G1306" s="1" t="str">
        <f>"CN204941671U"</f>
        <v>CN204941671U</v>
      </c>
      <c r="H1306" s="1" t="str">
        <f t="shared" si="660"/>
        <v>2016-01-06</v>
      </c>
      <c r="I1306" s="1" t="str">
        <f t="shared" si="636"/>
        <v>肖建民</v>
      </c>
      <c r="J1306" s="1" t="str">
        <f t="shared" si="637"/>
        <v>天津市神驰汽车零部件有限公司</v>
      </c>
    </row>
    <row r="1307" spans="1:10">
      <c r="A1307" s="1" t="str">
        <f t="shared" si="635"/>
        <v>天津市神驰汽车零部件有限公司</v>
      </c>
      <c r="B1307" s="1" t="str">
        <f>"一种汽车排气管换热器"</f>
        <v>一种汽车排气管换热器</v>
      </c>
      <c r="C1307" s="1" t="str">
        <f t="shared" si="657"/>
        <v>实用新型</v>
      </c>
      <c r="D1307" s="1" t="str">
        <f t="shared" si="658"/>
        <v>未缴年费专利权终止</v>
      </c>
      <c r="E1307" s="1" t="str">
        <f>"CN201520586916.X"</f>
        <v>CN201520586916.X</v>
      </c>
      <c r="F1307" s="1" t="str">
        <f t="shared" si="659"/>
        <v>2015-08-05</v>
      </c>
      <c r="G1307" s="1" t="str">
        <f>"CN204941661U"</f>
        <v>CN204941661U</v>
      </c>
      <c r="H1307" s="1" t="str">
        <f t="shared" si="660"/>
        <v>2016-01-06</v>
      </c>
      <c r="I1307" s="1" t="str">
        <f t="shared" si="636"/>
        <v>肖建民</v>
      </c>
      <c r="J1307" s="1" t="str">
        <f t="shared" si="637"/>
        <v>天津市神驰汽车零部件有限公司</v>
      </c>
    </row>
    <row r="1308" spans="1:10">
      <c r="A1308" s="1" t="str">
        <f t="shared" si="635"/>
        <v>天津市神驰汽车零部件有限公司</v>
      </c>
      <c r="B1308" s="1" t="str">
        <f>"一种汽车排气歧管"</f>
        <v>一种汽车排气歧管</v>
      </c>
      <c r="C1308" s="1" t="str">
        <f t="shared" si="657"/>
        <v>实用新型</v>
      </c>
      <c r="D1308" s="1" t="str">
        <f t="shared" si="658"/>
        <v>未缴年费专利权终止</v>
      </c>
      <c r="E1308" s="1" t="str">
        <f>"CN201520620965.0"</f>
        <v>CN201520620965.0</v>
      </c>
      <c r="F1308" s="1" t="str">
        <f>"2015-08-17"</f>
        <v>2015-08-17</v>
      </c>
      <c r="G1308" s="1" t="str">
        <f>"CN204941680U"</f>
        <v>CN204941680U</v>
      </c>
      <c r="H1308" s="1" t="str">
        <f t="shared" si="660"/>
        <v>2016-01-06</v>
      </c>
      <c r="I1308" s="1" t="str">
        <f t="shared" si="636"/>
        <v>肖建民</v>
      </c>
      <c r="J1308" s="1" t="str">
        <f t="shared" si="637"/>
        <v>天津市神驰汽车零部件有限公司</v>
      </c>
    </row>
    <row r="1309" spans="1:10">
      <c r="A1309" s="1" t="str">
        <f t="shared" si="635"/>
        <v>天津市神驰汽车零部件有限公司</v>
      </c>
      <c r="B1309" s="1" t="str">
        <f>"一种汽车尾气管换热装置"</f>
        <v>一种汽车尾气管换热装置</v>
      </c>
      <c r="C1309" s="1" t="str">
        <f t="shared" si="657"/>
        <v>实用新型</v>
      </c>
      <c r="D1309" s="1" t="str">
        <f t="shared" si="658"/>
        <v>未缴年费专利权终止</v>
      </c>
      <c r="E1309" s="1" t="str">
        <f>"CN201520586796.3"</f>
        <v>CN201520586796.3</v>
      </c>
      <c r="F1309" s="1" t="str">
        <f>"2015-08-05"</f>
        <v>2015-08-05</v>
      </c>
      <c r="G1309" s="1" t="str">
        <f>"CN204944238U"</f>
        <v>CN204944238U</v>
      </c>
      <c r="H1309" s="1" t="str">
        <f t="shared" si="660"/>
        <v>2016-01-06</v>
      </c>
      <c r="I1309" s="1" t="str">
        <f t="shared" si="636"/>
        <v>肖建民</v>
      </c>
      <c r="J1309" s="1" t="str">
        <f t="shared" si="637"/>
        <v>天津市神驰汽车零部件有限公司</v>
      </c>
    </row>
    <row r="1310" spans="1:10">
      <c r="A1310" s="1" t="str">
        <f t="shared" si="635"/>
        <v>天津市神驰汽车零部件有限公司</v>
      </c>
      <c r="B1310" s="1" t="str">
        <f>"一种汽车排气管"</f>
        <v>一种汽车排气管</v>
      </c>
      <c r="C1310" s="1" t="str">
        <f t="shared" si="657"/>
        <v>实用新型</v>
      </c>
      <c r="D1310" s="1" t="str">
        <f t="shared" si="658"/>
        <v>未缴年费专利权终止</v>
      </c>
      <c r="E1310" s="1" t="str">
        <f>"CN201520576700.5"</f>
        <v>CN201520576700.5</v>
      </c>
      <c r="F1310" s="1" t="str">
        <f>"2015-08-03"</f>
        <v>2015-08-03</v>
      </c>
      <c r="G1310" s="1" t="str">
        <f>"CN204941679U"</f>
        <v>CN204941679U</v>
      </c>
      <c r="H1310" s="1" t="str">
        <f t="shared" si="660"/>
        <v>2016-01-06</v>
      </c>
      <c r="I1310" s="1" t="str">
        <f t="shared" si="636"/>
        <v>肖建民</v>
      </c>
      <c r="J1310" s="1" t="str">
        <f t="shared" si="637"/>
        <v>天津市神驰汽车零部件有限公司</v>
      </c>
    </row>
    <row r="1311" spans="1:10">
      <c r="A1311" s="1" t="str">
        <f t="shared" si="635"/>
        <v>天津市神驰汽车零部件有限公司</v>
      </c>
      <c r="B1311" s="1" t="str">
        <f>"一种汽车排气管"</f>
        <v>一种汽车排气管</v>
      </c>
      <c r="C1311" s="1" t="str">
        <f t="shared" si="657"/>
        <v>实用新型</v>
      </c>
      <c r="D1311" s="1" t="str">
        <f t="shared" si="658"/>
        <v>未缴年费专利权终止</v>
      </c>
      <c r="E1311" s="1" t="str">
        <f>"CN201520586361.9"</f>
        <v>CN201520586361.9</v>
      </c>
      <c r="F1311" s="1" t="str">
        <f t="shared" ref="F1311:F1315" si="661">"2015-08-06"</f>
        <v>2015-08-06</v>
      </c>
      <c r="G1311" s="1" t="str">
        <f>"CN204941674U"</f>
        <v>CN204941674U</v>
      </c>
      <c r="H1311" s="1" t="str">
        <f t="shared" si="660"/>
        <v>2016-01-06</v>
      </c>
      <c r="I1311" s="1" t="str">
        <f t="shared" si="636"/>
        <v>肖建民</v>
      </c>
      <c r="J1311" s="1" t="str">
        <f t="shared" si="637"/>
        <v>天津市神驰汽车零部件有限公司</v>
      </c>
    </row>
    <row r="1312" spans="1:10">
      <c r="A1312" s="1" t="str">
        <f t="shared" si="635"/>
        <v>天津市神驰汽车零部件有限公司</v>
      </c>
      <c r="B1312" s="1" t="str">
        <f>"一种分流汽车排气管"</f>
        <v>一种分流汽车排气管</v>
      </c>
      <c r="C1312" s="1" t="str">
        <f t="shared" ref="C1312:C1317" si="662">"发明公布"</f>
        <v>发明公布</v>
      </c>
      <c r="D1312" s="1" t="str">
        <f t="shared" ref="D1312:D1315" si="663">"公布驳回"</f>
        <v>公布驳回</v>
      </c>
      <c r="E1312" s="1" t="str">
        <f>"CN201510506106.3"</f>
        <v>CN201510506106.3</v>
      </c>
      <c r="F1312" s="1" t="str">
        <f>"2015-08-17"</f>
        <v>2015-08-17</v>
      </c>
      <c r="G1312" s="1" t="str">
        <f>"CN105156191A"</f>
        <v>CN105156191A</v>
      </c>
      <c r="H1312" s="1" t="str">
        <f>"2015-12-16"</f>
        <v>2015-12-16</v>
      </c>
      <c r="I1312" s="1" t="str">
        <f t="shared" si="636"/>
        <v>肖建民</v>
      </c>
      <c r="J1312" s="1" t="str">
        <f t="shared" si="637"/>
        <v>天津市神驰汽车零部件有限公司</v>
      </c>
    </row>
    <row r="1313" spans="1:10">
      <c r="A1313" s="1" t="str">
        <f t="shared" si="635"/>
        <v>天津市神驰汽车零部件有限公司</v>
      </c>
      <c r="B1313" s="1" t="str">
        <f>"一种阻抗复合式汽车消音器"</f>
        <v>一种阻抗复合式汽车消音器</v>
      </c>
      <c r="C1313" s="1" t="str">
        <f t="shared" si="662"/>
        <v>发明公布</v>
      </c>
      <c r="D1313" s="1" t="str">
        <f t="shared" si="663"/>
        <v>公布驳回</v>
      </c>
      <c r="E1313" s="1" t="str">
        <f>"CN201510477565.3"</f>
        <v>CN201510477565.3</v>
      </c>
      <c r="F1313" s="1" t="str">
        <f t="shared" si="661"/>
        <v>2015-08-06</v>
      </c>
      <c r="G1313" s="1" t="str">
        <f>"CN105134336A"</f>
        <v>CN105134336A</v>
      </c>
      <c r="H1313" s="1" t="str">
        <f>"2015-12-09"</f>
        <v>2015-12-09</v>
      </c>
      <c r="I1313" s="1" t="str">
        <f t="shared" si="636"/>
        <v>肖建民</v>
      </c>
      <c r="J1313" s="1" t="str">
        <f t="shared" si="637"/>
        <v>天津市神驰汽车零部件有限公司</v>
      </c>
    </row>
    <row r="1314" spans="1:10">
      <c r="A1314" s="1" t="str">
        <f t="shared" si="635"/>
        <v>天津市神驰汽车零部件有限公司</v>
      </c>
      <c r="B1314" s="1" t="str">
        <f>"一种汽车消音器"</f>
        <v>一种汽车消音器</v>
      </c>
      <c r="C1314" s="1" t="str">
        <f t="shared" si="662"/>
        <v>发明公布</v>
      </c>
      <c r="D1314" s="1" t="str">
        <f t="shared" si="663"/>
        <v>公布驳回</v>
      </c>
      <c r="E1314" s="1" t="str">
        <f>"CN201510477021.7"</f>
        <v>CN201510477021.7</v>
      </c>
      <c r="F1314" s="1" t="str">
        <f t="shared" si="661"/>
        <v>2015-08-06</v>
      </c>
      <c r="G1314" s="1" t="str">
        <f>"CN105134354A"</f>
        <v>CN105134354A</v>
      </c>
      <c r="H1314" s="1" t="str">
        <f>"2015-12-09"</f>
        <v>2015-12-09</v>
      </c>
      <c r="I1314" s="1" t="str">
        <f t="shared" si="636"/>
        <v>肖建民</v>
      </c>
      <c r="J1314" s="1" t="str">
        <f t="shared" si="637"/>
        <v>天津市神驰汽车零部件有限公司</v>
      </c>
    </row>
    <row r="1315" spans="1:10">
      <c r="A1315" s="1" t="str">
        <f t="shared" si="635"/>
        <v>天津市神驰汽车零部件有限公司</v>
      </c>
      <c r="B1315" s="1" t="str">
        <f>"一种消音汽车排气管"</f>
        <v>一种消音汽车排气管</v>
      </c>
      <c r="C1315" s="1" t="str">
        <f t="shared" si="662"/>
        <v>发明公布</v>
      </c>
      <c r="D1315" s="1" t="str">
        <f t="shared" si="663"/>
        <v>公布驳回</v>
      </c>
      <c r="E1315" s="1" t="str">
        <f>"CN201510478606.0"</f>
        <v>CN201510478606.0</v>
      </c>
      <c r="F1315" s="1" t="str">
        <f t="shared" si="661"/>
        <v>2015-08-06</v>
      </c>
      <c r="G1315" s="1" t="str">
        <f>"CN105019993A"</f>
        <v>CN105019993A</v>
      </c>
      <c r="H1315" s="1" t="str">
        <f>"2015-11-04"</f>
        <v>2015-11-04</v>
      </c>
      <c r="I1315" s="1" t="str">
        <f t="shared" si="636"/>
        <v>肖建民</v>
      </c>
      <c r="J1315" s="1" t="str">
        <f t="shared" si="637"/>
        <v>天津市神驰汽车零部件有限公司</v>
      </c>
    </row>
    <row r="1316" spans="1:10">
      <c r="A1316" s="1" t="str">
        <f t="shared" si="635"/>
        <v>天津市神驰汽车零部件有限公司</v>
      </c>
      <c r="B1316" s="1" t="str">
        <f>"一种汽车排气管"</f>
        <v>一种汽车排气管</v>
      </c>
      <c r="C1316" s="1" t="str">
        <f t="shared" si="662"/>
        <v>发明公布</v>
      </c>
      <c r="D1316" s="1" t="str">
        <f>"公布视为撤回"</f>
        <v>公布视为撤回</v>
      </c>
      <c r="E1316" s="1" t="str">
        <f>"CN201510469186.X"</f>
        <v>CN201510469186.X</v>
      </c>
      <c r="F1316" s="1" t="str">
        <f>"2015-08-03"</f>
        <v>2015-08-03</v>
      </c>
      <c r="G1316" s="1" t="str">
        <f>"CN105019994A"</f>
        <v>CN105019994A</v>
      </c>
      <c r="H1316" s="1" t="str">
        <f>"2015-11-04"</f>
        <v>2015-11-04</v>
      </c>
      <c r="I1316" s="1" t="str">
        <f t="shared" si="636"/>
        <v>肖建民</v>
      </c>
      <c r="J1316" s="1" t="str">
        <f t="shared" si="637"/>
        <v>天津市神驰汽车零部件有限公司</v>
      </c>
    </row>
    <row r="1317" spans="1:10">
      <c r="A1317" s="1" t="str">
        <f t="shared" si="635"/>
        <v>天津市神驰汽车零部件有限公司</v>
      </c>
      <c r="B1317" s="1" t="str">
        <f>"一种带双重消音器的汽车排气管"</f>
        <v>一种带双重消音器的汽车排气管</v>
      </c>
      <c r="C1317" s="1" t="str">
        <f t="shared" si="662"/>
        <v>发明公布</v>
      </c>
      <c r="D1317" s="1" t="str">
        <f>"公布驳回"</f>
        <v>公布驳回</v>
      </c>
      <c r="E1317" s="1" t="str">
        <f>"CN201510469525.4"</f>
        <v>CN201510469525.4</v>
      </c>
      <c r="F1317" s="1" t="str">
        <f>"2015-08-03"</f>
        <v>2015-08-03</v>
      </c>
      <c r="G1317" s="1" t="str">
        <f>"CN105003330A"</f>
        <v>CN105003330A</v>
      </c>
      <c r="H1317" s="1" t="str">
        <f>"2015-10-28"</f>
        <v>2015-10-28</v>
      </c>
      <c r="I1317" s="1" t="str">
        <f t="shared" si="636"/>
        <v>肖建民</v>
      </c>
      <c r="J1317" s="1" t="str">
        <f t="shared" si="637"/>
        <v>天津市神驰汽车零部件有限公司</v>
      </c>
    </row>
    <row r="1318" spans="1:10">
      <c r="A1318" s="1" t="str">
        <f t="shared" si="635"/>
        <v>天津市神驰汽车零部件有限公司</v>
      </c>
      <c r="B1318" s="1" t="str">
        <f>"一种消声器连接件加强板支架检测模具"</f>
        <v>一种消声器连接件加强板支架检测模具</v>
      </c>
      <c r="C1318" s="1" t="str">
        <f t="shared" ref="C1318:C1332" si="664">"实用新型"</f>
        <v>实用新型</v>
      </c>
      <c r="D1318" s="1" t="str">
        <f t="shared" ref="D1318:D1332" si="665">"未缴年费专利权终止"</f>
        <v>未缴年费专利权终止</v>
      </c>
      <c r="E1318" s="1" t="str">
        <f>"CN201420853096.1"</f>
        <v>CN201420853096.1</v>
      </c>
      <c r="F1318" s="1" t="str">
        <f t="shared" ref="F1318:F1322" si="666">"2014-12-29"</f>
        <v>2014-12-29</v>
      </c>
      <c r="G1318" s="1" t="str">
        <f>"CN204422175U"</f>
        <v>CN204422175U</v>
      </c>
      <c r="H1318" s="1" t="str">
        <f t="shared" ref="H1318:H1322" si="667">"2015-06-24"</f>
        <v>2015-06-24</v>
      </c>
      <c r="I1318" s="1" t="str">
        <f t="shared" si="636"/>
        <v>肖建民</v>
      </c>
      <c r="J1318" s="1" t="str">
        <f t="shared" si="637"/>
        <v>天津市神驰汽车零部件有限公司</v>
      </c>
    </row>
    <row r="1319" spans="1:10">
      <c r="A1319" s="1" t="str">
        <f t="shared" si="635"/>
        <v>天津市神驰汽车零部件有限公司</v>
      </c>
      <c r="B1319" s="1" t="str">
        <f>"一种消声器安装上横梁中段检测模具"</f>
        <v>一种消声器安装上横梁中段检测模具</v>
      </c>
      <c r="C1319" s="1" t="str">
        <f t="shared" si="664"/>
        <v>实用新型</v>
      </c>
      <c r="D1319" s="1" t="str">
        <f t="shared" si="665"/>
        <v>未缴年费专利权终止</v>
      </c>
      <c r="E1319" s="1" t="str">
        <f>"CN201420849724.9"</f>
        <v>CN201420849724.9</v>
      </c>
      <c r="F1319" s="1" t="str">
        <f t="shared" si="666"/>
        <v>2014-12-29</v>
      </c>
      <c r="G1319" s="1" t="str">
        <f>"CN204421858U"</f>
        <v>CN204421858U</v>
      </c>
      <c r="H1319" s="1" t="str">
        <f t="shared" si="667"/>
        <v>2015-06-24</v>
      </c>
      <c r="I1319" s="1" t="str">
        <f t="shared" si="636"/>
        <v>肖建民</v>
      </c>
      <c r="J1319" s="1" t="str">
        <f t="shared" si="637"/>
        <v>天津市神驰汽车零部件有限公司</v>
      </c>
    </row>
    <row r="1320" spans="1:10">
      <c r="A1320" s="1" t="str">
        <f t="shared" si="635"/>
        <v>天津市神驰汽车零部件有限公司</v>
      </c>
      <c r="B1320" s="1" t="str">
        <f>"一种排气管外围侧面挡板检测模具"</f>
        <v>一种排气管外围侧面挡板检测模具</v>
      </c>
      <c r="C1320" s="1" t="str">
        <f t="shared" si="664"/>
        <v>实用新型</v>
      </c>
      <c r="D1320" s="1" t="str">
        <f t="shared" si="665"/>
        <v>未缴年费专利权终止</v>
      </c>
      <c r="E1320" s="1" t="str">
        <f>"CN201420850633.7"</f>
        <v>CN201420850633.7</v>
      </c>
      <c r="F1320" s="1" t="str">
        <f t="shared" si="666"/>
        <v>2014-12-29</v>
      </c>
      <c r="G1320" s="1" t="str">
        <f>"CN204421800U"</f>
        <v>CN204421800U</v>
      </c>
      <c r="H1320" s="1" t="str">
        <f t="shared" si="667"/>
        <v>2015-06-24</v>
      </c>
      <c r="I1320" s="1" t="str">
        <f t="shared" si="636"/>
        <v>肖建民</v>
      </c>
      <c r="J1320" s="1" t="str">
        <f t="shared" si="637"/>
        <v>天津市神驰汽车零部件有限公司</v>
      </c>
    </row>
    <row r="1321" spans="1:10">
      <c r="A1321" s="1" t="str">
        <f t="shared" si="635"/>
        <v>天津市神驰汽车零部件有限公司</v>
      </c>
      <c r="B1321" s="1" t="str">
        <f>"嵌套保温结构的模具"</f>
        <v>嵌套保温结构的模具</v>
      </c>
      <c r="C1321" s="1" t="str">
        <f t="shared" si="664"/>
        <v>实用新型</v>
      </c>
      <c r="D1321" s="1" t="str">
        <f t="shared" si="665"/>
        <v>未缴年费专利权终止</v>
      </c>
      <c r="E1321" s="1" t="str">
        <f>"CN201420853034.0"</f>
        <v>CN201420853034.0</v>
      </c>
      <c r="F1321" s="1" t="str">
        <f t="shared" si="666"/>
        <v>2014-12-29</v>
      </c>
      <c r="G1321" s="1" t="str">
        <f>"CN204414485U"</f>
        <v>CN204414485U</v>
      </c>
      <c r="H1321" s="1" t="str">
        <f t="shared" si="667"/>
        <v>2015-06-24</v>
      </c>
      <c r="I1321" s="1" t="str">
        <f t="shared" si="636"/>
        <v>肖建民</v>
      </c>
      <c r="J1321" s="1" t="str">
        <f t="shared" si="637"/>
        <v>天津市神驰汽车零部件有限公司</v>
      </c>
    </row>
    <row r="1322" spans="1:10">
      <c r="A1322" s="1" t="str">
        <f t="shared" si="635"/>
        <v>天津市神驰汽车零部件有限公司</v>
      </c>
      <c r="B1322" s="1" t="str">
        <f>"一种消声器安装上横梁左段检测模具"</f>
        <v>一种消声器安装上横梁左段检测模具</v>
      </c>
      <c r="C1322" s="1" t="str">
        <f t="shared" si="664"/>
        <v>实用新型</v>
      </c>
      <c r="D1322" s="1" t="str">
        <f t="shared" si="665"/>
        <v>未缴年费专利权终止</v>
      </c>
      <c r="E1322" s="1" t="str">
        <f>"CN201420853100.4"</f>
        <v>CN201420853100.4</v>
      </c>
      <c r="F1322" s="1" t="str">
        <f t="shared" si="666"/>
        <v>2014-12-29</v>
      </c>
      <c r="G1322" s="1" t="str">
        <f>"CN204412813U"</f>
        <v>CN204412813U</v>
      </c>
      <c r="H1322" s="1" t="str">
        <f t="shared" si="667"/>
        <v>2015-06-24</v>
      </c>
      <c r="I1322" s="1" t="str">
        <f t="shared" si="636"/>
        <v>肖建民</v>
      </c>
      <c r="J1322" s="1" t="str">
        <f t="shared" si="637"/>
        <v>天津市神驰汽车零部件有限公司</v>
      </c>
    </row>
    <row r="1323" spans="1:10">
      <c r="A1323" s="1" t="str">
        <f t="shared" ref="A1323:A1332" si="668">"天津市神驰汽车零部件有限公司"</f>
        <v>天津市神驰汽车零部件有限公司</v>
      </c>
      <c r="B1323" s="1" t="str">
        <f>"排气管漏气测试装置"</f>
        <v>排气管漏气测试装置</v>
      </c>
      <c r="C1323" s="1" t="str">
        <f t="shared" si="664"/>
        <v>实用新型</v>
      </c>
      <c r="D1323" s="1" t="str">
        <f t="shared" si="665"/>
        <v>未缴年费专利权终止</v>
      </c>
      <c r="E1323" s="1" t="str">
        <f>"CN201320788375.X"</f>
        <v>CN201320788375.X</v>
      </c>
      <c r="F1323" s="1" t="str">
        <f t="shared" ref="F1323:F1332" si="669">"2013-12-02"</f>
        <v>2013-12-02</v>
      </c>
      <c r="G1323" s="1" t="str">
        <f>"CN203629774U"</f>
        <v>CN203629774U</v>
      </c>
      <c r="H1323" s="1" t="str">
        <f>"2014-06-04"</f>
        <v>2014-06-04</v>
      </c>
      <c r="I1323" s="1" t="str">
        <f t="shared" ref="I1323:I1332" si="670">"肖建民"</f>
        <v>肖建民</v>
      </c>
      <c r="J1323" s="1" t="str">
        <f t="shared" ref="J1323:J1332" si="671">"天津市神驰汽车零部件有限公司"</f>
        <v>天津市神驰汽车零部件有限公司</v>
      </c>
    </row>
    <row r="1324" spans="1:10">
      <c r="A1324" s="1" t="str">
        <f t="shared" si="668"/>
        <v>天津市神驰汽车零部件有限公司</v>
      </c>
      <c r="B1324" s="1" t="str">
        <f>"排气管密封检测装置"</f>
        <v>排气管密封检测装置</v>
      </c>
      <c r="C1324" s="1" t="str">
        <f t="shared" si="664"/>
        <v>实用新型</v>
      </c>
      <c r="D1324" s="1" t="str">
        <f t="shared" si="665"/>
        <v>未缴年费专利权终止</v>
      </c>
      <c r="E1324" s="1" t="str">
        <f>"CN201320788373.0"</f>
        <v>CN201320788373.0</v>
      </c>
      <c r="F1324" s="1" t="str">
        <f t="shared" si="669"/>
        <v>2013-12-02</v>
      </c>
      <c r="G1324" s="1" t="str">
        <f>"CN203629759U"</f>
        <v>CN203629759U</v>
      </c>
      <c r="H1324" s="1" t="str">
        <f>"2014-06-04"</f>
        <v>2014-06-04</v>
      </c>
      <c r="I1324" s="1" t="str">
        <f t="shared" si="670"/>
        <v>肖建民</v>
      </c>
      <c r="J1324" s="1" t="str">
        <f t="shared" si="671"/>
        <v>天津市神驰汽车零部件有限公司</v>
      </c>
    </row>
    <row r="1325" spans="1:10">
      <c r="A1325" s="1" t="str">
        <f t="shared" si="668"/>
        <v>天津市神驰汽车零部件有限公司</v>
      </c>
      <c r="B1325" s="1" t="str">
        <f>"带有过滤消音装置的单排排气管"</f>
        <v>带有过滤消音装置的单排排气管</v>
      </c>
      <c r="C1325" s="1" t="str">
        <f t="shared" si="664"/>
        <v>实用新型</v>
      </c>
      <c r="D1325" s="1" t="str">
        <f t="shared" si="665"/>
        <v>未缴年费专利权终止</v>
      </c>
      <c r="E1325" s="1" t="str">
        <f>"CN201320788259.8"</f>
        <v>CN201320788259.8</v>
      </c>
      <c r="F1325" s="1" t="str">
        <f t="shared" si="669"/>
        <v>2013-12-02</v>
      </c>
      <c r="G1325" s="1" t="str">
        <f>"CN203570405U"</f>
        <v>CN203570405U</v>
      </c>
      <c r="H1325" s="1" t="str">
        <f t="shared" ref="H1325:H1332" si="672">"2014-04-30"</f>
        <v>2014-04-30</v>
      </c>
      <c r="I1325" s="1" t="str">
        <f t="shared" si="670"/>
        <v>肖建民</v>
      </c>
      <c r="J1325" s="1" t="str">
        <f t="shared" si="671"/>
        <v>天津市神驰汽车零部件有限公司</v>
      </c>
    </row>
    <row r="1326" spans="1:10">
      <c r="A1326" s="1" t="str">
        <f t="shared" si="668"/>
        <v>天津市神驰汽车零部件有限公司</v>
      </c>
      <c r="B1326" s="1" t="str">
        <f>"排气管零件焊接架"</f>
        <v>排气管零件焊接架</v>
      </c>
      <c r="C1326" s="1" t="str">
        <f t="shared" si="664"/>
        <v>实用新型</v>
      </c>
      <c r="D1326" s="1" t="str">
        <f t="shared" si="665"/>
        <v>未缴年费专利权终止</v>
      </c>
      <c r="E1326" s="1" t="str">
        <f>"CN201320788903.1"</f>
        <v>CN201320788903.1</v>
      </c>
      <c r="F1326" s="1" t="str">
        <f t="shared" si="669"/>
        <v>2013-12-02</v>
      </c>
      <c r="G1326" s="1" t="str">
        <f>"CN203566176U"</f>
        <v>CN203566176U</v>
      </c>
      <c r="H1326" s="1" t="str">
        <f t="shared" si="672"/>
        <v>2014-04-30</v>
      </c>
      <c r="I1326" s="1" t="str">
        <f t="shared" si="670"/>
        <v>肖建民</v>
      </c>
      <c r="J1326" s="1" t="str">
        <f t="shared" si="671"/>
        <v>天津市神驰汽车零部件有限公司</v>
      </c>
    </row>
    <row r="1327" spans="1:10">
      <c r="A1327" s="1" t="str">
        <f t="shared" si="668"/>
        <v>天津市神驰汽车零部件有限公司</v>
      </c>
      <c r="B1327" s="1" t="str">
        <f>"带有双面隔热板的排气管"</f>
        <v>带有双面隔热板的排气管</v>
      </c>
      <c r="C1327" s="1" t="str">
        <f t="shared" si="664"/>
        <v>实用新型</v>
      </c>
      <c r="D1327" s="1" t="str">
        <f t="shared" si="665"/>
        <v>未缴年费专利权终止</v>
      </c>
      <c r="E1327" s="1" t="str">
        <f>"CN201320788333.6"</f>
        <v>CN201320788333.6</v>
      </c>
      <c r="F1327" s="1" t="str">
        <f t="shared" si="669"/>
        <v>2013-12-02</v>
      </c>
      <c r="G1327" s="1" t="str">
        <f>"CN203570408U"</f>
        <v>CN203570408U</v>
      </c>
      <c r="H1327" s="1" t="str">
        <f t="shared" si="672"/>
        <v>2014-04-30</v>
      </c>
      <c r="I1327" s="1" t="str">
        <f t="shared" si="670"/>
        <v>肖建民</v>
      </c>
      <c r="J1327" s="1" t="str">
        <f t="shared" si="671"/>
        <v>天津市神驰汽车零部件有限公司</v>
      </c>
    </row>
    <row r="1328" spans="1:10">
      <c r="A1328" s="1" t="str">
        <f t="shared" si="668"/>
        <v>天津市神驰汽车零部件有限公司</v>
      </c>
      <c r="B1328" s="1" t="str">
        <f>"带有过滤消音装置的双排排气管"</f>
        <v>带有过滤消音装置的双排排气管</v>
      </c>
      <c r="C1328" s="1" t="str">
        <f t="shared" si="664"/>
        <v>实用新型</v>
      </c>
      <c r="D1328" s="1" t="str">
        <f t="shared" si="665"/>
        <v>未缴年费专利权终止</v>
      </c>
      <c r="E1328" s="1" t="str">
        <f>"CN201320788834.4"</f>
        <v>CN201320788834.4</v>
      </c>
      <c r="F1328" s="1" t="str">
        <f t="shared" si="669"/>
        <v>2013-12-02</v>
      </c>
      <c r="G1328" s="1" t="str">
        <f>"CN203570406U"</f>
        <v>CN203570406U</v>
      </c>
      <c r="H1328" s="1" t="str">
        <f t="shared" si="672"/>
        <v>2014-04-30</v>
      </c>
      <c r="I1328" s="1" t="str">
        <f t="shared" si="670"/>
        <v>肖建民</v>
      </c>
      <c r="J1328" s="1" t="str">
        <f t="shared" si="671"/>
        <v>天津市神驰汽车零部件有限公司</v>
      </c>
    </row>
    <row r="1329" spans="1:10">
      <c r="A1329" s="1" t="str">
        <f t="shared" si="668"/>
        <v>天津市神驰汽车零部件有限公司</v>
      </c>
      <c r="B1329" s="1" t="str">
        <f>"排气管放置支架"</f>
        <v>排气管放置支架</v>
      </c>
      <c r="C1329" s="1" t="str">
        <f t="shared" si="664"/>
        <v>实用新型</v>
      </c>
      <c r="D1329" s="1" t="str">
        <f t="shared" si="665"/>
        <v>未缴年费专利权终止</v>
      </c>
      <c r="E1329" s="1" t="str">
        <f>"CN201320787637.0"</f>
        <v>CN201320787637.0</v>
      </c>
      <c r="F1329" s="1" t="str">
        <f t="shared" si="669"/>
        <v>2013-12-02</v>
      </c>
      <c r="G1329" s="1" t="str">
        <f>"CN203568147U"</f>
        <v>CN203568147U</v>
      </c>
      <c r="H1329" s="1" t="str">
        <f t="shared" si="672"/>
        <v>2014-04-30</v>
      </c>
      <c r="I1329" s="1" t="str">
        <f t="shared" si="670"/>
        <v>肖建民</v>
      </c>
      <c r="J1329" s="1" t="str">
        <f t="shared" si="671"/>
        <v>天津市神驰汽车零部件有限公司</v>
      </c>
    </row>
    <row r="1330" spans="1:10">
      <c r="A1330" s="1" t="str">
        <f t="shared" si="668"/>
        <v>天津市神驰汽车零部件有限公司</v>
      </c>
      <c r="B1330" s="1" t="str">
        <f>"排气管水平放置搁架"</f>
        <v>排气管水平放置搁架</v>
      </c>
      <c r="C1330" s="1" t="str">
        <f t="shared" si="664"/>
        <v>实用新型</v>
      </c>
      <c r="D1330" s="1" t="str">
        <f t="shared" si="665"/>
        <v>未缴年费专利权终止</v>
      </c>
      <c r="E1330" s="1" t="str">
        <f>"CN201320788905.0"</f>
        <v>CN201320788905.0</v>
      </c>
      <c r="F1330" s="1" t="str">
        <f t="shared" si="669"/>
        <v>2013-12-02</v>
      </c>
      <c r="G1330" s="1" t="str">
        <f>"CN203568148U"</f>
        <v>CN203568148U</v>
      </c>
      <c r="H1330" s="1" t="str">
        <f t="shared" si="672"/>
        <v>2014-04-30</v>
      </c>
      <c r="I1330" s="1" t="str">
        <f t="shared" si="670"/>
        <v>肖建民</v>
      </c>
      <c r="J1330" s="1" t="str">
        <f t="shared" si="671"/>
        <v>天津市神驰汽车零部件有限公司</v>
      </c>
    </row>
    <row r="1331" spans="1:10">
      <c r="A1331" s="1" t="str">
        <f t="shared" si="668"/>
        <v>天津市神驰汽车零部件有限公司</v>
      </c>
      <c r="B1331" s="1" t="str">
        <f>"带有直筒式消音装置的排气管"</f>
        <v>带有直筒式消音装置的排气管</v>
      </c>
      <c r="C1331" s="1" t="str">
        <f t="shared" si="664"/>
        <v>实用新型</v>
      </c>
      <c r="D1331" s="1" t="str">
        <f t="shared" si="665"/>
        <v>未缴年费专利权终止</v>
      </c>
      <c r="E1331" s="1" t="str">
        <f>"CN201320788371.1"</f>
        <v>CN201320788371.1</v>
      </c>
      <c r="F1331" s="1" t="str">
        <f t="shared" si="669"/>
        <v>2013-12-02</v>
      </c>
      <c r="G1331" s="1" t="str">
        <f>"CN203570393U"</f>
        <v>CN203570393U</v>
      </c>
      <c r="H1331" s="1" t="str">
        <f t="shared" si="672"/>
        <v>2014-04-30</v>
      </c>
      <c r="I1331" s="1" t="str">
        <f t="shared" si="670"/>
        <v>肖建民</v>
      </c>
      <c r="J1331" s="1" t="str">
        <f t="shared" si="671"/>
        <v>天津市神驰汽车零部件有限公司</v>
      </c>
    </row>
    <row r="1332" spans="1:10">
      <c r="A1332" s="1" t="str">
        <f t="shared" si="668"/>
        <v>天津市神驰汽车零部件有限公司</v>
      </c>
      <c r="B1332" s="1" t="str">
        <f>"排气管零件焊接测试台"</f>
        <v>排气管零件焊接测试台</v>
      </c>
      <c r="C1332" s="1" t="str">
        <f t="shared" si="664"/>
        <v>实用新型</v>
      </c>
      <c r="D1332" s="1" t="str">
        <f t="shared" si="665"/>
        <v>未缴年费专利权终止</v>
      </c>
      <c r="E1332" s="1" t="str">
        <f>"CN201320787636.6"</f>
        <v>CN201320787636.6</v>
      </c>
      <c r="F1332" s="1" t="str">
        <f t="shared" si="669"/>
        <v>2013-12-02</v>
      </c>
      <c r="G1332" s="1" t="str">
        <f>"CN203566153U"</f>
        <v>CN203566153U</v>
      </c>
      <c r="H1332" s="1" t="str">
        <f t="shared" si="672"/>
        <v>2014-04-30</v>
      </c>
      <c r="I1332" s="1" t="str">
        <f t="shared" si="670"/>
        <v>肖建民</v>
      </c>
      <c r="J1332" s="1" t="str">
        <f t="shared" si="671"/>
        <v>天津市神驰汽车零部件有限公司</v>
      </c>
    </row>
    <row r="1333" spans="1:10">
      <c r="A1333" s="1" t="str">
        <f t="shared" ref="A1333:A1351" si="673">"天津广瑞达汽车电子有限公司"</f>
        <v>天津广瑞达汽车电子有限公司</v>
      </c>
      <c r="B1333" s="1" t="str">
        <f>"一种双传感器正交布局下的磁场干扰动态校准方法和系统"</f>
        <v>一种双传感器正交布局下的磁场干扰动态校准方法和系统</v>
      </c>
      <c r="C1333" s="1" t="str">
        <f t="shared" ref="C1333:C1335" si="674">"发明公布"</f>
        <v>发明公布</v>
      </c>
      <c r="D1333" s="1" t="str">
        <f>"公布"</f>
        <v>公布</v>
      </c>
      <c r="E1333" s="1" t="str">
        <f>"CN202511011486.3"</f>
        <v>CN202511011486.3</v>
      </c>
      <c r="F1333" s="1" t="str">
        <f>"2025-07-22"</f>
        <v>2025-07-22</v>
      </c>
      <c r="G1333" s="1" t="str">
        <f>"CN120703670A"</f>
        <v>CN120703670A</v>
      </c>
      <c r="H1333" s="1" t="str">
        <f>"2025-09-26"</f>
        <v>2025-09-26</v>
      </c>
      <c r="I1333" s="1" t="s">
        <v>4985</v>
      </c>
      <c r="J1333" s="1" t="str">
        <f t="shared" ref="J1333:J1351" si="675">"天津广瑞达汽车电子有限公司"</f>
        <v>天津广瑞达汽车电子有限公司</v>
      </c>
    </row>
    <row r="1334" spans="1:10">
      <c r="A1334" s="1" t="str">
        <f t="shared" si="673"/>
        <v>天津广瑞达汽车电子有限公司</v>
      </c>
      <c r="B1334" s="1" t="str">
        <f>"强磁场环境中角度传感器的自适应信号补偿方法及系统"</f>
        <v>强磁场环境中角度传感器的自适应信号补偿方法及系统</v>
      </c>
      <c r="C1334" s="1" t="str">
        <f t="shared" si="674"/>
        <v>发明公布</v>
      </c>
      <c r="D1334" s="1" t="str">
        <f>"实质审查"</f>
        <v>实质审查</v>
      </c>
      <c r="E1334" s="1" t="str">
        <f>"CN202511075008.9"</f>
        <v>CN202511075008.9</v>
      </c>
      <c r="F1334" s="1" t="str">
        <f>"2025-08-01"</f>
        <v>2025-08-01</v>
      </c>
      <c r="G1334" s="1" t="str">
        <f>"CN120576658A"</f>
        <v>CN120576658A</v>
      </c>
      <c r="H1334" s="1" t="str">
        <f>"2025-09-02"</f>
        <v>2025-09-02</v>
      </c>
      <c r="I1334" s="1" t="s">
        <v>4985</v>
      </c>
      <c r="J1334" s="1" t="str">
        <f t="shared" si="675"/>
        <v>天津广瑞达汽车电子有限公司</v>
      </c>
    </row>
    <row r="1335" spans="1:10">
      <c r="A1335" s="1" t="str">
        <f t="shared" si="673"/>
        <v>天津广瑞达汽车电子有限公司</v>
      </c>
      <c r="B1335" s="1" t="str">
        <f>"一种基于电磁感应的电机转速测量方法、系统和设备"</f>
        <v>一种基于电磁感应的电机转速测量方法、系统和设备</v>
      </c>
      <c r="C1335" s="1" t="str">
        <f t="shared" si="674"/>
        <v>发明公布</v>
      </c>
      <c r="D1335" s="1" t="str">
        <f>"实质审查"</f>
        <v>实质审查</v>
      </c>
      <c r="E1335" s="1" t="str">
        <f>"CN202510414264.X"</f>
        <v>CN202510414264.X</v>
      </c>
      <c r="F1335" s="1" t="str">
        <f>"2025-04-03"</f>
        <v>2025-04-03</v>
      </c>
      <c r="G1335" s="1" t="str">
        <f>"CN120254325A"</f>
        <v>CN120254325A</v>
      </c>
      <c r="H1335" s="1" t="str">
        <f>"2025-07-04"</f>
        <v>2025-07-04</v>
      </c>
      <c r="I1335" s="1" t="s">
        <v>4986</v>
      </c>
      <c r="J1335" s="1" t="str">
        <f t="shared" si="675"/>
        <v>天津广瑞达汽车电子有限公司</v>
      </c>
    </row>
    <row r="1336" spans="1:10">
      <c r="A1336" s="1" t="str">
        <f t="shared" si="673"/>
        <v>天津广瑞达汽车电子有限公司</v>
      </c>
      <c r="B1336" s="1" t="str">
        <f>"一种可移动式光伏储能锂电池组"</f>
        <v>一种可移动式光伏储能锂电池组</v>
      </c>
      <c r="C1336" s="1" t="str">
        <f>"实用新型"</f>
        <v>实用新型</v>
      </c>
      <c r="D1336" s="1" t="str">
        <f t="shared" ref="D1336:D1349" si="676">"授权"</f>
        <v>授权</v>
      </c>
      <c r="E1336" s="1" t="str">
        <f>"CN202421308364.1"</f>
        <v>CN202421308364.1</v>
      </c>
      <c r="F1336" s="1" t="str">
        <f>"2024-06-11"</f>
        <v>2024-06-11</v>
      </c>
      <c r="G1336" s="1" t="str">
        <f>"CN222380759U"</f>
        <v>CN222380759U</v>
      </c>
      <c r="H1336" s="1" t="str">
        <f>"2025-01-21"</f>
        <v>2025-01-21</v>
      </c>
      <c r="I1336" s="1" t="s">
        <v>4987</v>
      </c>
      <c r="J1336" s="1" t="str">
        <f t="shared" si="675"/>
        <v>天津广瑞达汽车电子有限公司</v>
      </c>
    </row>
    <row r="1337" spans="1:10">
      <c r="A1337" s="1" t="str">
        <f t="shared" si="673"/>
        <v>天津广瑞达汽车电子有限公司</v>
      </c>
      <c r="B1337" s="1" t="str">
        <f>"电动汽车控制器的远程升级方法及系统"</f>
        <v>电动汽车控制器的远程升级方法及系统</v>
      </c>
      <c r="C1337" s="1" t="str">
        <f t="shared" ref="C1337:C1342" si="677">"发明授权"</f>
        <v>发明授权</v>
      </c>
      <c r="D1337" s="1" t="str">
        <f t="shared" si="676"/>
        <v>授权</v>
      </c>
      <c r="E1337" s="1" t="str">
        <f>"CN202410765743.1"</f>
        <v>CN202410765743.1</v>
      </c>
      <c r="F1337" s="1" t="str">
        <f>"2024-06-14"</f>
        <v>2024-06-14</v>
      </c>
      <c r="G1337" s="1" t="str">
        <f>"CN118368308B"</f>
        <v>CN118368308B</v>
      </c>
      <c r="H1337" s="1" t="str">
        <f>"2024-11-15"</f>
        <v>2024-11-15</v>
      </c>
      <c r="I1337" s="1" t="s">
        <v>4988</v>
      </c>
      <c r="J1337" s="1" t="str">
        <f t="shared" si="675"/>
        <v>天津广瑞达汽车电子有限公司</v>
      </c>
    </row>
    <row r="1338" spans="1:10">
      <c r="A1338" s="1" t="str">
        <f t="shared" si="673"/>
        <v>天津广瑞达汽车电子有限公司</v>
      </c>
      <c r="B1338" s="1" t="str">
        <f>"汽车控制器故障数据存储方法及系统"</f>
        <v>汽车控制器故障数据存储方法及系统</v>
      </c>
      <c r="C1338" s="1" t="str">
        <f>"发明公布"</f>
        <v>发明公布</v>
      </c>
      <c r="D1338" s="1" t="str">
        <f>"公布驳回"</f>
        <v>公布驳回</v>
      </c>
      <c r="E1338" s="1" t="str">
        <f>"CN202410781326.6"</f>
        <v>CN202410781326.6</v>
      </c>
      <c r="F1338" s="1" t="str">
        <f>"2024-06-18"</f>
        <v>2024-06-18</v>
      </c>
      <c r="G1338" s="1" t="str">
        <f>"CN118363541A"</f>
        <v>CN118363541A</v>
      </c>
      <c r="H1338" s="1" t="str">
        <f>"2024-07-19"</f>
        <v>2024-07-19</v>
      </c>
      <c r="I1338" s="1" t="s">
        <v>4988</v>
      </c>
      <c r="J1338" s="1" t="str">
        <f t="shared" si="675"/>
        <v>天津广瑞达汽车电子有限公司</v>
      </c>
    </row>
    <row r="1339" spans="1:10">
      <c r="A1339" s="1" t="str">
        <f t="shared" si="673"/>
        <v>天津广瑞达汽车电子有限公司</v>
      </c>
      <c r="B1339" s="1" t="str">
        <f>"一种电动汽车动力电池的冷却液控制参数的确定方法"</f>
        <v>一种电动汽车动力电池的冷却液控制参数的确定方法</v>
      </c>
      <c r="C1339" s="1" t="str">
        <f t="shared" si="677"/>
        <v>发明授权</v>
      </c>
      <c r="D1339" s="1" t="str">
        <f t="shared" si="676"/>
        <v>授权</v>
      </c>
      <c r="E1339" s="1" t="str">
        <f>"CN202410218035.6"</f>
        <v>CN202410218035.6</v>
      </c>
      <c r="F1339" s="1" t="str">
        <f>"2024-02-28"</f>
        <v>2024-02-28</v>
      </c>
      <c r="G1339" s="1" t="str">
        <f>"CN117826615B"</f>
        <v>CN117826615B</v>
      </c>
      <c r="H1339" s="1" t="str">
        <f>"2024-07-02"</f>
        <v>2024-07-02</v>
      </c>
      <c r="I1339" s="1" t="s">
        <v>4989</v>
      </c>
      <c r="J1339" s="1" t="str">
        <f t="shared" si="675"/>
        <v>天津广瑞达汽车电子有限公司</v>
      </c>
    </row>
    <row r="1340" spans="1:10">
      <c r="A1340" s="1" t="str">
        <f t="shared" si="673"/>
        <v>天津广瑞达汽车电子有限公司</v>
      </c>
      <c r="B1340" s="1" t="str">
        <f>"一种储能集装箱电池热管理装置"</f>
        <v>一种储能集装箱电池热管理装置</v>
      </c>
      <c r="C1340" s="1" t="str">
        <f t="shared" ref="C1340:C1351" si="678">"实用新型"</f>
        <v>实用新型</v>
      </c>
      <c r="D1340" s="1" t="str">
        <f t="shared" si="676"/>
        <v>授权</v>
      </c>
      <c r="E1340" s="1" t="str">
        <f>"CN202321468705.7"</f>
        <v>CN202321468705.7</v>
      </c>
      <c r="F1340" s="1" t="str">
        <f>"2023-06-09"</f>
        <v>2023-06-09</v>
      </c>
      <c r="G1340" s="1" t="str">
        <f>"CN219998334U"</f>
        <v>CN219998334U</v>
      </c>
      <c r="H1340" s="1" t="str">
        <f>"2023-11-10"</f>
        <v>2023-11-10</v>
      </c>
      <c r="I1340" s="1" t="s">
        <v>4990</v>
      </c>
      <c r="J1340" s="1" t="str">
        <f t="shared" si="675"/>
        <v>天津广瑞达汽车电子有限公司</v>
      </c>
    </row>
    <row r="1341" spans="1:10">
      <c r="A1341" s="1" t="str">
        <f t="shared" si="673"/>
        <v>天津广瑞达汽车电子有限公司</v>
      </c>
      <c r="B1341" s="1" t="str">
        <f>"一种基于实时红外图像数据的充电桩热处理方法及系统"</f>
        <v>一种基于实时红外图像数据的充电桩热处理方法及系统</v>
      </c>
      <c r="C1341" s="1" t="str">
        <f t="shared" si="677"/>
        <v>发明授权</v>
      </c>
      <c r="D1341" s="1" t="str">
        <f t="shared" si="676"/>
        <v>授权</v>
      </c>
      <c r="E1341" s="1" t="str">
        <f>"CN202310808112.9"</f>
        <v>CN202310808112.9</v>
      </c>
      <c r="F1341" s="1" t="str">
        <f>"2023-07-04"</f>
        <v>2023-07-04</v>
      </c>
      <c r="G1341" s="1" t="str">
        <f>"CN116546799B"</f>
        <v>CN116546799B</v>
      </c>
      <c r="H1341" s="1" t="str">
        <f>"2023-09-01"</f>
        <v>2023-09-01</v>
      </c>
      <c r="I1341" s="1" t="s">
        <v>4991</v>
      </c>
      <c r="J1341" s="1" t="str">
        <f t="shared" si="675"/>
        <v>天津广瑞达汽车电子有限公司</v>
      </c>
    </row>
    <row r="1342" spans="1:10">
      <c r="A1342" s="1" t="str">
        <f t="shared" si="673"/>
        <v>天津广瑞达汽车电子有限公司</v>
      </c>
      <c r="B1342" s="1" t="str">
        <f>"一种静电纺丝中注射器固定座的角度调节机构"</f>
        <v>一种静电纺丝中注射器固定座的角度调节机构</v>
      </c>
      <c r="C1342" s="1" t="str">
        <f t="shared" si="677"/>
        <v>发明授权</v>
      </c>
      <c r="D1342" s="1" t="str">
        <f t="shared" si="676"/>
        <v>授权</v>
      </c>
      <c r="E1342" s="1" t="str">
        <f>"CN201710966910.9"</f>
        <v>CN201710966910.9</v>
      </c>
      <c r="F1342" s="1" t="str">
        <f>"2017-10-17"</f>
        <v>2017-10-17</v>
      </c>
      <c r="G1342" s="1" t="str">
        <f>"CN107488881B"</f>
        <v>CN107488881B</v>
      </c>
      <c r="H1342" s="1" t="str">
        <f>"2023-04-11"</f>
        <v>2023-04-11</v>
      </c>
      <c r="I1342" s="1" t="str">
        <f>"陈云军"</f>
        <v>陈云军</v>
      </c>
      <c r="J1342" s="1" t="str">
        <f t="shared" si="675"/>
        <v>天津广瑞达汽车电子有限公司</v>
      </c>
    </row>
    <row r="1343" spans="1:10">
      <c r="A1343" s="1" t="str">
        <f t="shared" si="673"/>
        <v>天津广瑞达汽车电子有限公司</v>
      </c>
      <c r="B1343" s="1" t="str">
        <f>"一种汽车零件的连续冲切模具"</f>
        <v>一种汽车零件的连续冲切模具</v>
      </c>
      <c r="C1343" s="1" t="str">
        <f t="shared" si="678"/>
        <v>实用新型</v>
      </c>
      <c r="D1343" s="1" t="str">
        <f t="shared" si="676"/>
        <v>授权</v>
      </c>
      <c r="E1343" s="1" t="str">
        <f>"CN202022253572.4"</f>
        <v>CN202022253572.4</v>
      </c>
      <c r="F1343" s="1" t="str">
        <f t="shared" ref="F1343:F1347" si="679">"2020-10-12"</f>
        <v>2020-10-12</v>
      </c>
      <c r="G1343" s="1" t="str">
        <f>"CN214601408U"</f>
        <v>CN214601408U</v>
      </c>
      <c r="H1343" s="1" t="str">
        <f>"2021-11-05"</f>
        <v>2021-11-05</v>
      </c>
      <c r="I1343" s="1" t="s">
        <v>4992</v>
      </c>
      <c r="J1343" s="1" t="str">
        <f t="shared" si="675"/>
        <v>天津广瑞达汽车电子有限公司</v>
      </c>
    </row>
    <row r="1344" spans="1:10">
      <c r="A1344" s="1" t="str">
        <f t="shared" si="673"/>
        <v>天津广瑞达汽车电子有限公司</v>
      </c>
      <c r="B1344" s="1" t="str">
        <f>"一种法兰连接型流量监控装置"</f>
        <v>一种法兰连接型流量监控装置</v>
      </c>
      <c r="C1344" s="1" t="str">
        <f t="shared" si="678"/>
        <v>实用新型</v>
      </c>
      <c r="D1344" s="1" t="str">
        <f t="shared" si="676"/>
        <v>授权</v>
      </c>
      <c r="E1344" s="1" t="str">
        <f>"CN202022513973.9"</f>
        <v>CN202022513973.9</v>
      </c>
      <c r="F1344" s="1" t="str">
        <f>"2020-11-04"</f>
        <v>2020-11-04</v>
      </c>
      <c r="G1344" s="1" t="str">
        <f>"CN213900746U"</f>
        <v>CN213900746U</v>
      </c>
      <c r="H1344" s="1" t="str">
        <f>"2021-08-06"</f>
        <v>2021-08-06</v>
      </c>
      <c r="I1344" s="1" t="s">
        <v>4993</v>
      </c>
      <c r="J1344" s="1" t="str">
        <f t="shared" si="675"/>
        <v>天津广瑞达汽车电子有限公司</v>
      </c>
    </row>
    <row r="1345" spans="1:10">
      <c r="A1345" s="1" t="str">
        <f t="shared" si="673"/>
        <v>天津广瑞达汽车电子有限公司</v>
      </c>
      <c r="B1345" s="1" t="str">
        <f>"一种汽车零件的侧冲孔模具"</f>
        <v>一种汽车零件的侧冲孔模具</v>
      </c>
      <c r="C1345" s="1" t="str">
        <f t="shared" si="678"/>
        <v>实用新型</v>
      </c>
      <c r="D1345" s="1" t="str">
        <f t="shared" si="676"/>
        <v>授权</v>
      </c>
      <c r="E1345" s="1" t="str">
        <f>"CN202022253164.9"</f>
        <v>CN202022253164.9</v>
      </c>
      <c r="F1345" s="1" t="str">
        <f t="shared" si="679"/>
        <v>2020-10-12</v>
      </c>
      <c r="G1345" s="1" t="str">
        <f>"CN213856607U"</f>
        <v>CN213856607U</v>
      </c>
      <c r="H1345" s="1" t="str">
        <f>"2021-08-03"</f>
        <v>2021-08-03</v>
      </c>
      <c r="I1345" s="1" t="s">
        <v>4994</v>
      </c>
      <c r="J1345" s="1" t="str">
        <f t="shared" si="675"/>
        <v>天津广瑞达汽车电子有限公司</v>
      </c>
    </row>
    <row r="1346" spans="1:10">
      <c r="A1346" s="1" t="str">
        <f t="shared" si="673"/>
        <v>天津广瑞达汽车电子有限公司</v>
      </c>
      <c r="B1346" s="1" t="str">
        <f>"一种多功能通信转接设备"</f>
        <v>一种多功能通信转接设备</v>
      </c>
      <c r="C1346" s="1" t="str">
        <f t="shared" si="678"/>
        <v>实用新型</v>
      </c>
      <c r="D1346" s="1" t="str">
        <f t="shared" si="676"/>
        <v>授权</v>
      </c>
      <c r="E1346" s="1" t="str">
        <f>"CN202022780317.5"</f>
        <v>CN202022780317.5</v>
      </c>
      <c r="F1346" s="1" t="str">
        <f>"2020-11-26"</f>
        <v>2020-11-26</v>
      </c>
      <c r="G1346" s="1" t="str">
        <f>"CN213847223U"</f>
        <v>CN213847223U</v>
      </c>
      <c r="H1346" s="1" t="str">
        <f>"2021-07-30"</f>
        <v>2021-07-30</v>
      </c>
      <c r="I1346" s="1" t="s">
        <v>4995</v>
      </c>
      <c r="J1346" s="1" t="str">
        <f t="shared" si="675"/>
        <v>天津广瑞达汽车电子有限公司</v>
      </c>
    </row>
    <row r="1347" spans="1:10">
      <c r="A1347" s="1" t="str">
        <f t="shared" si="673"/>
        <v>天津广瑞达汽车电子有限公司</v>
      </c>
      <c r="B1347" s="1" t="str">
        <f>"一种新型汽车防滑控制器"</f>
        <v>一种新型汽车防滑控制器</v>
      </c>
      <c r="C1347" s="1" t="str">
        <f t="shared" si="678"/>
        <v>实用新型</v>
      </c>
      <c r="D1347" s="1" t="str">
        <f t="shared" si="676"/>
        <v>授权</v>
      </c>
      <c r="E1347" s="1" t="str">
        <f>"CN202022253222.8"</f>
        <v>CN202022253222.8</v>
      </c>
      <c r="F1347" s="1" t="str">
        <f t="shared" si="679"/>
        <v>2020-10-12</v>
      </c>
      <c r="G1347" s="1" t="str">
        <f>"CN213649262U"</f>
        <v>CN213649262U</v>
      </c>
      <c r="H1347" s="1" t="str">
        <f>"2021-07-09"</f>
        <v>2021-07-09</v>
      </c>
      <c r="I1347" s="1" t="s">
        <v>4996</v>
      </c>
      <c r="J1347" s="1" t="str">
        <f t="shared" si="675"/>
        <v>天津广瑞达汽车电子有限公司</v>
      </c>
    </row>
    <row r="1348" spans="1:10">
      <c r="A1348" s="1" t="str">
        <f t="shared" si="673"/>
        <v>天津广瑞达汽车电子有限公司</v>
      </c>
      <c r="B1348" s="1" t="str">
        <f>"一种新型汽车电子器件测试台架"</f>
        <v>一种新型汽车电子器件测试台架</v>
      </c>
      <c r="C1348" s="1" t="str">
        <f t="shared" si="678"/>
        <v>实用新型</v>
      </c>
      <c r="D1348" s="1" t="str">
        <f t="shared" si="676"/>
        <v>授权</v>
      </c>
      <c r="E1348" s="1" t="str">
        <f>"CN202022260838.8"</f>
        <v>CN202022260838.8</v>
      </c>
      <c r="F1348" s="1" t="str">
        <f>"2020-10-13"</f>
        <v>2020-10-13</v>
      </c>
      <c r="G1348" s="1" t="str">
        <f>"CN213581145U"</f>
        <v>CN213581145U</v>
      </c>
      <c r="H1348" s="1" t="str">
        <f>"2021-06-29"</f>
        <v>2021-06-29</v>
      </c>
      <c r="I1348" s="1" t="s">
        <v>4997</v>
      </c>
      <c r="J1348" s="1" t="str">
        <f t="shared" si="675"/>
        <v>天津广瑞达汽车电子有限公司</v>
      </c>
    </row>
    <row r="1349" spans="1:10">
      <c r="A1349" s="1" t="str">
        <f t="shared" si="673"/>
        <v>天津广瑞达汽车电子有限公司</v>
      </c>
      <c r="B1349" s="1" t="str">
        <f>"一种汽车电子元器件散热器"</f>
        <v>一种汽车电子元器件散热器</v>
      </c>
      <c r="C1349" s="1" t="str">
        <f t="shared" si="678"/>
        <v>实用新型</v>
      </c>
      <c r="D1349" s="1" t="str">
        <f t="shared" si="676"/>
        <v>授权</v>
      </c>
      <c r="E1349" s="1" t="str">
        <f>"CN202022253500.X"</f>
        <v>CN202022253500.X</v>
      </c>
      <c r="F1349" s="1" t="str">
        <f>"2020-10-12"</f>
        <v>2020-10-12</v>
      </c>
      <c r="G1349" s="1" t="str">
        <f>"CN213399473U"</f>
        <v>CN213399473U</v>
      </c>
      <c r="H1349" s="1" t="str">
        <f>"2021-06-08"</f>
        <v>2021-06-08</v>
      </c>
      <c r="I1349" s="1" t="s">
        <v>4998</v>
      </c>
      <c r="J1349" s="1" t="str">
        <f t="shared" si="675"/>
        <v>天津广瑞达汽车电子有限公司</v>
      </c>
    </row>
    <row r="1350" spans="1:10">
      <c r="A1350" s="1" t="str">
        <f t="shared" si="673"/>
        <v>天津广瑞达汽车电子有限公司</v>
      </c>
      <c r="B1350" s="1" t="str">
        <f>"一种静电纺丝喷丝装置"</f>
        <v>一种静电纺丝喷丝装置</v>
      </c>
      <c r="C1350" s="1" t="str">
        <f t="shared" si="678"/>
        <v>实用新型</v>
      </c>
      <c r="D1350" s="1" t="str">
        <f>"未缴年费专利权终止"</f>
        <v>未缴年费专利权终止</v>
      </c>
      <c r="E1350" s="1" t="str">
        <f>"CN201721335785.3"</f>
        <v>CN201721335785.3</v>
      </c>
      <c r="F1350" s="1" t="str">
        <f>"2017-10-17"</f>
        <v>2017-10-17</v>
      </c>
      <c r="G1350" s="1" t="str">
        <f>"CN207276790U"</f>
        <v>CN207276790U</v>
      </c>
      <c r="H1350" s="1" t="str">
        <f>"2018-04-27"</f>
        <v>2018-04-27</v>
      </c>
      <c r="I1350" s="1" t="str">
        <f>"陈云军"</f>
        <v>陈云军</v>
      </c>
      <c r="J1350" s="1" t="str">
        <f t="shared" si="675"/>
        <v>天津广瑞达汽车电子有限公司</v>
      </c>
    </row>
    <row r="1351" spans="1:10">
      <c r="A1351" s="1" t="str">
        <f t="shared" si="673"/>
        <v>天津广瑞达汽车电子有限公司</v>
      </c>
      <c r="B1351" s="1" t="str">
        <f>"一种静电纺丝恒温控制箱"</f>
        <v>一种静电纺丝恒温控制箱</v>
      </c>
      <c r="C1351" s="1" t="str">
        <f t="shared" si="678"/>
        <v>实用新型</v>
      </c>
      <c r="D1351" s="1" t="str">
        <f>"未缴年费专利权终止"</f>
        <v>未缴年费专利权终止</v>
      </c>
      <c r="E1351" s="1" t="str">
        <f>"CN201721335786.8"</f>
        <v>CN201721335786.8</v>
      </c>
      <c r="F1351" s="1" t="str">
        <f>"2017-10-17"</f>
        <v>2017-10-17</v>
      </c>
      <c r="G1351" s="1" t="str">
        <f>"CN207276791U"</f>
        <v>CN207276791U</v>
      </c>
      <c r="H1351" s="1" t="str">
        <f>"2018-04-27"</f>
        <v>2018-04-27</v>
      </c>
      <c r="I1351" s="1" t="str">
        <f>"陈云军"</f>
        <v>陈云军</v>
      </c>
      <c r="J1351" s="1" t="str">
        <f t="shared" si="675"/>
        <v>天津广瑞达汽车电子有限公司</v>
      </c>
    </row>
    <row r="1352" spans="1:10">
      <c r="A1352" s="1" t="str">
        <f>"天津东方金工表面涂层有限公司"</f>
        <v>天津东方金工表面涂层有限公司</v>
      </c>
      <c r="B1352" s="1" t="str">
        <f>"一种镀件打磨工作台上的收纳装置"</f>
        <v>一种镀件打磨工作台上的收纳装置</v>
      </c>
      <c r="C1352" s="1" t="str">
        <f>"发明公布"</f>
        <v>发明公布</v>
      </c>
      <c r="D1352" s="1" t="str">
        <f>"公布视为撤回"</f>
        <v>公布视为撤回</v>
      </c>
      <c r="E1352" s="1" t="str">
        <f>"CN201910064276.9"</f>
        <v>CN201910064276.9</v>
      </c>
      <c r="F1352" s="1" t="str">
        <f>"2019-01-23"</f>
        <v>2019-01-23</v>
      </c>
      <c r="G1352" s="1" t="str">
        <f>"CN109676517A"</f>
        <v>CN109676517A</v>
      </c>
      <c r="H1352" s="1" t="str">
        <f>"2019-04-26"</f>
        <v>2019-04-26</v>
      </c>
      <c r="I1352" s="1" t="str">
        <f>"郭俊"</f>
        <v>郭俊</v>
      </c>
      <c r="J1352" s="1" t="str">
        <f>"天津东方金工表面涂层有限公司"</f>
        <v>天津东方金工表面涂层有限公司</v>
      </c>
    </row>
    <row r="1353" spans="1:10">
      <c r="A1353" s="1" t="str">
        <f>"天津东方金工表面涂层有限公司"</f>
        <v>天津东方金工表面涂层有限公司</v>
      </c>
      <c r="B1353" s="1" t="str">
        <f>"一种镀件打磨工作台"</f>
        <v>一种镀件打磨工作台</v>
      </c>
      <c r="C1353" s="1" t="str">
        <f>"发明公布"</f>
        <v>发明公布</v>
      </c>
      <c r="D1353" s="1" t="str">
        <f>"公布视为撤回"</f>
        <v>公布视为撤回</v>
      </c>
      <c r="E1353" s="1" t="str">
        <f>"CN201910082829.3"</f>
        <v>CN201910082829.3</v>
      </c>
      <c r="F1353" s="1" t="str">
        <f>"2019-01-23"</f>
        <v>2019-01-23</v>
      </c>
      <c r="G1353" s="1" t="str">
        <f>"CN109664183A"</f>
        <v>CN109664183A</v>
      </c>
      <c r="H1353" s="1" t="str">
        <f>"2019-04-23"</f>
        <v>2019-04-23</v>
      </c>
      <c r="I1353" s="1" t="str">
        <f>"郭俊"</f>
        <v>郭俊</v>
      </c>
      <c r="J1353" s="1" t="str">
        <f>"天津东方金工表面涂层有限公司"</f>
        <v>天津东方金工表面涂层有限公司</v>
      </c>
    </row>
    <row r="1354" spans="1:10">
      <c r="A1354" s="1" t="str">
        <f t="shared" ref="A1354:A1401" si="680">"天津杰特汽车三元催化器有限公司"</f>
        <v>天津杰特汽车三元催化器有限公司</v>
      </c>
      <c r="B1354" s="1" t="str">
        <f>"一种新型三元催化器隔热机构"</f>
        <v>一种新型三元催化器隔热机构</v>
      </c>
      <c r="C1354" s="1" t="str">
        <f t="shared" ref="C1354:C1407" si="681">"实用新型"</f>
        <v>实用新型</v>
      </c>
      <c r="D1354" s="1" t="str">
        <f t="shared" ref="D1354:D1393" si="682">"授权"</f>
        <v>授权</v>
      </c>
      <c r="E1354" s="1" t="str">
        <f>"CN202321075019.3"</f>
        <v>CN202321075019.3</v>
      </c>
      <c r="F1354" s="1" t="str">
        <f>"2023-05-08"</f>
        <v>2023-05-08</v>
      </c>
      <c r="G1354" s="1" t="str">
        <f>"CN219672716U"</f>
        <v>CN219672716U</v>
      </c>
      <c r="H1354" s="1" t="str">
        <f>"2023-09-12"</f>
        <v>2023-09-12</v>
      </c>
      <c r="I1354" s="1" t="s">
        <v>4999</v>
      </c>
      <c r="J1354" s="1" t="str">
        <f t="shared" ref="J1354:J1401" si="683">"天津杰特汽车三元催化器有限公司"</f>
        <v>天津杰特汽车三元催化器有限公司</v>
      </c>
    </row>
    <row r="1355" spans="1:10">
      <c r="A1355" s="1" t="str">
        <f t="shared" si="680"/>
        <v>天津杰特汽车三元催化器有限公司</v>
      </c>
      <c r="B1355" s="1" t="str">
        <f>"一种防止过热型三元催化器"</f>
        <v>一种防止过热型三元催化器</v>
      </c>
      <c r="C1355" s="1" t="str">
        <f t="shared" si="681"/>
        <v>实用新型</v>
      </c>
      <c r="D1355" s="1" t="str">
        <f t="shared" si="682"/>
        <v>授权</v>
      </c>
      <c r="E1355" s="1" t="str">
        <f>"CN202320556021.6"</f>
        <v>CN202320556021.6</v>
      </c>
      <c r="F1355" s="1" t="str">
        <f>"2023-03-21"</f>
        <v>2023-03-21</v>
      </c>
      <c r="G1355" s="1" t="str">
        <f>"CN219509702U"</f>
        <v>CN219509702U</v>
      </c>
      <c r="H1355" s="1" t="str">
        <f>"2023-08-11"</f>
        <v>2023-08-11</v>
      </c>
      <c r="I1355" s="1" t="s">
        <v>4999</v>
      </c>
      <c r="J1355" s="1" t="str">
        <f t="shared" si="683"/>
        <v>天津杰特汽车三元催化器有限公司</v>
      </c>
    </row>
    <row r="1356" spans="1:10">
      <c r="A1356" s="1" t="str">
        <f t="shared" si="680"/>
        <v>天津杰特汽车三元催化器有限公司</v>
      </c>
      <c r="B1356" s="1" t="str">
        <f>"一种通用型三元催化器"</f>
        <v>一种通用型三元催化器</v>
      </c>
      <c r="C1356" s="1" t="str">
        <f t="shared" si="681"/>
        <v>实用新型</v>
      </c>
      <c r="D1356" s="1" t="str">
        <f t="shared" si="682"/>
        <v>授权</v>
      </c>
      <c r="E1356" s="1" t="str">
        <f>"CN202320555707.3"</f>
        <v>CN202320555707.3</v>
      </c>
      <c r="F1356" s="1" t="str">
        <f>"2023-03-21"</f>
        <v>2023-03-21</v>
      </c>
      <c r="G1356" s="1" t="str">
        <f>"CN219412707U"</f>
        <v>CN219412707U</v>
      </c>
      <c r="H1356" s="1" t="str">
        <f>"2023-07-25"</f>
        <v>2023-07-25</v>
      </c>
      <c r="I1356" s="1" t="s">
        <v>4999</v>
      </c>
      <c r="J1356" s="1" t="str">
        <f t="shared" si="683"/>
        <v>天津杰特汽车三元催化器有限公司</v>
      </c>
    </row>
    <row r="1357" spans="1:10">
      <c r="A1357" s="1" t="str">
        <f t="shared" si="680"/>
        <v>天津杰特汽车三元催化器有限公司</v>
      </c>
      <c r="B1357" s="1" t="str">
        <f>"一种新型防腐型三元催化器"</f>
        <v>一种新型防腐型三元催化器</v>
      </c>
      <c r="C1357" s="1" t="str">
        <f t="shared" si="681"/>
        <v>实用新型</v>
      </c>
      <c r="D1357" s="1" t="str">
        <f t="shared" si="682"/>
        <v>授权</v>
      </c>
      <c r="E1357" s="1" t="str">
        <f>"CN202320364486.1"</f>
        <v>CN202320364486.1</v>
      </c>
      <c r="F1357" s="1" t="str">
        <f>"2023-03-02"</f>
        <v>2023-03-02</v>
      </c>
      <c r="G1357" s="1" t="str">
        <f>"CN219281814U"</f>
        <v>CN219281814U</v>
      </c>
      <c r="H1357" s="1" t="str">
        <f>"2023-06-30"</f>
        <v>2023-06-30</v>
      </c>
      <c r="I1357" s="1" t="s">
        <v>4999</v>
      </c>
      <c r="J1357" s="1" t="str">
        <f t="shared" si="683"/>
        <v>天津杰特汽车三元催化器有限公司</v>
      </c>
    </row>
    <row r="1358" spans="1:10">
      <c r="A1358" s="1" t="str">
        <f t="shared" si="680"/>
        <v>天津杰特汽车三元催化器有限公司</v>
      </c>
      <c r="B1358" s="1" t="str">
        <f>"一种三元催化器总成"</f>
        <v>一种三元催化器总成</v>
      </c>
      <c r="C1358" s="1" t="str">
        <f t="shared" si="681"/>
        <v>实用新型</v>
      </c>
      <c r="D1358" s="1" t="str">
        <f t="shared" si="682"/>
        <v>授权</v>
      </c>
      <c r="E1358" s="1" t="str">
        <f>"CN202320364586.4"</f>
        <v>CN202320364586.4</v>
      </c>
      <c r="F1358" s="1" t="str">
        <f>"2023-03-02"</f>
        <v>2023-03-02</v>
      </c>
      <c r="G1358" s="1" t="str">
        <f>"CN219176430U"</f>
        <v>CN219176430U</v>
      </c>
      <c r="H1358" s="1" t="str">
        <f>"2023-06-13"</f>
        <v>2023-06-13</v>
      </c>
      <c r="I1358" s="1" t="s">
        <v>4999</v>
      </c>
      <c r="J1358" s="1" t="str">
        <f t="shared" si="683"/>
        <v>天津杰特汽车三元催化器有限公司</v>
      </c>
    </row>
    <row r="1359" spans="1:10">
      <c r="A1359" s="1" t="str">
        <f t="shared" si="680"/>
        <v>天津杰特汽车三元催化器有限公司</v>
      </c>
      <c r="B1359" s="1" t="str">
        <f>"一种三元催化器的封装装置"</f>
        <v>一种三元催化器的封装装置</v>
      </c>
      <c r="C1359" s="1" t="str">
        <f t="shared" si="681"/>
        <v>实用新型</v>
      </c>
      <c r="D1359" s="1" t="str">
        <f t="shared" si="682"/>
        <v>授权</v>
      </c>
      <c r="E1359" s="1" t="str">
        <f>"CN202223492145.7"</f>
        <v>CN202223492145.7</v>
      </c>
      <c r="F1359" s="1" t="str">
        <f>"2022-12-27"</f>
        <v>2022-12-27</v>
      </c>
      <c r="G1359" s="1" t="str">
        <f>"CN218982941U"</f>
        <v>CN218982941U</v>
      </c>
      <c r="H1359" s="1" t="str">
        <f>"2023-05-09"</f>
        <v>2023-05-09</v>
      </c>
      <c r="I1359" s="1" t="s">
        <v>4999</v>
      </c>
      <c r="J1359" s="1" t="str">
        <f t="shared" si="683"/>
        <v>天津杰特汽车三元催化器有限公司</v>
      </c>
    </row>
    <row r="1360" spans="1:10">
      <c r="A1360" s="1" t="str">
        <f t="shared" si="680"/>
        <v>天津杰特汽车三元催化器有限公司</v>
      </c>
      <c r="B1360" s="1" t="str">
        <f>"一种新型三元催化器载体"</f>
        <v>一种新型三元催化器载体</v>
      </c>
      <c r="C1360" s="1" t="str">
        <f t="shared" si="681"/>
        <v>实用新型</v>
      </c>
      <c r="D1360" s="1" t="str">
        <f t="shared" si="682"/>
        <v>授权</v>
      </c>
      <c r="E1360" s="1" t="str">
        <f>"CN202223458210.4"</f>
        <v>CN202223458210.4</v>
      </c>
      <c r="F1360" s="1" t="str">
        <f>"2022-12-23"</f>
        <v>2022-12-23</v>
      </c>
      <c r="G1360" s="1" t="str">
        <f>"CN218953410U"</f>
        <v>CN218953410U</v>
      </c>
      <c r="H1360" s="1" t="str">
        <f>"2023-05-02"</f>
        <v>2023-05-02</v>
      </c>
      <c r="I1360" s="1" t="s">
        <v>4999</v>
      </c>
      <c r="J1360" s="1" t="str">
        <f t="shared" si="683"/>
        <v>天津杰特汽车三元催化器有限公司</v>
      </c>
    </row>
    <row r="1361" spans="1:10">
      <c r="A1361" s="1" t="str">
        <f t="shared" si="680"/>
        <v>天津杰特汽车三元催化器有限公司</v>
      </c>
      <c r="B1361" s="1" t="str">
        <f>"一种耐高温三元催化器"</f>
        <v>一种耐高温三元催化器</v>
      </c>
      <c r="C1361" s="1" t="str">
        <f t="shared" si="681"/>
        <v>实用新型</v>
      </c>
      <c r="D1361" s="1" t="str">
        <f t="shared" si="682"/>
        <v>授权</v>
      </c>
      <c r="E1361" s="1" t="str">
        <f>"CN202223460837.3"</f>
        <v>CN202223460837.3</v>
      </c>
      <c r="F1361" s="1" t="str">
        <f>"2022-12-24"</f>
        <v>2022-12-24</v>
      </c>
      <c r="G1361" s="1" t="str">
        <f>"CN218953413U"</f>
        <v>CN218953413U</v>
      </c>
      <c r="H1361" s="1" t="str">
        <f>"2023-05-02"</f>
        <v>2023-05-02</v>
      </c>
      <c r="I1361" s="1" t="s">
        <v>4999</v>
      </c>
      <c r="J1361" s="1" t="str">
        <f t="shared" si="683"/>
        <v>天津杰特汽车三元催化器有限公司</v>
      </c>
    </row>
    <row r="1362" spans="1:10">
      <c r="A1362" s="1" t="str">
        <f t="shared" si="680"/>
        <v>天津杰特汽车三元催化器有限公司</v>
      </c>
      <c r="B1362" s="1" t="str">
        <f>"一种新型双管道三元催化器"</f>
        <v>一种新型双管道三元催化器</v>
      </c>
      <c r="C1362" s="1" t="str">
        <f t="shared" si="681"/>
        <v>实用新型</v>
      </c>
      <c r="D1362" s="1" t="str">
        <f t="shared" si="682"/>
        <v>授权</v>
      </c>
      <c r="E1362" s="1" t="str">
        <f>"CN202223247001.5"</f>
        <v>CN202223247001.5</v>
      </c>
      <c r="F1362" s="1" t="str">
        <f>"2022-12-05"</f>
        <v>2022-12-05</v>
      </c>
      <c r="G1362" s="1" t="str">
        <f>"CN218581682U"</f>
        <v>CN218581682U</v>
      </c>
      <c r="H1362" s="1" t="str">
        <f>"2023-03-07"</f>
        <v>2023-03-07</v>
      </c>
      <c r="I1362" s="1" t="s">
        <v>4999</v>
      </c>
      <c r="J1362" s="1" t="str">
        <f t="shared" si="683"/>
        <v>天津杰特汽车三元催化器有限公司</v>
      </c>
    </row>
    <row r="1363" spans="1:10">
      <c r="A1363" s="1" t="str">
        <f t="shared" si="680"/>
        <v>天津杰特汽车三元催化器有限公司</v>
      </c>
      <c r="B1363" s="1" t="str">
        <f>"一种新型高效洁净的三元催化器"</f>
        <v>一种新型高效洁净的三元催化器</v>
      </c>
      <c r="C1363" s="1" t="str">
        <f t="shared" si="681"/>
        <v>实用新型</v>
      </c>
      <c r="D1363" s="1" t="str">
        <f t="shared" si="682"/>
        <v>授权</v>
      </c>
      <c r="E1363" s="1" t="str">
        <f>"CN202223145690.9"</f>
        <v>CN202223145690.9</v>
      </c>
      <c r="F1363" s="1" t="str">
        <f>"2022-11-26"</f>
        <v>2022-11-26</v>
      </c>
      <c r="G1363" s="1" t="str">
        <f>"CN218439508U"</f>
        <v>CN218439508U</v>
      </c>
      <c r="H1363" s="1" t="str">
        <f>"2023-02-03"</f>
        <v>2023-02-03</v>
      </c>
      <c r="I1363" s="1" t="s">
        <v>4999</v>
      </c>
      <c r="J1363" s="1" t="str">
        <f t="shared" si="683"/>
        <v>天津杰特汽车三元催化器有限公司</v>
      </c>
    </row>
    <row r="1364" spans="1:10">
      <c r="A1364" s="1" t="str">
        <f t="shared" si="680"/>
        <v>天津杰特汽车三元催化器有限公司</v>
      </c>
      <c r="B1364" s="1" t="str">
        <f>"一种三元催化器性能检测装置"</f>
        <v>一种三元催化器性能检测装置</v>
      </c>
      <c r="C1364" s="1" t="str">
        <f t="shared" si="681"/>
        <v>实用新型</v>
      </c>
      <c r="D1364" s="1" t="str">
        <f t="shared" si="682"/>
        <v>授权</v>
      </c>
      <c r="E1364" s="1" t="str">
        <f>"CN202222762800.X"</f>
        <v>CN202222762800.X</v>
      </c>
      <c r="F1364" s="1" t="str">
        <f>"2022-10-20"</f>
        <v>2022-10-20</v>
      </c>
      <c r="G1364" s="1" t="str">
        <f>"CN218444450U"</f>
        <v>CN218444450U</v>
      </c>
      <c r="H1364" s="1" t="str">
        <f>"2023-02-03"</f>
        <v>2023-02-03</v>
      </c>
      <c r="I1364" s="1" t="s">
        <v>4999</v>
      </c>
      <c r="J1364" s="1" t="str">
        <f t="shared" si="683"/>
        <v>天津杰特汽车三元催化器有限公司</v>
      </c>
    </row>
    <row r="1365" spans="1:10">
      <c r="A1365" s="1" t="str">
        <f t="shared" si="680"/>
        <v>天津杰特汽车三元催化器有限公司</v>
      </c>
      <c r="B1365" s="1" t="str">
        <f>"一种降噪式三元催化器结构"</f>
        <v>一种降噪式三元催化器结构</v>
      </c>
      <c r="C1365" s="1" t="str">
        <f t="shared" si="681"/>
        <v>实用新型</v>
      </c>
      <c r="D1365" s="1" t="str">
        <f t="shared" si="682"/>
        <v>授权</v>
      </c>
      <c r="E1365" s="1" t="str">
        <f>"CN202223028402.1"</f>
        <v>CN202223028402.1</v>
      </c>
      <c r="F1365" s="1" t="str">
        <f>"2022-11-15"</f>
        <v>2022-11-15</v>
      </c>
      <c r="G1365" s="1" t="str">
        <f>"CN218324999U"</f>
        <v>CN218324999U</v>
      </c>
      <c r="H1365" s="1" t="str">
        <f>"2023-01-17"</f>
        <v>2023-01-17</v>
      </c>
      <c r="I1365" s="1" t="s">
        <v>4999</v>
      </c>
      <c r="J1365" s="1" t="str">
        <f t="shared" si="683"/>
        <v>天津杰特汽车三元催化器有限公司</v>
      </c>
    </row>
    <row r="1366" spans="1:10">
      <c r="A1366" s="1" t="str">
        <f t="shared" si="680"/>
        <v>天津杰特汽车三元催化器有限公司</v>
      </c>
      <c r="B1366" s="1" t="str">
        <f>"一种三元催化器热振实验装置"</f>
        <v>一种三元催化器热振实验装置</v>
      </c>
      <c r="C1366" s="1" t="str">
        <f t="shared" si="681"/>
        <v>实用新型</v>
      </c>
      <c r="D1366" s="1" t="str">
        <f t="shared" si="682"/>
        <v>授权</v>
      </c>
      <c r="E1366" s="1" t="str">
        <f>"CN202222691129.4"</f>
        <v>CN202222691129.4</v>
      </c>
      <c r="F1366" s="1" t="str">
        <f>"2022-10-13"</f>
        <v>2022-10-13</v>
      </c>
      <c r="G1366" s="1" t="str">
        <f>"CN218211972U"</f>
        <v>CN218211972U</v>
      </c>
      <c r="H1366" s="1" t="str">
        <f>"2023-01-03"</f>
        <v>2023-01-03</v>
      </c>
      <c r="I1366" s="1" t="s">
        <v>4999</v>
      </c>
      <c r="J1366" s="1" t="str">
        <f t="shared" si="683"/>
        <v>天津杰特汽车三元催化器有限公司</v>
      </c>
    </row>
    <row r="1367" spans="1:10">
      <c r="A1367" s="1" t="str">
        <f t="shared" si="680"/>
        <v>天津杰特汽车三元催化器有限公司</v>
      </c>
      <c r="B1367" s="1" t="str">
        <f>"一种新型三元催化器"</f>
        <v>一种新型三元催化器</v>
      </c>
      <c r="C1367" s="1" t="str">
        <f t="shared" si="681"/>
        <v>实用新型</v>
      </c>
      <c r="D1367" s="1" t="str">
        <f t="shared" si="682"/>
        <v>授权</v>
      </c>
      <c r="E1367" s="1" t="str">
        <f>"CN202222863449.3"</f>
        <v>CN202222863449.3</v>
      </c>
      <c r="F1367" s="1" t="str">
        <f>"2022-10-29"</f>
        <v>2022-10-29</v>
      </c>
      <c r="G1367" s="1" t="str">
        <f>"CN218093195U"</f>
        <v>CN218093195U</v>
      </c>
      <c r="H1367" s="1" t="str">
        <f>"2022-12-20"</f>
        <v>2022-12-20</v>
      </c>
      <c r="I1367" s="1" t="s">
        <v>4999</v>
      </c>
      <c r="J1367" s="1" t="str">
        <f t="shared" si="683"/>
        <v>天津杰特汽车三元催化器有限公司</v>
      </c>
    </row>
    <row r="1368" spans="1:10">
      <c r="A1368" s="1" t="str">
        <f t="shared" si="680"/>
        <v>天津杰特汽车三元催化器有限公司</v>
      </c>
      <c r="B1368" s="1" t="str">
        <f>"一种双反应式三元催化器"</f>
        <v>一种双反应式三元催化器</v>
      </c>
      <c r="C1368" s="1" t="str">
        <f t="shared" si="681"/>
        <v>实用新型</v>
      </c>
      <c r="D1368" s="1" t="str">
        <f t="shared" si="682"/>
        <v>授权</v>
      </c>
      <c r="E1368" s="1" t="str">
        <f>"CN201620955731.6"</f>
        <v>CN201620955731.6</v>
      </c>
      <c r="F1368" s="1" t="str">
        <f t="shared" ref="F1368:F1393" si="684">"2016-08-26"</f>
        <v>2016-08-26</v>
      </c>
      <c r="G1368" s="1" t="str">
        <f>"CN206035599U"</f>
        <v>CN206035599U</v>
      </c>
      <c r="H1368" s="1" t="str">
        <f t="shared" ref="H1368:H1393" si="685">"2017-03-22"</f>
        <v>2017-03-22</v>
      </c>
      <c r="I1368" s="1" t="str">
        <f t="shared" ref="I1368:I1399" si="686">"苑金全"</f>
        <v>苑金全</v>
      </c>
      <c r="J1368" s="1" t="str">
        <f t="shared" si="683"/>
        <v>天津杰特汽车三元催化器有限公司</v>
      </c>
    </row>
    <row r="1369" spans="1:10">
      <c r="A1369" s="1" t="str">
        <f t="shared" si="680"/>
        <v>天津杰特汽车三元催化器有限公司</v>
      </c>
      <c r="B1369" s="1" t="str">
        <f>"一种新型的三元催化器"</f>
        <v>一种新型的三元催化器</v>
      </c>
      <c r="C1369" s="1" t="str">
        <f t="shared" si="681"/>
        <v>实用新型</v>
      </c>
      <c r="D1369" s="1" t="str">
        <f t="shared" si="682"/>
        <v>授权</v>
      </c>
      <c r="E1369" s="1" t="str">
        <f>"CN201620955145.1"</f>
        <v>CN201620955145.1</v>
      </c>
      <c r="F1369" s="1" t="str">
        <f t="shared" si="684"/>
        <v>2016-08-26</v>
      </c>
      <c r="G1369" s="1" t="str">
        <f>"CN206035587U"</f>
        <v>CN206035587U</v>
      </c>
      <c r="H1369" s="1" t="str">
        <f t="shared" si="685"/>
        <v>2017-03-22</v>
      </c>
      <c r="I1369" s="1" t="str">
        <f t="shared" si="686"/>
        <v>苑金全</v>
      </c>
      <c r="J1369" s="1" t="str">
        <f t="shared" si="683"/>
        <v>天津杰特汽车三元催化器有限公司</v>
      </c>
    </row>
    <row r="1370" spans="1:10">
      <c r="A1370" s="1" t="str">
        <f t="shared" si="680"/>
        <v>天津杰特汽车三元催化器有限公司</v>
      </c>
      <c r="B1370" s="1" t="str">
        <f>"一种应用于汽车的三元催化器"</f>
        <v>一种应用于汽车的三元催化器</v>
      </c>
      <c r="C1370" s="1" t="str">
        <f t="shared" si="681"/>
        <v>实用新型</v>
      </c>
      <c r="D1370" s="1" t="str">
        <f t="shared" si="682"/>
        <v>授权</v>
      </c>
      <c r="E1370" s="1" t="str">
        <f>"CN201620955734.X"</f>
        <v>CN201620955734.X</v>
      </c>
      <c r="F1370" s="1" t="str">
        <f t="shared" si="684"/>
        <v>2016-08-26</v>
      </c>
      <c r="G1370" s="1" t="str">
        <f>"CN206035602U"</f>
        <v>CN206035602U</v>
      </c>
      <c r="H1370" s="1" t="str">
        <f t="shared" si="685"/>
        <v>2017-03-22</v>
      </c>
      <c r="I1370" s="1" t="str">
        <f t="shared" si="686"/>
        <v>苑金全</v>
      </c>
      <c r="J1370" s="1" t="str">
        <f t="shared" si="683"/>
        <v>天津杰特汽车三元催化器有限公司</v>
      </c>
    </row>
    <row r="1371" spans="1:10">
      <c r="A1371" s="1" t="str">
        <f t="shared" si="680"/>
        <v>天津杰特汽车三元催化器有限公司</v>
      </c>
      <c r="B1371" s="1" t="str">
        <f>"一种可自行冷却的汽车三元催化器"</f>
        <v>一种可自行冷却的汽车三元催化器</v>
      </c>
      <c r="C1371" s="1" t="str">
        <f t="shared" si="681"/>
        <v>实用新型</v>
      </c>
      <c r="D1371" s="1" t="str">
        <f t="shared" si="682"/>
        <v>授权</v>
      </c>
      <c r="E1371" s="1" t="str">
        <f>"CN201620955230.8"</f>
        <v>CN201620955230.8</v>
      </c>
      <c r="F1371" s="1" t="str">
        <f t="shared" si="684"/>
        <v>2016-08-26</v>
      </c>
      <c r="G1371" s="1" t="str">
        <f>"CN206035588U"</f>
        <v>CN206035588U</v>
      </c>
      <c r="H1371" s="1" t="str">
        <f t="shared" si="685"/>
        <v>2017-03-22</v>
      </c>
      <c r="I1371" s="1" t="str">
        <f t="shared" si="686"/>
        <v>苑金全</v>
      </c>
      <c r="J1371" s="1" t="str">
        <f t="shared" si="683"/>
        <v>天津杰特汽车三元催化器有限公司</v>
      </c>
    </row>
    <row r="1372" spans="1:10">
      <c r="A1372" s="1" t="str">
        <f t="shared" si="680"/>
        <v>天津杰特汽车三元催化器有限公司</v>
      </c>
      <c r="B1372" s="1" t="str">
        <f>"一种新型三元催化器"</f>
        <v>一种新型三元催化器</v>
      </c>
      <c r="C1372" s="1" t="str">
        <f t="shared" si="681"/>
        <v>实用新型</v>
      </c>
      <c r="D1372" s="1" t="str">
        <f t="shared" si="682"/>
        <v>授权</v>
      </c>
      <c r="E1372" s="1" t="str">
        <f>"CN201620955394.0"</f>
        <v>CN201620955394.0</v>
      </c>
      <c r="F1372" s="1" t="str">
        <f t="shared" si="684"/>
        <v>2016-08-26</v>
      </c>
      <c r="G1372" s="1" t="str">
        <f>"CN206035590U"</f>
        <v>CN206035590U</v>
      </c>
      <c r="H1372" s="1" t="str">
        <f t="shared" si="685"/>
        <v>2017-03-22</v>
      </c>
      <c r="I1372" s="1" t="str">
        <f t="shared" si="686"/>
        <v>苑金全</v>
      </c>
      <c r="J1372" s="1" t="str">
        <f t="shared" si="683"/>
        <v>天津杰特汽车三元催化器有限公司</v>
      </c>
    </row>
    <row r="1373" spans="1:10">
      <c r="A1373" s="1" t="str">
        <f t="shared" si="680"/>
        <v>天津杰特汽车三元催化器有限公司</v>
      </c>
      <c r="B1373" s="1" t="str">
        <f>"一种汽车三元催化器"</f>
        <v>一种汽车三元催化器</v>
      </c>
      <c r="C1373" s="1" t="str">
        <f t="shared" si="681"/>
        <v>实用新型</v>
      </c>
      <c r="D1373" s="1" t="str">
        <f t="shared" si="682"/>
        <v>授权</v>
      </c>
      <c r="E1373" s="1" t="str">
        <f>"CN201620955800.3"</f>
        <v>CN201620955800.3</v>
      </c>
      <c r="F1373" s="1" t="str">
        <f t="shared" si="684"/>
        <v>2016-08-26</v>
      </c>
      <c r="G1373" s="1" t="str">
        <f>"CN206035605U"</f>
        <v>CN206035605U</v>
      </c>
      <c r="H1373" s="1" t="str">
        <f t="shared" si="685"/>
        <v>2017-03-22</v>
      </c>
      <c r="I1373" s="1" t="str">
        <f t="shared" si="686"/>
        <v>苑金全</v>
      </c>
      <c r="J1373" s="1" t="str">
        <f t="shared" si="683"/>
        <v>天津杰特汽车三元催化器有限公司</v>
      </c>
    </row>
    <row r="1374" spans="1:10">
      <c r="A1374" s="1" t="str">
        <f t="shared" si="680"/>
        <v>天津杰特汽车三元催化器有限公司</v>
      </c>
      <c r="B1374" s="1" t="str">
        <f>"一种稳固型三元催化器"</f>
        <v>一种稳固型三元催化器</v>
      </c>
      <c r="C1374" s="1" t="str">
        <f t="shared" si="681"/>
        <v>实用新型</v>
      </c>
      <c r="D1374" s="1" t="str">
        <f t="shared" si="682"/>
        <v>授权</v>
      </c>
      <c r="E1374" s="1" t="str">
        <f>"CN201620955577.2"</f>
        <v>CN201620955577.2</v>
      </c>
      <c r="F1374" s="1" t="str">
        <f t="shared" si="684"/>
        <v>2016-08-26</v>
      </c>
      <c r="G1374" s="1" t="str">
        <f>"CN206035595U"</f>
        <v>CN206035595U</v>
      </c>
      <c r="H1374" s="1" t="str">
        <f t="shared" si="685"/>
        <v>2017-03-22</v>
      </c>
      <c r="I1374" s="1" t="str">
        <f t="shared" si="686"/>
        <v>苑金全</v>
      </c>
      <c r="J1374" s="1" t="str">
        <f t="shared" si="683"/>
        <v>天津杰特汽车三元催化器有限公司</v>
      </c>
    </row>
    <row r="1375" spans="1:10">
      <c r="A1375" s="1" t="str">
        <f t="shared" si="680"/>
        <v>天津杰特汽车三元催化器有限公司</v>
      </c>
      <c r="B1375" s="1" t="str">
        <f>"一种智能高效的三元催化器"</f>
        <v>一种智能高效的三元催化器</v>
      </c>
      <c r="C1375" s="1" t="str">
        <f t="shared" si="681"/>
        <v>实用新型</v>
      </c>
      <c r="D1375" s="1" t="str">
        <f t="shared" si="682"/>
        <v>授权</v>
      </c>
      <c r="E1375" s="1" t="str">
        <f>"CN201620955735.4"</f>
        <v>CN201620955735.4</v>
      </c>
      <c r="F1375" s="1" t="str">
        <f t="shared" si="684"/>
        <v>2016-08-26</v>
      </c>
      <c r="G1375" s="1" t="str">
        <f>"CN206035603U"</f>
        <v>CN206035603U</v>
      </c>
      <c r="H1375" s="1" t="str">
        <f t="shared" si="685"/>
        <v>2017-03-22</v>
      </c>
      <c r="I1375" s="1" t="str">
        <f t="shared" si="686"/>
        <v>苑金全</v>
      </c>
      <c r="J1375" s="1" t="str">
        <f t="shared" si="683"/>
        <v>天津杰特汽车三元催化器有限公司</v>
      </c>
    </row>
    <row r="1376" spans="1:10">
      <c r="A1376" s="1" t="str">
        <f t="shared" si="680"/>
        <v>天津杰特汽车三元催化器有限公司</v>
      </c>
      <c r="B1376" s="1" t="str">
        <f>"一种防腐型三元催化器"</f>
        <v>一种防腐型三元催化器</v>
      </c>
      <c r="C1376" s="1" t="str">
        <f t="shared" si="681"/>
        <v>实用新型</v>
      </c>
      <c r="D1376" s="1" t="str">
        <f t="shared" si="682"/>
        <v>授权</v>
      </c>
      <c r="E1376" s="1" t="str">
        <f>"CN201620955299.0"</f>
        <v>CN201620955299.0</v>
      </c>
      <c r="F1376" s="1" t="str">
        <f t="shared" si="684"/>
        <v>2016-08-26</v>
      </c>
      <c r="G1376" s="1" t="str">
        <f>"CN206035579U"</f>
        <v>CN206035579U</v>
      </c>
      <c r="H1376" s="1" t="str">
        <f t="shared" si="685"/>
        <v>2017-03-22</v>
      </c>
      <c r="I1376" s="1" t="str">
        <f t="shared" si="686"/>
        <v>苑金全</v>
      </c>
      <c r="J1376" s="1" t="str">
        <f t="shared" si="683"/>
        <v>天津杰特汽车三元催化器有限公司</v>
      </c>
    </row>
    <row r="1377" spans="1:10">
      <c r="A1377" s="1" t="str">
        <f t="shared" si="680"/>
        <v>天津杰特汽车三元催化器有限公司</v>
      </c>
      <c r="B1377" s="1" t="str">
        <f>"一种导风式三元催化器"</f>
        <v>一种导风式三元催化器</v>
      </c>
      <c r="C1377" s="1" t="str">
        <f t="shared" si="681"/>
        <v>实用新型</v>
      </c>
      <c r="D1377" s="1" t="str">
        <f t="shared" si="682"/>
        <v>授权</v>
      </c>
      <c r="E1377" s="1" t="str">
        <f>"CN201620955480.1"</f>
        <v>CN201620955480.1</v>
      </c>
      <c r="F1377" s="1" t="str">
        <f t="shared" si="684"/>
        <v>2016-08-26</v>
      </c>
      <c r="G1377" s="1" t="str">
        <f>"CN206035594U"</f>
        <v>CN206035594U</v>
      </c>
      <c r="H1377" s="1" t="str">
        <f t="shared" si="685"/>
        <v>2017-03-22</v>
      </c>
      <c r="I1377" s="1" t="str">
        <f t="shared" si="686"/>
        <v>苑金全</v>
      </c>
      <c r="J1377" s="1" t="str">
        <f t="shared" si="683"/>
        <v>天津杰特汽车三元催化器有限公司</v>
      </c>
    </row>
    <row r="1378" spans="1:10">
      <c r="A1378" s="1" t="str">
        <f t="shared" si="680"/>
        <v>天津杰特汽车三元催化器有限公司</v>
      </c>
      <c r="B1378" s="1" t="str">
        <f>"一种三元催化器"</f>
        <v>一种三元催化器</v>
      </c>
      <c r="C1378" s="1" t="str">
        <f t="shared" si="681"/>
        <v>实用新型</v>
      </c>
      <c r="D1378" s="1" t="str">
        <f t="shared" si="682"/>
        <v>授权</v>
      </c>
      <c r="E1378" s="1" t="str">
        <f>"CN201620955856.9"</f>
        <v>CN201620955856.9</v>
      </c>
      <c r="F1378" s="1" t="str">
        <f t="shared" si="684"/>
        <v>2016-08-26</v>
      </c>
      <c r="G1378" s="1" t="str">
        <f>"CN206035583U"</f>
        <v>CN206035583U</v>
      </c>
      <c r="H1378" s="1" t="str">
        <f t="shared" si="685"/>
        <v>2017-03-22</v>
      </c>
      <c r="I1378" s="1" t="str">
        <f t="shared" si="686"/>
        <v>苑金全</v>
      </c>
      <c r="J1378" s="1" t="str">
        <f t="shared" si="683"/>
        <v>天津杰特汽车三元催化器有限公司</v>
      </c>
    </row>
    <row r="1379" spans="1:10">
      <c r="A1379" s="1" t="str">
        <f t="shared" si="680"/>
        <v>天津杰特汽车三元催化器有限公司</v>
      </c>
      <c r="B1379" s="1" t="str">
        <f>"一种双管道高效三元催化器"</f>
        <v>一种双管道高效三元催化器</v>
      </c>
      <c r="C1379" s="1" t="str">
        <f t="shared" si="681"/>
        <v>实用新型</v>
      </c>
      <c r="D1379" s="1" t="str">
        <f t="shared" si="682"/>
        <v>授权</v>
      </c>
      <c r="E1379" s="1" t="str">
        <f>"CN201620955578.7"</f>
        <v>CN201620955578.7</v>
      </c>
      <c r="F1379" s="1" t="str">
        <f t="shared" si="684"/>
        <v>2016-08-26</v>
      </c>
      <c r="G1379" s="1" t="str">
        <f>"CN206035596U"</f>
        <v>CN206035596U</v>
      </c>
      <c r="H1379" s="1" t="str">
        <f t="shared" si="685"/>
        <v>2017-03-22</v>
      </c>
      <c r="I1379" s="1" t="str">
        <f t="shared" si="686"/>
        <v>苑金全</v>
      </c>
      <c r="J1379" s="1" t="str">
        <f t="shared" si="683"/>
        <v>天津杰特汽车三元催化器有限公司</v>
      </c>
    </row>
    <row r="1380" spans="1:10">
      <c r="A1380" s="1" t="str">
        <f t="shared" si="680"/>
        <v>天津杰特汽车三元催化器有限公司</v>
      </c>
      <c r="B1380" s="1" t="str">
        <f>"一种防撞击振动的三元催化器"</f>
        <v>一种防撞击振动的三元催化器</v>
      </c>
      <c r="C1380" s="1" t="str">
        <f t="shared" si="681"/>
        <v>实用新型</v>
      </c>
      <c r="D1380" s="1" t="str">
        <f t="shared" si="682"/>
        <v>授权</v>
      </c>
      <c r="E1380" s="1" t="str">
        <f>"CN201620955860.5"</f>
        <v>CN201620955860.5</v>
      </c>
      <c r="F1380" s="1" t="str">
        <f t="shared" si="684"/>
        <v>2016-08-26</v>
      </c>
      <c r="G1380" s="1" t="str">
        <f>"CN206035585U"</f>
        <v>CN206035585U</v>
      </c>
      <c r="H1380" s="1" t="str">
        <f t="shared" si="685"/>
        <v>2017-03-22</v>
      </c>
      <c r="I1380" s="1" t="str">
        <f t="shared" si="686"/>
        <v>苑金全</v>
      </c>
      <c r="J1380" s="1" t="str">
        <f t="shared" si="683"/>
        <v>天津杰特汽车三元催化器有限公司</v>
      </c>
    </row>
    <row r="1381" spans="1:10">
      <c r="A1381" s="1" t="str">
        <f t="shared" si="680"/>
        <v>天津杰特汽车三元催化器有限公司</v>
      </c>
      <c r="B1381" s="1" t="str">
        <f>"一种可更换式三元催化器"</f>
        <v>一种可更换式三元催化器</v>
      </c>
      <c r="C1381" s="1" t="str">
        <f t="shared" si="681"/>
        <v>实用新型</v>
      </c>
      <c r="D1381" s="1" t="str">
        <f t="shared" si="682"/>
        <v>授权</v>
      </c>
      <c r="E1381" s="1" t="str">
        <f>"CN201620955732.0"</f>
        <v>CN201620955732.0</v>
      </c>
      <c r="F1381" s="1" t="str">
        <f t="shared" si="684"/>
        <v>2016-08-26</v>
      </c>
      <c r="G1381" s="1" t="str">
        <f>"CN206035600U"</f>
        <v>CN206035600U</v>
      </c>
      <c r="H1381" s="1" t="str">
        <f t="shared" si="685"/>
        <v>2017-03-22</v>
      </c>
      <c r="I1381" s="1" t="str">
        <f t="shared" si="686"/>
        <v>苑金全</v>
      </c>
      <c r="J1381" s="1" t="str">
        <f t="shared" si="683"/>
        <v>天津杰特汽车三元催化器有限公司</v>
      </c>
    </row>
    <row r="1382" spans="1:10">
      <c r="A1382" s="1" t="str">
        <f t="shared" si="680"/>
        <v>天津杰特汽车三元催化器有限公司</v>
      </c>
      <c r="B1382" s="1" t="str">
        <f>"一种全方位使用的三元催化器"</f>
        <v>一种全方位使用的三元催化器</v>
      </c>
      <c r="C1382" s="1" t="str">
        <f t="shared" si="681"/>
        <v>实用新型</v>
      </c>
      <c r="D1382" s="1" t="str">
        <f t="shared" si="682"/>
        <v>授权</v>
      </c>
      <c r="E1382" s="1" t="str">
        <f>"CN201620955798.X"</f>
        <v>CN201620955798.X</v>
      </c>
      <c r="F1382" s="1" t="str">
        <f t="shared" si="684"/>
        <v>2016-08-26</v>
      </c>
      <c r="G1382" s="1" t="str">
        <f>"CN206035582U"</f>
        <v>CN206035582U</v>
      </c>
      <c r="H1382" s="1" t="str">
        <f t="shared" si="685"/>
        <v>2017-03-22</v>
      </c>
      <c r="I1382" s="1" t="str">
        <f t="shared" si="686"/>
        <v>苑金全</v>
      </c>
      <c r="J1382" s="1" t="str">
        <f t="shared" si="683"/>
        <v>天津杰特汽车三元催化器有限公司</v>
      </c>
    </row>
    <row r="1383" spans="1:10">
      <c r="A1383" s="1" t="str">
        <f t="shared" si="680"/>
        <v>天津杰特汽车三元催化器有限公司</v>
      </c>
      <c r="B1383" s="1" t="str">
        <f>"一种自动清理氧化颗粒附着物的三元催化器"</f>
        <v>一种自动清理氧化颗粒附着物的三元催化器</v>
      </c>
      <c r="C1383" s="1" t="str">
        <f t="shared" si="681"/>
        <v>实用新型</v>
      </c>
      <c r="D1383" s="1" t="str">
        <f t="shared" si="682"/>
        <v>授权</v>
      </c>
      <c r="E1383" s="1" t="str">
        <f>"CN201620955296.7"</f>
        <v>CN201620955296.7</v>
      </c>
      <c r="F1383" s="1" t="str">
        <f t="shared" si="684"/>
        <v>2016-08-26</v>
      </c>
      <c r="G1383" s="1" t="str">
        <f>"CN206035589U"</f>
        <v>CN206035589U</v>
      </c>
      <c r="H1383" s="1" t="str">
        <f t="shared" si="685"/>
        <v>2017-03-22</v>
      </c>
      <c r="I1383" s="1" t="str">
        <f t="shared" si="686"/>
        <v>苑金全</v>
      </c>
      <c r="J1383" s="1" t="str">
        <f t="shared" si="683"/>
        <v>天津杰特汽车三元催化器有限公司</v>
      </c>
    </row>
    <row r="1384" spans="1:10">
      <c r="A1384" s="1" t="str">
        <f t="shared" si="680"/>
        <v>天津杰特汽车三元催化器有限公司</v>
      </c>
      <c r="B1384" s="1" t="str">
        <f>"一种多排三元催化器"</f>
        <v>一种多排三元催化器</v>
      </c>
      <c r="C1384" s="1" t="str">
        <f t="shared" si="681"/>
        <v>实用新型</v>
      </c>
      <c r="D1384" s="1" t="str">
        <f t="shared" si="682"/>
        <v>授权</v>
      </c>
      <c r="E1384" s="1" t="str">
        <f>"CN201620955395.5"</f>
        <v>CN201620955395.5</v>
      </c>
      <c r="F1384" s="1" t="str">
        <f t="shared" si="684"/>
        <v>2016-08-26</v>
      </c>
      <c r="G1384" s="1" t="str">
        <f>"CN206035591U"</f>
        <v>CN206035591U</v>
      </c>
      <c r="H1384" s="1" t="str">
        <f t="shared" si="685"/>
        <v>2017-03-22</v>
      </c>
      <c r="I1384" s="1" t="str">
        <f t="shared" si="686"/>
        <v>苑金全</v>
      </c>
      <c r="J1384" s="1" t="str">
        <f t="shared" si="683"/>
        <v>天津杰特汽车三元催化器有限公司</v>
      </c>
    </row>
    <row r="1385" spans="1:10">
      <c r="A1385" s="1" t="str">
        <f t="shared" si="680"/>
        <v>天津杰特汽车三元催化器有限公司</v>
      </c>
      <c r="B1385" s="1" t="str">
        <f>"一种实用型温控三元催化器装置"</f>
        <v>一种实用型温控三元催化器装置</v>
      </c>
      <c r="C1385" s="1" t="str">
        <f t="shared" si="681"/>
        <v>实用新型</v>
      </c>
      <c r="D1385" s="1" t="str">
        <f t="shared" si="682"/>
        <v>授权</v>
      </c>
      <c r="E1385" s="1" t="str">
        <f>"CN201620955857.3"</f>
        <v>CN201620955857.3</v>
      </c>
      <c r="F1385" s="1" t="str">
        <f t="shared" si="684"/>
        <v>2016-08-26</v>
      </c>
      <c r="G1385" s="1" t="str">
        <f>"CN206035584U"</f>
        <v>CN206035584U</v>
      </c>
      <c r="H1385" s="1" t="str">
        <f t="shared" si="685"/>
        <v>2017-03-22</v>
      </c>
      <c r="I1385" s="1" t="str">
        <f t="shared" si="686"/>
        <v>苑金全</v>
      </c>
      <c r="J1385" s="1" t="str">
        <f t="shared" si="683"/>
        <v>天津杰特汽车三元催化器有限公司</v>
      </c>
    </row>
    <row r="1386" spans="1:10">
      <c r="A1386" s="1" t="str">
        <f t="shared" si="680"/>
        <v>天津杰特汽车三元催化器有限公司</v>
      </c>
      <c r="B1386" s="1" t="str">
        <f>"一种柴油机用三元催化器"</f>
        <v>一种柴油机用三元催化器</v>
      </c>
      <c r="C1386" s="1" t="str">
        <f t="shared" si="681"/>
        <v>实用新型</v>
      </c>
      <c r="D1386" s="1" t="str">
        <f t="shared" si="682"/>
        <v>授权</v>
      </c>
      <c r="E1386" s="1" t="str">
        <f>"CN201620955392.1"</f>
        <v>CN201620955392.1</v>
      </c>
      <c r="F1386" s="1" t="str">
        <f t="shared" si="684"/>
        <v>2016-08-26</v>
      </c>
      <c r="G1386" s="1" t="str">
        <f>"CN206035581U"</f>
        <v>CN206035581U</v>
      </c>
      <c r="H1386" s="1" t="str">
        <f t="shared" si="685"/>
        <v>2017-03-22</v>
      </c>
      <c r="I1386" s="1" t="str">
        <f t="shared" si="686"/>
        <v>苑金全</v>
      </c>
      <c r="J1386" s="1" t="str">
        <f t="shared" si="683"/>
        <v>天津杰特汽车三元催化器有限公司</v>
      </c>
    </row>
    <row r="1387" spans="1:10">
      <c r="A1387" s="1" t="str">
        <f t="shared" si="680"/>
        <v>天津杰特汽车三元催化器有限公司</v>
      </c>
      <c r="B1387" s="1" t="str">
        <f>"一种新型三元催化器装置"</f>
        <v>一种新型三元催化器装置</v>
      </c>
      <c r="C1387" s="1" t="str">
        <f t="shared" si="681"/>
        <v>实用新型</v>
      </c>
      <c r="D1387" s="1" t="str">
        <f t="shared" si="682"/>
        <v>授权</v>
      </c>
      <c r="E1387" s="1" t="str">
        <f>"CN201620955300.X"</f>
        <v>CN201620955300.X</v>
      </c>
      <c r="F1387" s="1" t="str">
        <f t="shared" si="684"/>
        <v>2016-08-26</v>
      </c>
      <c r="G1387" s="1" t="str">
        <f>"CN206035580U"</f>
        <v>CN206035580U</v>
      </c>
      <c r="H1387" s="1" t="str">
        <f t="shared" si="685"/>
        <v>2017-03-22</v>
      </c>
      <c r="I1387" s="1" t="str">
        <f t="shared" si="686"/>
        <v>苑金全</v>
      </c>
      <c r="J1387" s="1" t="str">
        <f t="shared" si="683"/>
        <v>天津杰特汽车三元催化器有限公司</v>
      </c>
    </row>
    <row r="1388" spans="1:10">
      <c r="A1388" s="1" t="str">
        <f t="shared" si="680"/>
        <v>天津杰特汽车三元催化器有限公司</v>
      </c>
      <c r="B1388" s="1" t="str">
        <f>"一种防中毒的三元催化器"</f>
        <v>一种防中毒的三元催化器</v>
      </c>
      <c r="C1388" s="1" t="str">
        <f t="shared" si="681"/>
        <v>实用新型</v>
      </c>
      <c r="D1388" s="1" t="str">
        <f t="shared" si="682"/>
        <v>授权</v>
      </c>
      <c r="E1388" s="1" t="str">
        <f>"CN201620955669.0"</f>
        <v>CN201620955669.0</v>
      </c>
      <c r="F1388" s="1" t="str">
        <f t="shared" si="684"/>
        <v>2016-08-26</v>
      </c>
      <c r="G1388" s="1" t="str">
        <f>"CN206035598U"</f>
        <v>CN206035598U</v>
      </c>
      <c r="H1388" s="1" t="str">
        <f t="shared" si="685"/>
        <v>2017-03-22</v>
      </c>
      <c r="I1388" s="1" t="str">
        <f t="shared" si="686"/>
        <v>苑金全</v>
      </c>
      <c r="J1388" s="1" t="str">
        <f t="shared" si="683"/>
        <v>天津杰特汽车三元催化器有限公司</v>
      </c>
    </row>
    <row r="1389" spans="1:10">
      <c r="A1389" s="1" t="str">
        <f t="shared" si="680"/>
        <v>天津杰特汽车三元催化器有限公司</v>
      </c>
      <c r="B1389" s="1" t="str">
        <f>"一种便捷式汽车三元催化器"</f>
        <v>一种便捷式汽车三元催化器</v>
      </c>
      <c r="C1389" s="1" t="str">
        <f t="shared" si="681"/>
        <v>实用新型</v>
      </c>
      <c r="D1389" s="1" t="str">
        <f t="shared" si="682"/>
        <v>授权</v>
      </c>
      <c r="E1389" s="1" t="str">
        <f>"CN201620955799.4"</f>
        <v>CN201620955799.4</v>
      </c>
      <c r="F1389" s="1" t="str">
        <f t="shared" si="684"/>
        <v>2016-08-26</v>
      </c>
      <c r="G1389" s="1" t="str">
        <f>"CN206035604U"</f>
        <v>CN206035604U</v>
      </c>
      <c r="H1389" s="1" t="str">
        <f t="shared" si="685"/>
        <v>2017-03-22</v>
      </c>
      <c r="I1389" s="1" t="str">
        <f t="shared" si="686"/>
        <v>苑金全</v>
      </c>
      <c r="J1389" s="1" t="str">
        <f t="shared" si="683"/>
        <v>天津杰特汽车三元催化器有限公司</v>
      </c>
    </row>
    <row r="1390" spans="1:10">
      <c r="A1390" s="1" t="str">
        <f t="shared" si="680"/>
        <v>天津杰特汽车三元催化器有限公司</v>
      </c>
      <c r="B1390" s="1" t="str">
        <f>"一种可拆卸式三元催化器"</f>
        <v>一种可拆卸式三元催化器</v>
      </c>
      <c r="C1390" s="1" t="str">
        <f t="shared" si="681"/>
        <v>实用新型</v>
      </c>
      <c r="D1390" s="1" t="str">
        <f t="shared" si="682"/>
        <v>授权</v>
      </c>
      <c r="E1390" s="1" t="str">
        <f>"CN201620955668.6"</f>
        <v>CN201620955668.6</v>
      </c>
      <c r="F1390" s="1" t="str">
        <f t="shared" si="684"/>
        <v>2016-08-26</v>
      </c>
      <c r="G1390" s="1" t="str">
        <f>"CN206035597U"</f>
        <v>CN206035597U</v>
      </c>
      <c r="H1390" s="1" t="str">
        <f t="shared" si="685"/>
        <v>2017-03-22</v>
      </c>
      <c r="I1390" s="1" t="str">
        <f t="shared" si="686"/>
        <v>苑金全</v>
      </c>
      <c r="J1390" s="1" t="str">
        <f t="shared" si="683"/>
        <v>天津杰特汽车三元催化器有限公司</v>
      </c>
    </row>
    <row r="1391" spans="1:10">
      <c r="A1391" s="1" t="str">
        <f t="shared" si="680"/>
        <v>天津杰特汽车三元催化器有限公司</v>
      </c>
      <c r="B1391" s="1" t="str">
        <f>"一种新型汽车三元催化器"</f>
        <v>一种新型汽车三元催化器</v>
      </c>
      <c r="C1391" s="1" t="str">
        <f t="shared" si="681"/>
        <v>实用新型</v>
      </c>
      <c r="D1391" s="1" t="str">
        <f t="shared" si="682"/>
        <v>授权</v>
      </c>
      <c r="E1391" s="1" t="str">
        <f>"CN201620955476.5"</f>
        <v>CN201620955476.5</v>
      </c>
      <c r="F1391" s="1" t="str">
        <f t="shared" si="684"/>
        <v>2016-08-26</v>
      </c>
      <c r="G1391" s="1" t="str">
        <f>"CN206035592U"</f>
        <v>CN206035592U</v>
      </c>
      <c r="H1391" s="1" t="str">
        <f t="shared" si="685"/>
        <v>2017-03-22</v>
      </c>
      <c r="I1391" s="1" t="str">
        <f t="shared" si="686"/>
        <v>苑金全</v>
      </c>
      <c r="J1391" s="1" t="str">
        <f t="shared" si="683"/>
        <v>天津杰特汽车三元催化器有限公司</v>
      </c>
    </row>
    <row r="1392" spans="1:10">
      <c r="A1392" s="1" t="str">
        <f t="shared" si="680"/>
        <v>天津杰特汽车三元催化器有限公司</v>
      </c>
      <c r="B1392" s="1" t="str">
        <f>"一种水冷散热型三元催化器"</f>
        <v>一种水冷散热型三元催化器</v>
      </c>
      <c r="C1392" s="1" t="str">
        <f t="shared" si="681"/>
        <v>实用新型</v>
      </c>
      <c r="D1392" s="1" t="str">
        <f t="shared" si="682"/>
        <v>授权</v>
      </c>
      <c r="E1392" s="1" t="str">
        <f>"CN201620955733.5"</f>
        <v>CN201620955733.5</v>
      </c>
      <c r="F1392" s="1" t="str">
        <f t="shared" si="684"/>
        <v>2016-08-26</v>
      </c>
      <c r="G1392" s="1" t="str">
        <f>"CN206035601U"</f>
        <v>CN206035601U</v>
      </c>
      <c r="H1392" s="1" t="str">
        <f t="shared" si="685"/>
        <v>2017-03-22</v>
      </c>
      <c r="I1392" s="1" t="str">
        <f t="shared" si="686"/>
        <v>苑金全</v>
      </c>
      <c r="J1392" s="1" t="str">
        <f t="shared" si="683"/>
        <v>天津杰特汽车三元催化器有限公司</v>
      </c>
    </row>
    <row r="1393" spans="1:10">
      <c r="A1393" s="1" t="str">
        <f t="shared" si="680"/>
        <v>天津杰特汽车三元催化器有限公司</v>
      </c>
      <c r="B1393" s="1" t="str">
        <f>"一种可检测工作状态的三元催化器"</f>
        <v>一种可检测工作状态的三元催化器</v>
      </c>
      <c r="C1393" s="1" t="str">
        <f t="shared" si="681"/>
        <v>实用新型</v>
      </c>
      <c r="D1393" s="1" t="str">
        <f t="shared" si="682"/>
        <v>授权</v>
      </c>
      <c r="E1393" s="1" t="str">
        <f>"CN201620955479.9"</f>
        <v>CN201620955479.9</v>
      </c>
      <c r="F1393" s="1" t="str">
        <f t="shared" si="684"/>
        <v>2016-08-26</v>
      </c>
      <c r="G1393" s="1" t="str">
        <f>"CN206035593U"</f>
        <v>CN206035593U</v>
      </c>
      <c r="H1393" s="1" t="str">
        <f t="shared" si="685"/>
        <v>2017-03-22</v>
      </c>
      <c r="I1393" s="1" t="str">
        <f t="shared" si="686"/>
        <v>苑金全</v>
      </c>
      <c r="J1393" s="1" t="str">
        <f t="shared" si="683"/>
        <v>天津杰特汽车三元催化器有限公司</v>
      </c>
    </row>
    <row r="1394" spans="1:10">
      <c r="A1394" s="1" t="str">
        <f t="shared" si="680"/>
        <v>天津杰特汽车三元催化器有限公司</v>
      </c>
      <c r="B1394" s="1" t="str">
        <f>"一种防撞击抗震动的三元催化器"</f>
        <v>一种防撞击抗震动的三元催化器</v>
      </c>
      <c r="C1394" s="1" t="str">
        <f t="shared" si="681"/>
        <v>实用新型</v>
      </c>
      <c r="D1394" s="1" t="str">
        <f t="shared" ref="D1394:D1401" si="687">"未缴年费专利权终止"</f>
        <v>未缴年费专利权终止</v>
      </c>
      <c r="E1394" s="1" t="str">
        <f>"CN201620425829.0"</f>
        <v>CN201620425829.0</v>
      </c>
      <c r="F1394" s="1" t="str">
        <f t="shared" ref="F1394:F1397" si="688">"2016-05-11"</f>
        <v>2016-05-11</v>
      </c>
      <c r="G1394" s="1" t="str">
        <f>"CN205578079U"</f>
        <v>CN205578079U</v>
      </c>
      <c r="H1394" s="1" t="str">
        <f t="shared" ref="H1394:H1397" si="689">"2016-09-14"</f>
        <v>2016-09-14</v>
      </c>
      <c r="I1394" s="1" t="str">
        <f t="shared" si="686"/>
        <v>苑金全</v>
      </c>
      <c r="J1394" s="1" t="str">
        <f t="shared" si="683"/>
        <v>天津杰特汽车三元催化器有限公司</v>
      </c>
    </row>
    <row r="1395" spans="1:10">
      <c r="A1395" s="1" t="str">
        <f t="shared" si="680"/>
        <v>天津杰特汽车三元催化器有限公司</v>
      </c>
      <c r="B1395" s="1" t="str">
        <f>"一种智能安全型三元催化器装置"</f>
        <v>一种智能安全型三元催化器装置</v>
      </c>
      <c r="C1395" s="1" t="str">
        <f t="shared" si="681"/>
        <v>实用新型</v>
      </c>
      <c r="D1395" s="1" t="str">
        <f t="shared" si="687"/>
        <v>未缴年费专利权终止</v>
      </c>
      <c r="E1395" s="1" t="str">
        <f>"CN201620427808.2"</f>
        <v>CN201620427808.2</v>
      </c>
      <c r="F1395" s="1" t="str">
        <f t="shared" si="688"/>
        <v>2016-05-11</v>
      </c>
      <c r="G1395" s="1" t="str">
        <f>"CN205578075U"</f>
        <v>CN205578075U</v>
      </c>
      <c r="H1395" s="1" t="str">
        <f t="shared" si="689"/>
        <v>2016-09-14</v>
      </c>
      <c r="I1395" s="1" t="str">
        <f t="shared" si="686"/>
        <v>苑金全</v>
      </c>
      <c r="J1395" s="1" t="str">
        <f t="shared" si="683"/>
        <v>天津杰特汽车三元催化器有限公司</v>
      </c>
    </row>
    <row r="1396" spans="1:10">
      <c r="A1396" s="1" t="str">
        <f t="shared" si="680"/>
        <v>天津杰特汽车三元催化器有限公司</v>
      </c>
      <c r="B1396" s="1" t="str">
        <f>"一种高效的三元催化器"</f>
        <v>一种高效的三元催化器</v>
      </c>
      <c r="C1396" s="1" t="str">
        <f t="shared" si="681"/>
        <v>实用新型</v>
      </c>
      <c r="D1396" s="1" t="str">
        <f t="shared" si="687"/>
        <v>未缴年费专利权终止</v>
      </c>
      <c r="E1396" s="1" t="str">
        <f>"CN201620427807.8"</f>
        <v>CN201620427807.8</v>
      </c>
      <c r="F1396" s="1" t="str">
        <f t="shared" si="688"/>
        <v>2016-05-11</v>
      </c>
      <c r="G1396" s="1" t="str">
        <f>"CN205578074U"</f>
        <v>CN205578074U</v>
      </c>
      <c r="H1396" s="1" t="str">
        <f t="shared" si="689"/>
        <v>2016-09-14</v>
      </c>
      <c r="I1396" s="1" t="str">
        <f t="shared" si="686"/>
        <v>苑金全</v>
      </c>
      <c r="J1396" s="1" t="str">
        <f t="shared" si="683"/>
        <v>天津杰特汽车三元催化器有限公司</v>
      </c>
    </row>
    <row r="1397" spans="1:10">
      <c r="A1397" s="1" t="str">
        <f t="shared" si="680"/>
        <v>天津杰特汽车三元催化器有限公司</v>
      </c>
      <c r="B1397" s="1" t="str">
        <f>"一种绝热保温的高效三元催化器"</f>
        <v>一种绝热保温的高效三元催化器</v>
      </c>
      <c r="C1397" s="1" t="str">
        <f t="shared" si="681"/>
        <v>实用新型</v>
      </c>
      <c r="D1397" s="1" t="str">
        <f t="shared" si="687"/>
        <v>未缴年费专利权终止</v>
      </c>
      <c r="E1397" s="1" t="str">
        <f>"CN201620425828.6"</f>
        <v>CN201620425828.6</v>
      </c>
      <c r="F1397" s="1" t="str">
        <f t="shared" si="688"/>
        <v>2016-05-11</v>
      </c>
      <c r="G1397" s="1" t="str">
        <f>"CN205578078U"</f>
        <v>CN205578078U</v>
      </c>
      <c r="H1397" s="1" t="str">
        <f t="shared" si="689"/>
        <v>2016-09-14</v>
      </c>
      <c r="I1397" s="1" t="str">
        <f t="shared" si="686"/>
        <v>苑金全</v>
      </c>
      <c r="J1397" s="1" t="str">
        <f t="shared" si="683"/>
        <v>天津杰特汽车三元催化器有限公司</v>
      </c>
    </row>
    <row r="1398" spans="1:10">
      <c r="A1398" s="1" t="str">
        <f t="shared" si="680"/>
        <v>天津杰特汽车三元催化器有限公司</v>
      </c>
      <c r="B1398" s="1" t="str">
        <f>"一种三元催化器载体"</f>
        <v>一种三元催化器载体</v>
      </c>
      <c r="C1398" s="1" t="str">
        <f t="shared" si="681"/>
        <v>实用新型</v>
      </c>
      <c r="D1398" s="1" t="str">
        <f t="shared" si="687"/>
        <v>未缴年费专利权终止</v>
      </c>
      <c r="E1398" s="1" t="str">
        <f>"CN201520184061.8"</f>
        <v>CN201520184061.8</v>
      </c>
      <c r="F1398" s="1" t="str">
        <f>"2015-03-30"</f>
        <v>2015-03-30</v>
      </c>
      <c r="G1398" s="1" t="str">
        <f>"CN204591418U"</f>
        <v>CN204591418U</v>
      </c>
      <c r="H1398" s="1" t="str">
        <f>"2015-08-26"</f>
        <v>2015-08-26</v>
      </c>
      <c r="I1398" s="1" t="str">
        <f t="shared" si="686"/>
        <v>苑金全</v>
      </c>
      <c r="J1398" s="1" t="str">
        <f t="shared" si="683"/>
        <v>天津杰特汽车三元催化器有限公司</v>
      </c>
    </row>
    <row r="1399" spans="1:10">
      <c r="A1399" s="1" t="str">
        <f t="shared" si="680"/>
        <v>天津杰特汽车三元催化器有限公司</v>
      </c>
      <c r="B1399" s="1" t="str">
        <f>"一种均流三元催化器"</f>
        <v>一种均流三元催化器</v>
      </c>
      <c r="C1399" s="1" t="str">
        <f t="shared" si="681"/>
        <v>实用新型</v>
      </c>
      <c r="D1399" s="1" t="str">
        <f t="shared" si="687"/>
        <v>未缴年费专利权终止</v>
      </c>
      <c r="E1399" s="1" t="str">
        <f>"CN201520184563.0"</f>
        <v>CN201520184563.0</v>
      </c>
      <c r="F1399" s="1" t="str">
        <f>"2015-03-30"</f>
        <v>2015-03-30</v>
      </c>
      <c r="G1399" s="1" t="str">
        <f>"CN204591419U"</f>
        <v>CN204591419U</v>
      </c>
      <c r="H1399" s="1" t="str">
        <f>"2015-08-26"</f>
        <v>2015-08-26</v>
      </c>
      <c r="I1399" s="1" t="str">
        <f t="shared" si="686"/>
        <v>苑金全</v>
      </c>
      <c r="J1399" s="1" t="str">
        <f t="shared" si="683"/>
        <v>天津杰特汽车三元催化器有限公司</v>
      </c>
    </row>
    <row r="1400" spans="1:10">
      <c r="A1400" s="1" t="str">
        <f t="shared" si="680"/>
        <v>天津杰特汽车三元催化器有限公司</v>
      </c>
      <c r="B1400" s="1" t="str">
        <f>"高效三元催化器"</f>
        <v>高效三元催化器</v>
      </c>
      <c r="C1400" s="1" t="str">
        <f t="shared" si="681"/>
        <v>实用新型</v>
      </c>
      <c r="D1400" s="1" t="str">
        <f t="shared" si="687"/>
        <v>未缴年费专利权终止</v>
      </c>
      <c r="E1400" s="1" t="str">
        <f>"CN201220632268.3"</f>
        <v>CN201220632268.3</v>
      </c>
      <c r="F1400" s="1" t="str">
        <f>"2012-11-26"</f>
        <v>2012-11-26</v>
      </c>
      <c r="G1400" s="1" t="str">
        <f>"CN202937337U"</f>
        <v>CN202937337U</v>
      </c>
      <c r="H1400" s="1" t="str">
        <f>"2013-05-15"</f>
        <v>2013-05-15</v>
      </c>
      <c r="I1400" s="1" t="str">
        <f>"邵波洋"</f>
        <v>邵波洋</v>
      </c>
      <c r="J1400" s="1" t="str">
        <f t="shared" si="683"/>
        <v>天津杰特汽车三元催化器有限公司</v>
      </c>
    </row>
    <row r="1401" spans="1:10">
      <c r="A1401" s="1" t="str">
        <f t="shared" si="680"/>
        <v>天津杰特汽车三元催化器有限公司</v>
      </c>
      <c r="B1401" s="1" t="str">
        <f>"净化汽车尾气用三元催化净化装置"</f>
        <v>净化汽车尾气用三元催化净化装置</v>
      </c>
      <c r="C1401" s="1" t="str">
        <f t="shared" si="681"/>
        <v>实用新型</v>
      </c>
      <c r="D1401" s="1" t="str">
        <f t="shared" si="687"/>
        <v>未缴年费专利权终止</v>
      </c>
      <c r="E1401" s="1" t="str">
        <f>"CN201220632239.7"</f>
        <v>CN201220632239.7</v>
      </c>
      <c r="F1401" s="1" t="str">
        <f>"2012-11-26"</f>
        <v>2012-11-26</v>
      </c>
      <c r="G1401" s="1" t="str">
        <f>"CN202937336U"</f>
        <v>CN202937336U</v>
      </c>
      <c r="H1401" s="1" t="str">
        <f>"2013-05-15"</f>
        <v>2013-05-15</v>
      </c>
      <c r="I1401" s="1" t="str">
        <f>"邵波洋"</f>
        <v>邵波洋</v>
      </c>
      <c r="J1401" s="1" t="str">
        <f t="shared" si="683"/>
        <v>天津杰特汽车三元催化器有限公司</v>
      </c>
    </row>
    <row r="1402" spans="1:10">
      <c r="A1402" s="1" t="str">
        <f t="shared" ref="A1402:A1434" si="690">"天津万德汽车部件有限公司"</f>
        <v>天津万德汽车部件有限公司</v>
      </c>
      <c r="B1402" s="1" t="str">
        <f>"一种线束夹环"</f>
        <v>一种线束夹环</v>
      </c>
      <c r="C1402" s="1" t="str">
        <f t="shared" si="681"/>
        <v>实用新型</v>
      </c>
      <c r="D1402" s="1" t="str">
        <f t="shared" ref="D1402:D1412" si="691">"授权"</f>
        <v>授权</v>
      </c>
      <c r="E1402" s="1" t="str">
        <f>"CN202422626715.X"</f>
        <v>CN202422626715.X</v>
      </c>
      <c r="F1402" s="1" t="str">
        <f>"2024-10-30"</f>
        <v>2024-10-30</v>
      </c>
      <c r="G1402" s="1" t="str">
        <f>"CN223348274U"</f>
        <v>CN223348274U</v>
      </c>
      <c r="H1402" s="1" t="str">
        <f>"2025-09-16"</f>
        <v>2025-09-16</v>
      </c>
      <c r="I1402" s="1" t="str">
        <f t="shared" ref="I1402:I1404" si="692">"赵建琳"</f>
        <v>赵建琳</v>
      </c>
      <c r="J1402" s="1" t="str">
        <f t="shared" ref="J1402:J1434" si="693">"天津万德汽车部件有限公司"</f>
        <v>天津万德汽车部件有限公司</v>
      </c>
    </row>
    <row r="1403" spans="1:10">
      <c r="A1403" s="1" t="str">
        <f t="shared" si="690"/>
        <v>天津万德汽车部件有限公司</v>
      </c>
      <c r="B1403" s="1" t="str">
        <f>"一种电池盒锁紧结构"</f>
        <v>一种电池盒锁紧结构</v>
      </c>
      <c r="C1403" s="1" t="str">
        <f t="shared" si="681"/>
        <v>实用新型</v>
      </c>
      <c r="D1403" s="1" t="str">
        <f t="shared" si="691"/>
        <v>授权</v>
      </c>
      <c r="E1403" s="1" t="str">
        <f>"CN202422463250.0"</f>
        <v>CN202422463250.0</v>
      </c>
      <c r="F1403" s="1" t="str">
        <f>"2024-10-12"</f>
        <v>2024-10-12</v>
      </c>
      <c r="G1403" s="1" t="str">
        <f>"CN223296980U"</f>
        <v>CN223296980U</v>
      </c>
      <c r="H1403" s="1" t="str">
        <f>"2025-09-02"</f>
        <v>2025-09-02</v>
      </c>
      <c r="I1403" s="1" t="str">
        <f t="shared" si="692"/>
        <v>赵建琳</v>
      </c>
      <c r="J1403" s="1" t="str">
        <f t="shared" si="693"/>
        <v>天津万德汽车部件有限公司</v>
      </c>
    </row>
    <row r="1404" spans="1:10">
      <c r="A1404" s="1" t="str">
        <f t="shared" si="690"/>
        <v>天津万德汽车部件有限公司</v>
      </c>
      <c r="B1404" s="1" t="str">
        <f>"一种模具排气装置"</f>
        <v>一种模具排气装置</v>
      </c>
      <c r="C1404" s="1" t="str">
        <f t="shared" si="681"/>
        <v>实用新型</v>
      </c>
      <c r="D1404" s="1" t="str">
        <f t="shared" si="691"/>
        <v>授权</v>
      </c>
      <c r="E1404" s="1" t="str">
        <f>"CN202422537991.9"</f>
        <v>CN202422537991.9</v>
      </c>
      <c r="F1404" s="1" t="str">
        <f>"2024-10-21"</f>
        <v>2024-10-21</v>
      </c>
      <c r="G1404" s="1" t="str">
        <f>"CN223287838U"</f>
        <v>CN223287838U</v>
      </c>
      <c r="H1404" s="1" t="str">
        <f>"2025-09-02"</f>
        <v>2025-09-02</v>
      </c>
      <c r="I1404" s="1" t="str">
        <f t="shared" si="692"/>
        <v>赵建琳</v>
      </c>
      <c r="J1404" s="1" t="str">
        <f t="shared" si="693"/>
        <v>天津万德汽车部件有限公司</v>
      </c>
    </row>
    <row r="1405" spans="1:10">
      <c r="A1405" s="1" t="str">
        <f t="shared" si="690"/>
        <v>天津万德汽车部件有限公司</v>
      </c>
      <c r="B1405" s="1" t="str">
        <f>"一种安装锁紧螺母机构"</f>
        <v>一种安装锁紧螺母机构</v>
      </c>
      <c r="C1405" s="1" t="str">
        <f t="shared" si="681"/>
        <v>实用新型</v>
      </c>
      <c r="D1405" s="1" t="str">
        <f t="shared" si="691"/>
        <v>授权</v>
      </c>
      <c r="E1405" s="1" t="str">
        <f>"CN202422005038.X"</f>
        <v>CN202422005038.X</v>
      </c>
      <c r="F1405" s="1" t="str">
        <f>"2024-08-19"</f>
        <v>2024-08-19</v>
      </c>
      <c r="G1405" s="1" t="str">
        <f>"CN222986185U"</f>
        <v>CN222986185U</v>
      </c>
      <c r="H1405" s="1" t="str">
        <f>"2025-06-17"</f>
        <v>2025-06-17</v>
      </c>
      <c r="I1405" s="1" t="str">
        <f>"李宏楠"</f>
        <v>李宏楠</v>
      </c>
      <c r="J1405" s="1" t="str">
        <f t="shared" si="693"/>
        <v>天津万德汽车部件有限公司</v>
      </c>
    </row>
    <row r="1406" spans="1:10">
      <c r="A1406" s="1" t="str">
        <f t="shared" si="690"/>
        <v>天津万德汽车部件有限公司</v>
      </c>
      <c r="B1406" s="1" t="str">
        <f>"一种生产用工装治具"</f>
        <v>一种生产用工装治具</v>
      </c>
      <c r="C1406" s="1" t="str">
        <f t="shared" si="681"/>
        <v>实用新型</v>
      </c>
      <c r="D1406" s="1" t="str">
        <f t="shared" si="691"/>
        <v>授权</v>
      </c>
      <c r="E1406" s="1" t="str">
        <f>"CN202422093353.2"</f>
        <v>CN202422093353.2</v>
      </c>
      <c r="F1406" s="1" t="str">
        <f>"2024-08-28"</f>
        <v>2024-08-28</v>
      </c>
      <c r="G1406" s="1" t="str">
        <f>"CN222988600U"</f>
        <v>CN222988600U</v>
      </c>
      <c r="H1406" s="1" t="str">
        <f>"2025-06-17"</f>
        <v>2025-06-17</v>
      </c>
      <c r="I1406" s="1" t="str">
        <f>"赵兴英"</f>
        <v>赵兴英</v>
      </c>
      <c r="J1406" s="1" t="str">
        <f t="shared" si="693"/>
        <v>天津万德汽车部件有限公司</v>
      </c>
    </row>
    <row r="1407" spans="1:10">
      <c r="A1407" s="1" t="str">
        <f t="shared" si="690"/>
        <v>天津万德汽车部件有限公司</v>
      </c>
      <c r="B1407" s="1" t="str">
        <f>"农业植物保护喷头组件"</f>
        <v>农业植物保护喷头组件</v>
      </c>
      <c r="C1407" s="1" t="str">
        <f t="shared" si="681"/>
        <v>实用新型</v>
      </c>
      <c r="D1407" s="1" t="str">
        <f t="shared" si="691"/>
        <v>授权</v>
      </c>
      <c r="E1407" s="1" t="str">
        <f>"CN202420348610.X"</f>
        <v>CN202420348610.X</v>
      </c>
      <c r="F1407" s="1" t="str">
        <f>"2024-02-26"</f>
        <v>2024-02-26</v>
      </c>
      <c r="G1407" s="1" t="str">
        <f>"CN221785131U"</f>
        <v>CN221785131U</v>
      </c>
      <c r="H1407" s="1" t="str">
        <f>"2024-10-01"</f>
        <v>2024-10-01</v>
      </c>
      <c r="I1407" s="1" t="str">
        <f t="shared" ref="I1407:I1409" si="694">"赵建琳"</f>
        <v>赵建琳</v>
      </c>
      <c r="J1407" s="1" t="str">
        <f t="shared" si="693"/>
        <v>天津万德汽车部件有限公司</v>
      </c>
    </row>
    <row r="1408" spans="1:10">
      <c r="A1408" s="1" t="str">
        <f t="shared" si="690"/>
        <v>天津万德汽车部件有限公司</v>
      </c>
      <c r="B1408" s="1" t="str">
        <f>"喷头组件"</f>
        <v>喷头组件</v>
      </c>
      <c r="C1408" s="1" t="str">
        <f>"外观设计"</f>
        <v>外观设计</v>
      </c>
      <c r="D1408" s="1" t="str">
        <f t="shared" si="691"/>
        <v>授权</v>
      </c>
      <c r="E1408" s="1" t="str">
        <f>"CN202430009500.6"</f>
        <v>CN202430009500.6</v>
      </c>
      <c r="F1408" s="1" t="str">
        <f>"2024-01-08"</f>
        <v>2024-01-08</v>
      </c>
      <c r="G1408" s="1" t="str">
        <f>"CN308871803S"</f>
        <v>CN308871803S</v>
      </c>
      <c r="H1408" s="1" t="str">
        <f>"2024-10-01"</f>
        <v>2024-10-01</v>
      </c>
      <c r="I1408" s="1" t="str">
        <f t="shared" si="694"/>
        <v>赵建琳</v>
      </c>
      <c r="J1408" s="1" t="str">
        <f t="shared" si="693"/>
        <v>天津万德汽车部件有限公司</v>
      </c>
    </row>
    <row r="1409" spans="1:10">
      <c r="A1409" s="1" t="str">
        <f t="shared" si="690"/>
        <v>天津万德汽车部件有限公司</v>
      </c>
      <c r="B1409" s="1" t="str">
        <f>"一种塑料粉尘过滤机构"</f>
        <v>一种塑料粉尘过滤机构</v>
      </c>
      <c r="C1409" s="1" t="str">
        <f t="shared" ref="C1409:C1449" si="695">"实用新型"</f>
        <v>实用新型</v>
      </c>
      <c r="D1409" s="1" t="str">
        <f t="shared" si="691"/>
        <v>授权</v>
      </c>
      <c r="E1409" s="1" t="str">
        <f>"CN202221385200.X"</f>
        <v>CN202221385200.X</v>
      </c>
      <c r="F1409" s="1" t="str">
        <f>"2022-05-25"</f>
        <v>2022-05-25</v>
      </c>
      <c r="G1409" s="1" t="str">
        <f>"CN217594159U"</f>
        <v>CN217594159U</v>
      </c>
      <c r="H1409" s="1" t="str">
        <f t="shared" ref="H1409:H1412" si="696">"2022-10-18"</f>
        <v>2022-10-18</v>
      </c>
      <c r="I1409" s="1" t="str">
        <f t="shared" si="694"/>
        <v>赵建琳</v>
      </c>
      <c r="J1409" s="1" t="str">
        <f t="shared" si="693"/>
        <v>天津万德汽车部件有限公司</v>
      </c>
    </row>
    <row r="1410" spans="1:10">
      <c r="A1410" s="1" t="str">
        <f t="shared" si="690"/>
        <v>天津万德汽车部件有限公司</v>
      </c>
      <c r="B1410" s="1" t="str">
        <f>"一种塑料泥板生产定型装置"</f>
        <v>一种塑料泥板生产定型装置</v>
      </c>
      <c r="C1410" s="1" t="str">
        <f t="shared" si="695"/>
        <v>实用新型</v>
      </c>
      <c r="D1410" s="1" t="str">
        <f t="shared" si="691"/>
        <v>授权</v>
      </c>
      <c r="E1410" s="1" t="str">
        <f>"CN202221272752.X"</f>
        <v>CN202221272752.X</v>
      </c>
      <c r="F1410" s="1" t="str">
        <f>"2022-05-25"</f>
        <v>2022-05-25</v>
      </c>
      <c r="G1410" s="1" t="str">
        <f>"CN217597746U"</f>
        <v>CN217597746U</v>
      </c>
      <c r="H1410" s="1" t="str">
        <f t="shared" si="696"/>
        <v>2022-10-18</v>
      </c>
      <c r="I1410" s="1" t="str">
        <f t="shared" ref="I1410:I1412" si="697">"周昊宁"</f>
        <v>周昊宁</v>
      </c>
      <c r="J1410" s="1" t="str">
        <f t="shared" si="693"/>
        <v>天津万德汽车部件有限公司</v>
      </c>
    </row>
    <row r="1411" spans="1:10">
      <c r="A1411" s="1" t="str">
        <f t="shared" si="690"/>
        <v>天津万德汽车部件有限公司</v>
      </c>
      <c r="B1411" s="1" t="str">
        <f>"一种菜篮胶口自动化切除机构"</f>
        <v>一种菜篮胶口自动化切除机构</v>
      </c>
      <c r="C1411" s="1" t="str">
        <f t="shared" si="695"/>
        <v>实用新型</v>
      </c>
      <c r="D1411" s="1" t="str">
        <f t="shared" si="691"/>
        <v>授权</v>
      </c>
      <c r="E1411" s="1" t="str">
        <f>"CN202221505861.1"</f>
        <v>CN202221505861.1</v>
      </c>
      <c r="F1411" s="1" t="str">
        <f>"2022-06-15"</f>
        <v>2022-06-15</v>
      </c>
      <c r="G1411" s="1" t="str">
        <f>"CN217597723U"</f>
        <v>CN217597723U</v>
      </c>
      <c r="H1411" s="1" t="str">
        <f t="shared" si="696"/>
        <v>2022-10-18</v>
      </c>
      <c r="I1411" s="1" t="str">
        <f t="shared" si="697"/>
        <v>周昊宁</v>
      </c>
      <c r="J1411" s="1" t="str">
        <f t="shared" si="693"/>
        <v>天津万德汽车部件有限公司</v>
      </c>
    </row>
    <row r="1412" spans="1:10">
      <c r="A1412" s="1" t="str">
        <f t="shared" si="690"/>
        <v>天津万德汽车部件有限公司</v>
      </c>
      <c r="B1412" s="1" t="str">
        <f>"一种测试塑料材料冲击性能的装置"</f>
        <v>一种测试塑料材料冲击性能的装置</v>
      </c>
      <c r="C1412" s="1" t="str">
        <f t="shared" si="695"/>
        <v>实用新型</v>
      </c>
      <c r="D1412" s="1" t="str">
        <f t="shared" si="691"/>
        <v>授权</v>
      </c>
      <c r="E1412" s="1" t="str">
        <f>"CN202221346897.X"</f>
        <v>CN202221346897.X</v>
      </c>
      <c r="F1412" s="1" t="str">
        <f>"2022-05-20"</f>
        <v>2022-05-20</v>
      </c>
      <c r="G1412" s="1" t="str">
        <f>"CN217605543U"</f>
        <v>CN217605543U</v>
      </c>
      <c r="H1412" s="1" t="str">
        <f t="shared" si="696"/>
        <v>2022-10-18</v>
      </c>
      <c r="I1412" s="1" t="str">
        <f t="shared" si="697"/>
        <v>周昊宁</v>
      </c>
      <c r="J1412" s="1" t="str">
        <f t="shared" si="693"/>
        <v>天津万德汽车部件有限公司</v>
      </c>
    </row>
    <row r="1413" spans="1:10">
      <c r="A1413" s="1" t="str">
        <f t="shared" si="690"/>
        <v>天津万德汽车部件有限公司</v>
      </c>
      <c r="B1413" s="1" t="str">
        <f>"一种自行车用折叠式塑料菜篮"</f>
        <v>一种自行车用折叠式塑料菜篮</v>
      </c>
      <c r="C1413" s="1" t="str">
        <f t="shared" si="695"/>
        <v>实用新型</v>
      </c>
      <c r="D1413" s="1" t="str">
        <f t="shared" ref="D1413:D1415" si="698">"未缴年费专利权终止"</f>
        <v>未缴年费专利权终止</v>
      </c>
      <c r="E1413" s="1" t="str">
        <f>"CN202120784612.X"</f>
        <v>CN202120784612.X</v>
      </c>
      <c r="F1413" s="1" t="str">
        <f t="shared" ref="F1413:F1417" si="699">"2021-04-16"</f>
        <v>2021-04-16</v>
      </c>
      <c r="G1413" s="1" t="str">
        <f>"CN215155219U"</f>
        <v>CN215155219U</v>
      </c>
      <c r="H1413" s="1" t="str">
        <f t="shared" ref="H1413:H1416" si="700">"2021-12-14"</f>
        <v>2021-12-14</v>
      </c>
      <c r="I1413" s="1" t="str">
        <f>"李海军"</f>
        <v>李海军</v>
      </c>
      <c r="J1413" s="1" t="str">
        <f t="shared" si="693"/>
        <v>天津万德汽车部件有限公司</v>
      </c>
    </row>
    <row r="1414" spans="1:10">
      <c r="A1414" s="1" t="str">
        <f t="shared" si="690"/>
        <v>天津万德汽车部件有限公司</v>
      </c>
      <c r="B1414" s="1" t="str">
        <f>"一种防脱型自行车车把后盖塞子"</f>
        <v>一种防脱型自行车车把后盖塞子</v>
      </c>
      <c r="C1414" s="1" t="str">
        <f t="shared" si="695"/>
        <v>实用新型</v>
      </c>
      <c r="D1414" s="1" t="str">
        <f t="shared" si="698"/>
        <v>未缴年费专利权终止</v>
      </c>
      <c r="E1414" s="1" t="str">
        <f>"CN202120784657.7"</f>
        <v>CN202120784657.7</v>
      </c>
      <c r="F1414" s="1" t="str">
        <f t="shared" si="699"/>
        <v>2021-04-16</v>
      </c>
      <c r="G1414" s="1" t="str">
        <f>"CN215155387U"</f>
        <v>CN215155387U</v>
      </c>
      <c r="H1414" s="1" t="str">
        <f t="shared" si="700"/>
        <v>2021-12-14</v>
      </c>
      <c r="I1414" s="1" t="str">
        <f>"李海军"</f>
        <v>李海军</v>
      </c>
      <c r="J1414" s="1" t="str">
        <f t="shared" si="693"/>
        <v>天津万德汽车部件有限公司</v>
      </c>
    </row>
    <row r="1415" spans="1:10">
      <c r="A1415" s="1" t="str">
        <f t="shared" si="690"/>
        <v>天津万德汽车部件有限公司</v>
      </c>
      <c r="B1415" s="1" t="str">
        <f>"一种具有自锁结构的五金控制器压盖"</f>
        <v>一种具有自锁结构的五金控制器压盖</v>
      </c>
      <c r="C1415" s="1" t="str">
        <f t="shared" si="695"/>
        <v>实用新型</v>
      </c>
      <c r="D1415" s="1" t="str">
        <f t="shared" si="698"/>
        <v>未缴年费专利权终止</v>
      </c>
      <c r="E1415" s="1" t="str">
        <f>"CN202120871155.8"</f>
        <v>CN202120871155.8</v>
      </c>
      <c r="F1415" s="1" t="str">
        <f t="shared" ref="F1415:F1419" si="701">"2021-04-26"</f>
        <v>2021-04-26</v>
      </c>
      <c r="G1415" s="1" t="str">
        <f>"CN215137957U"</f>
        <v>CN215137957U</v>
      </c>
      <c r="H1415" s="1" t="str">
        <f t="shared" si="700"/>
        <v>2021-12-14</v>
      </c>
      <c r="I1415" s="1" t="str">
        <f t="shared" ref="I1415:I1418" si="702">"杨建立"</f>
        <v>杨建立</v>
      </c>
      <c r="J1415" s="1" t="str">
        <f t="shared" si="693"/>
        <v>天津万德汽车部件有限公司</v>
      </c>
    </row>
    <row r="1416" spans="1:10">
      <c r="A1416" s="1" t="str">
        <f t="shared" si="690"/>
        <v>天津万德汽车部件有限公司</v>
      </c>
      <c r="B1416" s="1" t="str">
        <f>"一种自行车用带有泥垢清洁功能的链罩"</f>
        <v>一种自行车用带有泥垢清洁功能的链罩</v>
      </c>
      <c r="C1416" s="1" t="str">
        <f t="shared" si="695"/>
        <v>实用新型</v>
      </c>
      <c r="D1416" s="1" t="str">
        <f>"授权"</f>
        <v>授权</v>
      </c>
      <c r="E1416" s="1" t="str">
        <f>"CN202120735371.X"</f>
        <v>CN202120735371.X</v>
      </c>
      <c r="F1416" s="1" t="str">
        <f>"2021-04-12"</f>
        <v>2021-04-12</v>
      </c>
      <c r="G1416" s="1" t="str">
        <f>"CN215155233U"</f>
        <v>CN215155233U</v>
      </c>
      <c r="H1416" s="1" t="str">
        <f t="shared" si="700"/>
        <v>2021-12-14</v>
      </c>
      <c r="I1416" s="1" t="str">
        <f t="shared" si="702"/>
        <v>杨建立</v>
      </c>
      <c r="J1416" s="1" t="str">
        <f t="shared" si="693"/>
        <v>天津万德汽车部件有限公司</v>
      </c>
    </row>
    <row r="1417" spans="1:10">
      <c r="A1417" s="1" t="str">
        <f t="shared" si="690"/>
        <v>天津万德汽车部件有限公司</v>
      </c>
      <c r="B1417" s="1" t="str">
        <f>"一种具有冷却结构的自行车用塑料制品注塑模具"</f>
        <v>一种具有冷却结构的自行车用塑料制品注塑模具</v>
      </c>
      <c r="C1417" s="1" t="str">
        <f t="shared" si="695"/>
        <v>实用新型</v>
      </c>
      <c r="D1417" s="1" t="str">
        <f t="shared" ref="D1417:D1440" si="703">"未缴年费专利权终止"</f>
        <v>未缴年费专利权终止</v>
      </c>
      <c r="E1417" s="1" t="str">
        <f>"CN202120785902.6"</f>
        <v>CN202120785902.6</v>
      </c>
      <c r="F1417" s="1" t="str">
        <f t="shared" si="699"/>
        <v>2021-04-16</v>
      </c>
      <c r="G1417" s="1" t="str">
        <f>"CN215095253U"</f>
        <v>CN215095253U</v>
      </c>
      <c r="H1417" s="1" t="str">
        <f t="shared" ref="H1417:H1420" si="704">"2021-12-10"</f>
        <v>2021-12-10</v>
      </c>
      <c r="I1417" s="1" t="str">
        <f t="shared" si="702"/>
        <v>杨建立</v>
      </c>
      <c r="J1417" s="1" t="str">
        <f t="shared" si="693"/>
        <v>天津万德汽车部件有限公司</v>
      </c>
    </row>
    <row r="1418" spans="1:10">
      <c r="A1418" s="1" t="str">
        <f t="shared" si="690"/>
        <v>天津万德汽车部件有限公司</v>
      </c>
      <c r="B1418" s="1" t="str">
        <f>"一种方便合模定位的自行车后盖用注塑模具"</f>
        <v>一种方便合模定位的自行车后盖用注塑模具</v>
      </c>
      <c r="C1418" s="1" t="str">
        <f t="shared" si="695"/>
        <v>实用新型</v>
      </c>
      <c r="D1418" s="1" t="str">
        <f t="shared" si="703"/>
        <v>未缴年费专利权终止</v>
      </c>
      <c r="E1418" s="1" t="str">
        <f>"CN202120864455.3"</f>
        <v>CN202120864455.3</v>
      </c>
      <c r="F1418" s="1" t="str">
        <f t="shared" si="701"/>
        <v>2021-04-26</v>
      </c>
      <c r="G1418" s="1" t="str">
        <f>"CN215095260U"</f>
        <v>CN215095260U</v>
      </c>
      <c r="H1418" s="1" t="str">
        <f t="shared" si="704"/>
        <v>2021-12-10</v>
      </c>
      <c r="I1418" s="1" t="str">
        <f t="shared" si="702"/>
        <v>杨建立</v>
      </c>
      <c r="J1418" s="1" t="str">
        <f t="shared" si="693"/>
        <v>天津万德汽车部件有限公司</v>
      </c>
    </row>
    <row r="1419" spans="1:10">
      <c r="A1419" s="1" t="str">
        <f t="shared" si="690"/>
        <v>天津万德汽车部件有限公司</v>
      </c>
      <c r="B1419" s="1" t="str">
        <f>"一种自行车用卡扣式固定型车体后盖"</f>
        <v>一种自行车用卡扣式固定型车体后盖</v>
      </c>
      <c r="C1419" s="1" t="str">
        <f t="shared" si="695"/>
        <v>实用新型</v>
      </c>
      <c r="D1419" s="1" t="str">
        <f t="shared" si="703"/>
        <v>未缴年费专利权终止</v>
      </c>
      <c r="E1419" s="1" t="str">
        <f>"CN202120864688.3"</f>
        <v>CN202120864688.3</v>
      </c>
      <c r="F1419" s="1" t="str">
        <f t="shared" si="701"/>
        <v>2021-04-26</v>
      </c>
      <c r="G1419" s="1" t="str">
        <f>"CN215098003U"</f>
        <v>CN215098003U</v>
      </c>
      <c r="H1419" s="1" t="str">
        <f t="shared" si="704"/>
        <v>2021-12-10</v>
      </c>
      <c r="I1419" s="1" t="str">
        <f>"李海军"</f>
        <v>李海军</v>
      </c>
      <c r="J1419" s="1" t="str">
        <f t="shared" si="693"/>
        <v>天津万德汽车部件有限公司</v>
      </c>
    </row>
    <row r="1420" spans="1:10">
      <c r="A1420" s="1" t="str">
        <f t="shared" si="690"/>
        <v>天津万德汽车部件有限公司</v>
      </c>
      <c r="B1420" s="1" t="str">
        <f>"一种方便脱模的自行车车体护罩用注塑模具"</f>
        <v>一种方便脱模的自行车车体护罩用注塑模具</v>
      </c>
      <c r="C1420" s="1" t="str">
        <f t="shared" si="695"/>
        <v>实用新型</v>
      </c>
      <c r="D1420" s="1" t="str">
        <f t="shared" si="703"/>
        <v>未缴年费专利权终止</v>
      </c>
      <c r="E1420" s="1" t="str">
        <f>"CN202120735293.3"</f>
        <v>CN202120735293.3</v>
      </c>
      <c r="F1420" s="1" t="str">
        <f>"2021-04-12"</f>
        <v>2021-04-12</v>
      </c>
      <c r="G1420" s="1" t="str">
        <f>"CN215095250U"</f>
        <v>CN215095250U</v>
      </c>
      <c r="H1420" s="1" t="str">
        <f t="shared" si="704"/>
        <v>2021-12-10</v>
      </c>
      <c r="I1420" s="1" t="str">
        <f>"李海军"</f>
        <v>李海军</v>
      </c>
      <c r="J1420" s="1" t="str">
        <f t="shared" si="693"/>
        <v>天津万德汽车部件有限公司</v>
      </c>
    </row>
    <row r="1421" spans="1:10">
      <c r="A1421" s="1" t="str">
        <f t="shared" si="690"/>
        <v>天津万德汽车部件有限公司</v>
      </c>
      <c r="B1421" s="1" t="str">
        <f>"一种汽车零部件用打磨装置"</f>
        <v>一种汽车零部件用打磨装置</v>
      </c>
      <c r="C1421" s="1" t="str">
        <f t="shared" si="695"/>
        <v>实用新型</v>
      </c>
      <c r="D1421" s="1" t="str">
        <f t="shared" si="703"/>
        <v>未缴年费专利权终止</v>
      </c>
      <c r="E1421" s="1" t="str">
        <f>"CN202021686125.1"</f>
        <v>CN202021686125.1</v>
      </c>
      <c r="F1421" s="1" t="str">
        <f>"2020-08-13"</f>
        <v>2020-08-13</v>
      </c>
      <c r="G1421" s="1" t="str">
        <f>"CN213673329U"</f>
        <v>CN213673329U</v>
      </c>
      <c r="H1421" s="1" t="str">
        <f>"2021-07-13"</f>
        <v>2021-07-13</v>
      </c>
      <c r="I1421" s="1" t="s">
        <v>5000</v>
      </c>
      <c r="J1421" s="1" t="str">
        <f t="shared" si="693"/>
        <v>天津万德汽车部件有限公司</v>
      </c>
    </row>
    <row r="1422" spans="1:10">
      <c r="A1422" s="1" t="str">
        <f t="shared" si="690"/>
        <v>天津万德汽车部件有限公司</v>
      </c>
      <c r="B1422" s="1" t="str">
        <f>"一种摩托车把手防寒装置"</f>
        <v>一种摩托车把手防寒装置</v>
      </c>
      <c r="C1422" s="1" t="str">
        <f t="shared" si="695"/>
        <v>实用新型</v>
      </c>
      <c r="D1422" s="1" t="str">
        <f t="shared" si="703"/>
        <v>未缴年费专利权终止</v>
      </c>
      <c r="E1422" s="1" t="str">
        <f>"CN202021618846.9"</f>
        <v>CN202021618846.9</v>
      </c>
      <c r="F1422" s="1" t="str">
        <f t="shared" ref="F1422:F1428" si="705">"2020-08-06"</f>
        <v>2020-08-06</v>
      </c>
      <c r="G1422" s="1" t="str">
        <f>"CN213292598U"</f>
        <v>CN213292598U</v>
      </c>
      <c r="H1422" s="1" t="str">
        <f>"2021-05-28"</f>
        <v>2021-05-28</v>
      </c>
      <c r="I1422" s="1" t="s">
        <v>5000</v>
      </c>
      <c r="J1422" s="1" t="str">
        <f t="shared" si="693"/>
        <v>天津万德汽车部件有限公司</v>
      </c>
    </row>
    <row r="1423" spans="1:10">
      <c r="A1423" s="1" t="str">
        <f t="shared" si="690"/>
        <v>天津万德汽车部件有限公司</v>
      </c>
      <c r="B1423" s="1" t="str">
        <f>"一种塑料制品加工印刷预热装置"</f>
        <v>一种塑料制品加工印刷预热装置</v>
      </c>
      <c r="C1423" s="1" t="str">
        <f t="shared" si="695"/>
        <v>实用新型</v>
      </c>
      <c r="D1423" s="1" t="str">
        <f t="shared" si="703"/>
        <v>未缴年费专利权终止</v>
      </c>
      <c r="E1423" s="1" t="str">
        <f>"CN202021639383.4"</f>
        <v>CN202021639383.4</v>
      </c>
      <c r="F1423" s="1" t="str">
        <f>"2020-08-10"</f>
        <v>2020-08-10</v>
      </c>
      <c r="G1423" s="1" t="str">
        <f>"CN213138245U"</f>
        <v>CN213138245U</v>
      </c>
      <c r="H1423" s="1" t="str">
        <f>"2021-05-07"</f>
        <v>2021-05-07</v>
      </c>
      <c r="I1423" s="1" t="s">
        <v>5000</v>
      </c>
      <c r="J1423" s="1" t="str">
        <f t="shared" si="693"/>
        <v>天津万德汽车部件有限公司</v>
      </c>
    </row>
    <row r="1424" spans="1:10">
      <c r="A1424" s="1" t="str">
        <f t="shared" si="690"/>
        <v>天津万德汽车部件有限公司</v>
      </c>
      <c r="B1424" s="1" t="str">
        <f>"一种塑料制品锁付机构"</f>
        <v>一种塑料制品锁付机构</v>
      </c>
      <c r="C1424" s="1" t="str">
        <f t="shared" si="695"/>
        <v>实用新型</v>
      </c>
      <c r="D1424" s="1" t="str">
        <f t="shared" si="703"/>
        <v>未缴年费专利权终止</v>
      </c>
      <c r="E1424" s="1" t="str">
        <f>"CN202021687965.X"</f>
        <v>CN202021687965.X</v>
      </c>
      <c r="F1424" s="1" t="str">
        <f>"2020-08-14"</f>
        <v>2020-08-14</v>
      </c>
      <c r="G1424" s="1" t="str">
        <f>"CN212886119U"</f>
        <v>CN212886119U</v>
      </c>
      <c r="H1424" s="1" t="str">
        <f t="shared" ref="H1424:H1426" si="706">"2021-04-06"</f>
        <v>2021-04-06</v>
      </c>
      <c r="I1424" s="1" t="s">
        <v>5000</v>
      </c>
      <c r="J1424" s="1" t="str">
        <f t="shared" si="693"/>
        <v>天津万德汽车部件有限公司</v>
      </c>
    </row>
    <row r="1425" spans="1:10">
      <c r="A1425" s="1" t="str">
        <f t="shared" si="690"/>
        <v>天津万德汽车部件有限公司</v>
      </c>
      <c r="B1425" s="1" t="str">
        <f>"一种塑料制品电烫修补装置"</f>
        <v>一种塑料制品电烫修补装置</v>
      </c>
      <c r="C1425" s="1" t="str">
        <f t="shared" si="695"/>
        <v>实用新型</v>
      </c>
      <c r="D1425" s="1" t="str">
        <f t="shared" si="703"/>
        <v>未缴年费专利权终止</v>
      </c>
      <c r="E1425" s="1" t="str">
        <f>"CN202021619091.4"</f>
        <v>CN202021619091.4</v>
      </c>
      <c r="F1425" s="1" t="str">
        <f t="shared" si="705"/>
        <v>2020-08-06</v>
      </c>
      <c r="G1425" s="1" t="str">
        <f>"CN212889050U"</f>
        <v>CN212889050U</v>
      </c>
      <c r="H1425" s="1" t="str">
        <f t="shared" si="706"/>
        <v>2021-04-06</v>
      </c>
      <c r="I1425" s="1" t="s">
        <v>5000</v>
      </c>
      <c r="J1425" s="1" t="str">
        <f t="shared" si="693"/>
        <v>天津万德汽车部件有限公司</v>
      </c>
    </row>
    <row r="1426" spans="1:10">
      <c r="A1426" s="1" t="str">
        <f t="shared" si="690"/>
        <v>天津万德汽车部件有限公司</v>
      </c>
      <c r="B1426" s="1" t="str">
        <f>"一种汽车零部件气密性检测装置"</f>
        <v>一种汽车零部件气密性检测装置</v>
      </c>
      <c r="C1426" s="1" t="str">
        <f t="shared" si="695"/>
        <v>实用新型</v>
      </c>
      <c r="D1426" s="1" t="str">
        <f t="shared" si="703"/>
        <v>未缴年费专利权终止</v>
      </c>
      <c r="E1426" s="1" t="str">
        <f>"CN202021669121.2"</f>
        <v>CN202021669121.2</v>
      </c>
      <c r="F1426" s="1" t="str">
        <f>"2020-08-12"</f>
        <v>2020-08-12</v>
      </c>
      <c r="G1426" s="1" t="str">
        <f>"CN212903774U"</f>
        <v>CN212903774U</v>
      </c>
      <c r="H1426" s="1" t="str">
        <f t="shared" si="706"/>
        <v>2021-04-06</v>
      </c>
      <c r="I1426" s="1" t="s">
        <v>5000</v>
      </c>
      <c r="J1426" s="1" t="str">
        <f t="shared" si="693"/>
        <v>天津万德汽车部件有限公司</v>
      </c>
    </row>
    <row r="1427" spans="1:10">
      <c r="A1427" s="1" t="str">
        <f t="shared" si="690"/>
        <v>天津万德汽车部件有限公司</v>
      </c>
      <c r="B1427" s="1" t="str">
        <f>"一种安全的车用把手装置"</f>
        <v>一种安全的车用把手装置</v>
      </c>
      <c r="C1427" s="1" t="str">
        <f t="shared" si="695"/>
        <v>实用新型</v>
      </c>
      <c r="D1427" s="1" t="str">
        <f t="shared" si="703"/>
        <v>未缴年费专利权终止</v>
      </c>
      <c r="E1427" s="1" t="str">
        <f>"CN202021617609.0"</f>
        <v>CN202021617609.0</v>
      </c>
      <c r="F1427" s="1" t="str">
        <f t="shared" si="705"/>
        <v>2020-08-06</v>
      </c>
      <c r="G1427" s="1" t="str">
        <f>"CN212828898U"</f>
        <v>CN212828898U</v>
      </c>
      <c r="H1427" s="1" t="str">
        <f>"2021-03-30"</f>
        <v>2021-03-30</v>
      </c>
      <c r="I1427" s="1" t="s">
        <v>5000</v>
      </c>
      <c r="J1427" s="1" t="str">
        <f t="shared" si="693"/>
        <v>天津万德汽车部件有限公司</v>
      </c>
    </row>
    <row r="1428" spans="1:10">
      <c r="A1428" s="1" t="str">
        <f t="shared" si="690"/>
        <v>天津万德汽车部件有限公司</v>
      </c>
      <c r="B1428" s="1" t="str">
        <f>"一种塑料制品承载装置"</f>
        <v>一种塑料制品承载装置</v>
      </c>
      <c r="C1428" s="1" t="str">
        <f t="shared" si="695"/>
        <v>实用新型</v>
      </c>
      <c r="D1428" s="1" t="str">
        <f t="shared" si="703"/>
        <v>未缴年费专利权终止</v>
      </c>
      <c r="E1428" s="1" t="str">
        <f>"CN202021617487.5"</f>
        <v>CN202021617487.5</v>
      </c>
      <c r="F1428" s="1" t="str">
        <f t="shared" si="705"/>
        <v>2020-08-06</v>
      </c>
      <c r="G1428" s="1" t="str">
        <f>"CN212797809U"</f>
        <v>CN212797809U</v>
      </c>
      <c r="H1428" s="1" t="str">
        <f>"2021-03-26"</f>
        <v>2021-03-26</v>
      </c>
      <c r="I1428" s="1" t="s">
        <v>5000</v>
      </c>
      <c r="J1428" s="1" t="str">
        <f t="shared" si="693"/>
        <v>天津万德汽车部件有限公司</v>
      </c>
    </row>
    <row r="1429" spans="1:10">
      <c r="A1429" s="1" t="str">
        <f t="shared" si="690"/>
        <v>天津万德汽车部件有限公司</v>
      </c>
      <c r="B1429" s="1" t="str">
        <f>"一种塑料制品撕裂线冲压模具"</f>
        <v>一种塑料制品撕裂线冲压模具</v>
      </c>
      <c r="C1429" s="1" t="str">
        <f t="shared" si="695"/>
        <v>实用新型</v>
      </c>
      <c r="D1429" s="1" t="str">
        <f t="shared" si="703"/>
        <v>未缴年费专利权终止</v>
      </c>
      <c r="E1429" s="1" t="str">
        <f>"CN201920307441.4"</f>
        <v>CN201920307441.4</v>
      </c>
      <c r="F1429" s="1" t="str">
        <f>"2019-03-12"</f>
        <v>2019-03-12</v>
      </c>
      <c r="G1429" s="1" t="str">
        <f>"CN209920051U"</f>
        <v>CN209920051U</v>
      </c>
      <c r="H1429" s="1" t="str">
        <f>"2020-01-10"</f>
        <v>2020-01-10</v>
      </c>
      <c r="I1429" s="1" t="s">
        <v>5000</v>
      </c>
      <c r="J1429" s="1" t="str">
        <f t="shared" si="693"/>
        <v>天津万德汽车部件有限公司</v>
      </c>
    </row>
    <row r="1430" spans="1:10">
      <c r="A1430" s="1" t="str">
        <f t="shared" si="690"/>
        <v>天津万德汽车部件有限公司</v>
      </c>
      <c r="B1430" s="1" t="str">
        <f>"一种控制器盒盖防脱落机构"</f>
        <v>一种控制器盒盖防脱落机构</v>
      </c>
      <c r="C1430" s="1" t="str">
        <f t="shared" si="695"/>
        <v>实用新型</v>
      </c>
      <c r="D1430" s="1" t="str">
        <f t="shared" si="703"/>
        <v>未缴年费专利权终止</v>
      </c>
      <c r="E1430" s="1" t="str">
        <f>"CN201920281988.1"</f>
        <v>CN201920281988.1</v>
      </c>
      <c r="F1430" s="1" t="str">
        <f t="shared" ref="F1430:F1433" si="707">"2019-03-06"</f>
        <v>2019-03-06</v>
      </c>
      <c r="G1430" s="1" t="str">
        <f>"CN209777177U"</f>
        <v>CN209777177U</v>
      </c>
      <c r="H1430" s="1" t="str">
        <f t="shared" ref="H1430:H1433" si="708">"2019-12-13"</f>
        <v>2019-12-13</v>
      </c>
      <c r="I1430" s="1" t="s">
        <v>5000</v>
      </c>
      <c r="J1430" s="1" t="str">
        <f t="shared" si="693"/>
        <v>天津万德汽车部件有限公司</v>
      </c>
    </row>
    <row r="1431" spans="1:10">
      <c r="A1431" s="1" t="str">
        <f t="shared" si="690"/>
        <v>天津万德汽车部件有限公司</v>
      </c>
      <c r="B1431" s="1" t="str">
        <f>"一种汽车用保护套注塑模具"</f>
        <v>一种汽车用保护套注塑模具</v>
      </c>
      <c r="C1431" s="1" t="str">
        <f t="shared" si="695"/>
        <v>实用新型</v>
      </c>
      <c r="D1431" s="1" t="str">
        <f t="shared" si="703"/>
        <v>未缴年费专利权终止</v>
      </c>
      <c r="E1431" s="1" t="str">
        <f>"CN201920307334.1"</f>
        <v>CN201920307334.1</v>
      </c>
      <c r="F1431" s="1" t="str">
        <f>"2019-03-12"</f>
        <v>2019-03-12</v>
      </c>
      <c r="G1431" s="1" t="str">
        <f>"CN209775414U"</f>
        <v>CN209775414U</v>
      </c>
      <c r="H1431" s="1" t="str">
        <f t="shared" si="708"/>
        <v>2019-12-13</v>
      </c>
      <c r="I1431" s="1" t="s">
        <v>5000</v>
      </c>
      <c r="J1431" s="1" t="str">
        <f t="shared" si="693"/>
        <v>天津万德汽车部件有限公司</v>
      </c>
    </row>
    <row r="1432" spans="1:10">
      <c r="A1432" s="1" t="str">
        <f t="shared" si="690"/>
        <v>天津万德汽车部件有限公司</v>
      </c>
      <c r="B1432" s="1" t="str">
        <f>"一种带转向灯的自行车把套"</f>
        <v>一种带转向灯的自行车把套</v>
      </c>
      <c r="C1432" s="1" t="str">
        <f t="shared" si="695"/>
        <v>实用新型</v>
      </c>
      <c r="D1432" s="1" t="str">
        <f t="shared" si="703"/>
        <v>未缴年费专利权终止</v>
      </c>
      <c r="E1432" s="1" t="str">
        <f>"CN201920282054.X"</f>
        <v>CN201920282054.X</v>
      </c>
      <c r="F1432" s="1" t="str">
        <f t="shared" si="707"/>
        <v>2019-03-06</v>
      </c>
      <c r="G1432" s="1" t="str">
        <f>"CN209776706U"</f>
        <v>CN209776706U</v>
      </c>
      <c r="H1432" s="1" t="str">
        <f t="shared" si="708"/>
        <v>2019-12-13</v>
      </c>
      <c r="I1432" s="1" t="s">
        <v>5000</v>
      </c>
      <c r="J1432" s="1" t="str">
        <f t="shared" si="693"/>
        <v>天津万德汽车部件有限公司</v>
      </c>
    </row>
    <row r="1433" spans="1:10">
      <c r="A1433" s="1" t="str">
        <f t="shared" si="690"/>
        <v>天津万德汽车部件有限公司</v>
      </c>
      <c r="B1433" s="1" t="str">
        <f>"一种新能源汽车电机防震保护壳"</f>
        <v>一种新能源汽车电机防震保护壳</v>
      </c>
      <c r="C1433" s="1" t="str">
        <f t="shared" si="695"/>
        <v>实用新型</v>
      </c>
      <c r="D1433" s="1" t="str">
        <f t="shared" si="703"/>
        <v>未缴年费专利权终止</v>
      </c>
      <c r="E1433" s="1" t="str">
        <f>"CN201920282017.9"</f>
        <v>CN201920282017.9</v>
      </c>
      <c r="F1433" s="1" t="str">
        <f t="shared" si="707"/>
        <v>2019-03-06</v>
      </c>
      <c r="G1433" s="1" t="str">
        <f>"CN209786942U"</f>
        <v>CN209786942U</v>
      </c>
      <c r="H1433" s="1" t="str">
        <f t="shared" si="708"/>
        <v>2019-12-13</v>
      </c>
      <c r="I1433" s="1" t="s">
        <v>5000</v>
      </c>
      <c r="J1433" s="1" t="str">
        <f t="shared" si="693"/>
        <v>天津万德汽车部件有限公司</v>
      </c>
    </row>
    <row r="1434" spans="1:10">
      <c r="A1434" s="1" t="str">
        <f t="shared" si="690"/>
        <v>天津万德汽车部件有限公司</v>
      </c>
      <c r="B1434" s="1" t="str">
        <f>"一种五金控制器的开盖安全保护结构"</f>
        <v>一种五金控制器的开盖安全保护结构</v>
      </c>
      <c r="C1434" s="1" t="str">
        <f t="shared" si="695"/>
        <v>实用新型</v>
      </c>
      <c r="D1434" s="1" t="str">
        <f t="shared" si="703"/>
        <v>未缴年费专利权终止</v>
      </c>
      <c r="E1434" s="1" t="str">
        <f>"CN201920291248.6"</f>
        <v>CN201920291248.6</v>
      </c>
      <c r="F1434" s="1" t="str">
        <f>"2019-03-08"</f>
        <v>2019-03-08</v>
      </c>
      <c r="G1434" s="1" t="str">
        <f>"CN209708871U"</f>
        <v>CN209708871U</v>
      </c>
      <c r="H1434" s="1" t="str">
        <f>"2019-11-29"</f>
        <v>2019-11-29</v>
      </c>
      <c r="I1434" s="1" t="s">
        <v>5000</v>
      </c>
      <c r="J1434" s="1" t="str">
        <f t="shared" si="693"/>
        <v>天津万德汽车部件有限公司</v>
      </c>
    </row>
    <row r="1435" spans="1:10">
      <c r="A1435" s="1" t="str">
        <f t="shared" ref="A1435:A1440" si="709">"奥新海（天津）汽车零部件有限公司"</f>
        <v>奥新海（天津）汽车零部件有限公司</v>
      </c>
      <c r="B1435" s="1" t="str">
        <f>"一种可发性聚苯乙烯消失模板生产用发泡设备"</f>
        <v>一种可发性聚苯乙烯消失模板生产用发泡设备</v>
      </c>
      <c r="C1435" s="1" t="str">
        <f t="shared" si="695"/>
        <v>实用新型</v>
      </c>
      <c r="D1435" s="1" t="str">
        <f t="shared" si="703"/>
        <v>未缴年费专利权终止</v>
      </c>
      <c r="E1435" s="1" t="str">
        <f>"CN201921440329.4"</f>
        <v>CN201921440329.4</v>
      </c>
      <c r="F1435" s="1" t="str">
        <f t="shared" ref="F1435:F1440" si="710">"2019-09-02"</f>
        <v>2019-09-02</v>
      </c>
      <c r="G1435" s="1" t="str">
        <f>"CN210389876U"</f>
        <v>CN210389876U</v>
      </c>
      <c r="H1435" s="1" t="str">
        <f t="shared" ref="H1435:H1437" si="711">"2020-04-24"</f>
        <v>2020-04-24</v>
      </c>
      <c r="I1435" s="1" t="str">
        <f t="shared" ref="I1435:I1440" si="712">"李文顺"</f>
        <v>李文顺</v>
      </c>
      <c r="J1435" s="1" t="str">
        <f t="shared" ref="J1435:J1440" si="713">"奥新海(天津)汽车零部件有限公司"</f>
        <v>奥新海(天津)汽车零部件有限公司</v>
      </c>
    </row>
    <row r="1436" spans="1:10">
      <c r="A1436" s="1" t="str">
        <f t="shared" si="709"/>
        <v>奥新海（天津）汽车零部件有限公司</v>
      </c>
      <c r="B1436" s="1" t="str">
        <f>"一种可发性聚苯乙烯消失模板生产用熟化设备"</f>
        <v>一种可发性聚苯乙烯消失模板生产用熟化设备</v>
      </c>
      <c r="C1436" s="1" t="str">
        <f t="shared" si="695"/>
        <v>实用新型</v>
      </c>
      <c r="D1436" s="1" t="str">
        <f t="shared" si="703"/>
        <v>未缴年费专利权终止</v>
      </c>
      <c r="E1436" s="1" t="str">
        <f>"CN201921440328.X"</f>
        <v>CN201921440328.X</v>
      </c>
      <c r="F1436" s="1" t="str">
        <f t="shared" si="710"/>
        <v>2019-09-02</v>
      </c>
      <c r="G1436" s="1" t="str">
        <f>"CN210389839U"</f>
        <v>CN210389839U</v>
      </c>
      <c r="H1436" s="1" t="str">
        <f t="shared" si="711"/>
        <v>2020-04-24</v>
      </c>
      <c r="I1436" s="1" t="str">
        <f t="shared" si="712"/>
        <v>李文顺</v>
      </c>
      <c r="J1436" s="1" t="str">
        <f t="shared" si="713"/>
        <v>奥新海(天津)汽车零部件有限公司</v>
      </c>
    </row>
    <row r="1437" spans="1:10">
      <c r="A1437" s="1" t="str">
        <f t="shared" si="709"/>
        <v>奥新海（天津）汽车零部件有限公司</v>
      </c>
      <c r="B1437" s="1" t="str">
        <f>"一种可发性聚苯乙烯消失模板生产用板材成型设备"</f>
        <v>一种可发性聚苯乙烯消失模板生产用板材成型设备</v>
      </c>
      <c r="C1437" s="1" t="str">
        <f t="shared" si="695"/>
        <v>实用新型</v>
      </c>
      <c r="D1437" s="1" t="str">
        <f t="shared" si="703"/>
        <v>未缴年费专利权终止</v>
      </c>
      <c r="E1437" s="1" t="str">
        <f>"CN201921440221.5"</f>
        <v>CN201921440221.5</v>
      </c>
      <c r="F1437" s="1" t="str">
        <f t="shared" si="710"/>
        <v>2019-09-02</v>
      </c>
      <c r="G1437" s="1" t="str">
        <f>"CN210389869U"</f>
        <v>CN210389869U</v>
      </c>
      <c r="H1437" s="1" t="str">
        <f t="shared" si="711"/>
        <v>2020-04-24</v>
      </c>
      <c r="I1437" s="1" t="str">
        <f t="shared" si="712"/>
        <v>李文顺</v>
      </c>
      <c r="J1437" s="1" t="str">
        <f t="shared" si="713"/>
        <v>奥新海(天津)汽车零部件有限公司</v>
      </c>
    </row>
    <row r="1438" spans="1:10">
      <c r="A1438" s="1" t="str">
        <f t="shared" si="709"/>
        <v>奥新海（天津）汽车零部件有限公司</v>
      </c>
      <c r="B1438" s="1" t="str">
        <f>"一种可发性聚苯乙烯消失模板生产用运输设备"</f>
        <v>一种可发性聚苯乙烯消失模板生产用运输设备</v>
      </c>
      <c r="C1438" s="1" t="str">
        <f t="shared" si="695"/>
        <v>实用新型</v>
      </c>
      <c r="D1438" s="1" t="str">
        <f t="shared" si="703"/>
        <v>未缴年费专利权终止</v>
      </c>
      <c r="E1438" s="1" t="str">
        <f>"CN201921438807.8"</f>
        <v>CN201921438807.8</v>
      </c>
      <c r="F1438" s="1" t="str">
        <f t="shared" si="710"/>
        <v>2019-09-02</v>
      </c>
      <c r="G1438" s="1" t="str">
        <f>"CN210365483U"</f>
        <v>CN210365483U</v>
      </c>
      <c r="H1438" s="1" t="str">
        <f t="shared" ref="H1438:H1440" si="714">"2020-04-21"</f>
        <v>2020-04-21</v>
      </c>
      <c r="I1438" s="1" t="str">
        <f t="shared" si="712"/>
        <v>李文顺</v>
      </c>
      <c r="J1438" s="1" t="str">
        <f t="shared" si="713"/>
        <v>奥新海(天津)汽车零部件有限公司</v>
      </c>
    </row>
    <row r="1439" spans="1:10">
      <c r="A1439" s="1" t="str">
        <f t="shared" si="709"/>
        <v>奥新海（天津）汽车零部件有限公司</v>
      </c>
      <c r="B1439" s="1" t="str">
        <f>"一种可发性聚苯乙烯消失模板用烘干陈化设备"</f>
        <v>一种可发性聚苯乙烯消失模板用烘干陈化设备</v>
      </c>
      <c r="C1439" s="1" t="str">
        <f t="shared" si="695"/>
        <v>实用新型</v>
      </c>
      <c r="D1439" s="1" t="str">
        <f t="shared" si="703"/>
        <v>未缴年费专利权终止</v>
      </c>
      <c r="E1439" s="1" t="str">
        <f>"CN201921442438.X"</f>
        <v>CN201921442438.X</v>
      </c>
      <c r="F1439" s="1" t="str">
        <f t="shared" si="710"/>
        <v>2019-09-02</v>
      </c>
      <c r="G1439" s="1" t="str">
        <f>"CN210374468U"</f>
        <v>CN210374468U</v>
      </c>
      <c r="H1439" s="1" t="str">
        <f t="shared" si="714"/>
        <v>2020-04-21</v>
      </c>
      <c r="I1439" s="1" t="str">
        <f t="shared" si="712"/>
        <v>李文顺</v>
      </c>
      <c r="J1439" s="1" t="str">
        <f t="shared" si="713"/>
        <v>奥新海(天津)汽车零部件有限公司</v>
      </c>
    </row>
    <row r="1440" spans="1:10">
      <c r="A1440" s="1" t="str">
        <f t="shared" si="709"/>
        <v>奥新海（天津）汽车零部件有限公司</v>
      </c>
      <c r="B1440" s="1" t="str">
        <f>"一种可发性聚苯乙烯消失模板用切割设备"</f>
        <v>一种可发性聚苯乙烯消失模板用切割设备</v>
      </c>
      <c r="C1440" s="1" t="str">
        <f t="shared" si="695"/>
        <v>实用新型</v>
      </c>
      <c r="D1440" s="1" t="str">
        <f t="shared" si="703"/>
        <v>未缴年费专利权终止</v>
      </c>
      <c r="E1440" s="1" t="str">
        <f>"CN201921442436.0"</f>
        <v>CN201921442436.0</v>
      </c>
      <c r="F1440" s="1" t="str">
        <f t="shared" si="710"/>
        <v>2019-09-02</v>
      </c>
      <c r="G1440" s="1" t="str">
        <f>"CN210361617U"</f>
        <v>CN210361617U</v>
      </c>
      <c r="H1440" s="1" t="str">
        <f t="shared" si="714"/>
        <v>2020-04-21</v>
      </c>
      <c r="I1440" s="1" t="str">
        <f t="shared" si="712"/>
        <v>李文顺</v>
      </c>
      <c r="J1440" s="1" t="str">
        <f t="shared" si="713"/>
        <v>奥新海(天津)汽车零部件有限公司</v>
      </c>
    </row>
    <row r="1441" spans="1:10">
      <c r="A1441" s="1" t="str">
        <f t="shared" ref="A1441:A1504" si="715">"天津富松汽车零部件有限公司"</f>
        <v>天津富松汽车零部件有限公司</v>
      </c>
      <c r="B1441" s="1" t="str">
        <f>"一种汽车座椅背板冲孔机构"</f>
        <v>一种汽车座椅背板冲孔机构</v>
      </c>
      <c r="C1441" s="1" t="str">
        <f t="shared" si="695"/>
        <v>实用新型</v>
      </c>
      <c r="D1441" s="1" t="str">
        <f t="shared" ref="D1441:D1449" si="716">"授权"</f>
        <v>授权</v>
      </c>
      <c r="E1441" s="1" t="str">
        <f>"CN202422652421.4"</f>
        <v>CN202422652421.4</v>
      </c>
      <c r="F1441" s="1" t="str">
        <f>"2024-10-31"</f>
        <v>2024-10-31</v>
      </c>
      <c r="G1441" s="1" t="str">
        <f>"CN223300740U"</f>
        <v>CN223300740U</v>
      </c>
      <c r="H1441" s="1" t="str">
        <f>"2025-09-05"</f>
        <v>2025-09-05</v>
      </c>
      <c r="I1441" s="1" t="str">
        <f t="shared" ref="I1441:I1504" si="717">"韩松年"</f>
        <v>韩松年</v>
      </c>
      <c r="J1441" s="1" t="str">
        <f t="shared" ref="J1441:J1504" si="718">"天津富松汽车零部件有限公司"</f>
        <v>天津富松汽车零部件有限公司</v>
      </c>
    </row>
    <row r="1442" spans="1:10">
      <c r="A1442" s="1" t="str">
        <f t="shared" si="715"/>
        <v>天津富松汽车零部件有限公司</v>
      </c>
      <c r="B1442" s="1" t="str">
        <f>"一种汽车座椅背板缓冲设备"</f>
        <v>一种汽车座椅背板缓冲设备</v>
      </c>
      <c r="C1442" s="1" t="str">
        <f t="shared" si="695"/>
        <v>实用新型</v>
      </c>
      <c r="D1442" s="1" t="str">
        <f t="shared" si="716"/>
        <v>授权</v>
      </c>
      <c r="E1442" s="1" t="str">
        <f>"CN202422349578.X"</f>
        <v>CN202422349578.X</v>
      </c>
      <c r="F1442" s="1" t="str">
        <f>"2024-09-26"</f>
        <v>2024-09-26</v>
      </c>
      <c r="G1442" s="1" t="str">
        <f>"CN222988026U"</f>
        <v>CN222988026U</v>
      </c>
      <c r="H1442" s="1" t="str">
        <f>"2025-06-17"</f>
        <v>2025-06-17</v>
      </c>
      <c r="I1442" s="1" t="str">
        <f t="shared" si="717"/>
        <v>韩松年</v>
      </c>
      <c r="J1442" s="1" t="str">
        <f t="shared" si="718"/>
        <v>天津富松汽车零部件有限公司</v>
      </c>
    </row>
    <row r="1443" spans="1:10">
      <c r="A1443" s="1" t="str">
        <f t="shared" si="715"/>
        <v>天津富松汽车零部件有限公司</v>
      </c>
      <c r="B1443" s="1" t="str">
        <f>"一种汽车座椅改装背板"</f>
        <v>一种汽车座椅改装背板</v>
      </c>
      <c r="C1443" s="1" t="str">
        <f t="shared" si="695"/>
        <v>实用新型</v>
      </c>
      <c r="D1443" s="1" t="str">
        <f t="shared" si="716"/>
        <v>授权</v>
      </c>
      <c r="E1443" s="1" t="str">
        <f>"CN202421921319.3"</f>
        <v>CN202421921319.3</v>
      </c>
      <c r="F1443" s="1" t="str">
        <f>"2024-08-09"</f>
        <v>2024-08-09</v>
      </c>
      <c r="G1443" s="1" t="str">
        <f>"CN222793334U"</f>
        <v>CN222793334U</v>
      </c>
      <c r="H1443" s="1" t="str">
        <f>"2025-04-25"</f>
        <v>2025-04-25</v>
      </c>
      <c r="I1443" s="1" t="str">
        <f t="shared" si="717"/>
        <v>韩松年</v>
      </c>
      <c r="J1443" s="1" t="str">
        <f t="shared" si="718"/>
        <v>天津富松汽车零部件有限公司</v>
      </c>
    </row>
    <row r="1444" spans="1:10">
      <c r="A1444" s="1" t="str">
        <f t="shared" si="715"/>
        <v>天津富松汽车零部件有限公司</v>
      </c>
      <c r="B1444" s="1" t="str">
        <f>"一种汽车后备箱盖板升降装置"</f>
        <v>一种汽车后备箱盖板升降装置</v>
      </c>
      <c r="C1444" s="1" t="str">
        <f t="shared" si="695"/>
        <v>实用新型</v>
      </c>
      <c r="D1444" s="1" t="str">
        <f t="shared" si="716"/>
        <v>授权</v>
      </c>
      <c r="E1444" s="1" t="str">
        <f>"CN202421692685.6"</f>
        <v>CN202421692685.6</v>
      </c>
      <c r="F1444" s="1" t="str">
        <f>"2024-07-17"</f>
        <v>2024-07-17</v>
      </c>
      <c r="G1444" s="1" t="str">
        <f>"CN222742785U"</f>
        <v>CN222742785U</v>
      </c>
      <c r="H1444" s="1" t="str">
        <f>"2025-04-11"</f>
        <v>2025-04-11</v>
      </c>
      <c r="I1444" s="1" t="str">
        <f t="shared" si="717"/>
        <v>韩松年</v>
      </c>
      <c r="J1444" s="1" t="str">
        <f t="shared" si="718"/>
        <v>天津富松汽车零部件有限公司</v>
      </c>
    </row>
    <row r="1445" spans="1:10">
      <c r="A1445" s="1" t="str">
        <f t="shared" si="715"/>
        <v>天津富松汽车零部件有限公司</v>
      </c>
      <c r="B1445" s="1" t="str">
        <f>"一种车用座椅背板挂载结构"</f>
        <v>一种车用座椅背板挂载结构</v>
      </c>
      <c r="C1445" s="1" t="str">
        <f t="shared" si="695"/>
        <v>实用新型</v>
      </c>
      <c r="D1445" s="1" t="str">
        <f t="shared" si="716"/>
        <v>授权</v>
      </c>
      <c r="E1445" s="1" t="str">
        <f>"CN202322925055.0"</f>
        <v>CN202322925055.0</v>
      </c>
      <c r="F1445" s="1" t="str">
        <f>"2023-10-31"</f>
        <v>2023-10-31</v>
      </c>
      <c r="G1445" s="1" t="str">
        <f>"CN222136620U"</f>
        <v>CN222136620U</v>
      </c>
      <c r="H1445" s="1" t="str">
        <f>"2024-12-10"</f>
        <v>2024-12-10</v>
      </c>
      <c r="I1445" s="1" t="str">
        <f t="shared" si="717"/>
        <v>韩松年</v>
      </c>
      <c r="J1445" s="1" t="str">
        <f t="shared" si="718"/>
        <v>天津富松汽车零部件有限公司</v>
      </c>
    </row>
    <row r="1446" spans="1:10">
      <c r="A1446" s="1" t="str">
        <f t="shared" si="715"/>
        <v>天津富松汽车零部件有限公司</v>
      </c>
      <c r="B1446" s="1" t="str">
        <f>"一种轻量化汽车挡板结构"</f>
        <v>一种轻量化汽车挡板结构</v>
      </c>
      <c r="C1446" s="1" t="str">
        <f t="shared" si="695"/>
        <v>实用新型</v>
      </c>
      <c r="D1446" s="1" t="str">
        <f t="shared" si="716"/>
        <v>授权</v>
      </c>
      <c r="E1446" s="1" t="str">
        <f>"CN202322925056.5"</f>
        <v>CN202322925056.5</v>
      </c>
      <c r="F1446" s="1" t="str">
        <f>"2023-10-31"</f>
        <v>2023-10-31</v>
      </c>
      <c r="G1446" s="1" t="str">
        <f>"CN221794757U"</f>
        <v>CN221794757U</v>
      </c>
      <c r="H1446" s="1" t="str">
        <f>"2024-10-01"</f>
        <v>2024-10-01</v>
      </c>
      <c r="I1446" s="1" t="str">
        <f t="shared" si="717"/>
        <v>韩松年</v>
      </c>
      <c r="J1446" s="1" t="str">
        <f t="shared" si="718"/>
        <v>天津富松汽车零部件有限公司</v>
      </c>
    </row>
    <row r="1447" spans="1:10">
      <c r="A1447" s="1" t="str">
        <f t="shared" si="715"/>
        <v>天津富松汽车零部件有限公司</v>
      </c>
      <c r="B1447" s="1" t="str">
        <f>"一种便于安装的汽车挡板"</f>
        <v>一种便于安装的汽车挡板</v>
      </c>
      <c r="C1447" s="1" t="str">
        <f t="shared" si="695"/>
        <v>实用新型</v>
      </c>
      <c r="D1447" s="1" t="str">
        <f t="shared" si="716"/>
        <v>授权</v>
      </c>
      <c r="E1447" s="1" t="str">
        <f>"CN202322762755.2"</f>
        <v>CN202322762755.2</v>
      </c>
      <c r="F1447" s="1" t="str">
        <f>"2023-10-16"</f>
        <v>2023-10-16</v>
      </c>
      <c r="G1447" s="1" t="str">
        <f>"CN221251005U"</f>
        <v>CN221251005U</v>
      </c>
      <c r="H1447" s="1" t="str">
        <f>"2024-07-02"</f>
        <v>2024-07-02</v>
      </c>
      <c r="I1447" s="1" t="str">
        <f t="shared" si="717"/>
        <v>韩松年</v>
      </c>
      <c r="J1447" s="1" t="str">
        <f t="shared" si="718"/>
        <v>天津富松汽车零部件有限公司</v>
      </c>
    </row>
    <row r="1448" spans="1:10">
      <c r="A1448" s="1" t="str">
        <f t="shared" si="715"/>
        <v>天津富松汽车零部件有限公司</v>
      </c>
      <c r="B1448" s="1" t="str">
        <f>"一种汽车装饰用的蜂窝板"</f>
        <v>一种汽车装饰用的蜂窝板</v>
      </c>
      <c r="C1448" s="1" t="str">
        <f t="shared" si="695"/>
        <v>实用新型</v>
      </c>
      <c r="D1448" s="1" t="str">
        <f t="shared" si="716"/>
        <v>授权</v>
      </c>
      <c r="E1448" s="1" t="str">
        <f>"CN202322648425.0"</f>
        <v>CN202322648425.0</v>
      </c>
      <c r="F1448" s="1" t="str">
        <f>"2023-09-28"</f>
        <v>2023-09-28</v>
      </c>
      <c r="G1448" s="1" t="str">
        <f>"CN220973558U"</f>
        <v>CN220973558U</v>
      </c>
      <c r="H1448" s="1" t="str">
        <f>"2024-05-17"</f>
        <v>2024-05-17</v>
      </c>
      <c r="I1448" s="1" t="str">
        <f t="shared" si="717"/>
        <v>韩松年</v>
      </c>
      <c r="J1448" s="1" t="str">
        <f t="shared" si="718"/>
        <v>天津富松汽车零部件有限公司</v>
      </c>
    </row>
    <row r="1449" spans="1:10">
      <c r="A1449" s="1" t="str">
        <f t="shared" si="715"/>
        <v>天津富松汽车零部件有限公司</v>
      </c>
      <c r="B1449" s="1" t="str">
        <f>"一种汽车行李箱护板"</f>
        <v>一种汽车行李箱护板</v>
      </c>
      <c r="C1449" s="1" t="str">
        <f t="shared" si="695"/>
        <v>实用新型</v>
      </c>
      <c r="D1449" s="1" t="str">
        <f t="shared" si="716"/>
        <v>授权</v>
      </c>
      <c r="E1449" s="1" t="str">
        <f>"CN202322631093.5"</f>
        <v>CN202322631093.5</v>
      </c>
      <c r="F1449" s="1" t="str">
        <f>"2023-09-27"</f>
        <v>2023-09-27</v>
      </c>
      <c r="G1449" s="1" t="str">
        <f>"CN220809326U"</f>
        <v>CN220809326U</v>
      </c>
      <c r="H1449" s="1" t="str">
        <f>"2024-04-19"</f>
        <v>2024-04-19</v>
      </c>
      <c r="I1449" s="1" t="str">
        <f t="shared" si="717"/>
        <v>韩松年</v>
      </c>
      <c r="J1449" s="1" t="str">
        <f t="shared" si="718"/>
        <v>天津富松汽车零部件有限公司</v>
      </c>
    </row>
    <row r="1450" spans="1:10">
      <c r="A1450" s="1" t="str">
        <f t="shared" si="715"/>
        <v>天津富松汽车零部件有限公司</v>
      </c>
      <c r="B1450" s="1" t="str">
        <f>"汽车蜂窝顶棚"</f>
        <v>汽车蜂窝顶棚</v>
      </c>
      <c r="C1450" s="1" t="str">
        <f>"发明授权"</f>
        <v>发明授权</v>
      </c>
      <c r="D1450" s="1" t="str">
        <f>"未缴年费专利权终止"</f>
        <v>未缴年费专利权终止</v>
      </c>
      <c r="E1450" s="1" t="str">
        <f>"CN201610565593.5"</f>
        <v>CN201610565593.5</v>
      </c>
      <c r="F1450" s="1" t="str">
        <f>"2016-07-19"</f>
        <v>2016-07-19</v>
      </c>
      <c r="G1450" s="1" t="str">
        <f>"CN107627970B"</f>
        <v>CN107627970B</v>
      </c>
      <c r="H1450" s="1" t="str">
        <f>"2024-02-27"</f>
        <v>2024-02-27</v>
      </c>
      <c r="I1450" s="1" t="str">
        <f t="shared" si="717"/>
        <v>韩松年</v>
      </c>
      <c r="J1450" s="1" t="str">
        <f t="shared" si="718"/>
        <v>天津富松汽车零部件有限公司</v>
      </c>
    </row>
    <row r="1451" spans="1:10">
      <c r="A1451" s="1" t="str">
        <f t="shared" si="715"/>
        <v>天津富松汽车零部件有限公司</v>
      </c>
      <c r="B1451" s="1" t="str">
        <f>"一种带有缓冲装置的汽车座椅背板"</f>
        <v>一种带有缓冲装置的汽车座椅背板</v>
      </c>
      <c r="C1451" s="1" t="str">
        <f t="shared" ref="C1451:C1454" si="719">"实用新型"</f>
        <v>实用新型</v>
      </c>
      <c r="D1451" s="1" t="str">
        <f t="shared" ref="D1451:D1455" si="720">"授权"</f>
        <v>授权</v>
      </c>
      <c r="E1451" s="1" t="str">
        <f>"CN202322106786.2"</f>
        <v>CN202322106786.2</v>
      </c>
      <c r="F1451" s="1" t="str">
        <f>"2023-08-07"</f>
        <v>2023-08-07</v>
      </c>
      <c r="G1451" s="1" t="str">
        <f>"CN220518085U"</f>
        <v>CN220518085U</v>
      </c>
      <c r="H1451" s="1" t="str">
        <f>"2024-02-23"</f>
        <v>2024-02-23</v>
      </c>
      <c r="I1451" s="1" t="str">
        <f t="shared" si="717"/>
        <v>韩松年</v>
      </c>
      <c r="J1451" s="1" t="str">
        <f t="shared" si="718"/>
        <v>天津富松汽车零部件有限公司</v>
      </c>
    </row>
    <row r="1452" spans="1:10">
      <c r="A1452" s="1" t="str">
        <f t="shared" si="715"/>
        <v>天津富松汽车零部件有限公司</v>
      </c>
      <c r="B1452" s="1" t="str">
        <f>"一种汽车座椅多功能背板"</f>
        <v>一种汽车座椅多功能背板</v>
      </c>
      <c r="C1452" s="1" t="str">
        <f t="shared" si="719"/>
        <v>实用新型</v>
      </c>
      <c r="D1452" s="1" t="str">
        <f t="shared" si="720"/>
        <v>授权</v>
      </c>
      <c r="E1452" s="1" t="str">
        <f>"CN202322106741.5"</f>
        <v>CN202322106741.5</v>
      </c>
      <c r="F1452" s="1" t="str">
        <f>"2023-08-07"</f>
        <v>2023-08-07</v>
      </c>
      <c r="G1452" s="1" t="str">
        <f>"CN220410376U"</f>
        <v>CN220410376U</v>
      </c>
      <c r="H1452" s="1" t="str">
        <f>"2024-01-30"</f>
        <v>2024-01-30</v>
      </c>
      <c r="I1452" s="1" t="str">
        <f t="shared" si="717"/>
        <v>韩松年</v>
      </c>
      <c r="J1452" s="1" t="str">
        <f t="shared" si="718"/>
        <v>天津富松汽车零部件有限公司</v>
      </c>
    </row>
    <row r="1453" spans="1:10">
      <c r="A1453" s="1" t="str">
        <f t="shared" si="715"/>
        <v>天津富松汽车零部件有限公司</v>
      </c>
      <c r="B1453" s="1" t="str">
        <f>"一种汽车后备箱后门盖板结构"</f>
        <v>一种汽车后备箱后门盖板结构</v>
      </c>
      <c r="C1453" s="1" t="str">
        <f t="shared" si="719"/>
        <v>实用新型</v>
      </c>
      <c r="D1453" s="1" t="str">
        <f t="shared" si="720"/>
        <v>授权</v>
      </c>
      <c r="E1453" s="1" t="str">
        <f>"CN202321996069.5"</f>
        <v>CN202321996069.5</v>
      </c>
      <c r="F1453" s="1" t="str">
        <f>"2023-07-27"</f>
        <v>2023-07-27</v>
      </c>
      <c r="G1453" s="1" t="str">
        <f>"CN220315129U"</f>
        <v>CN220315129U</v>
      </c>
      <c r="H1453" s="1" t="str">
        <f>"2024-01-09"</f>
        <v>2024-01-09</v>
      </c>
      <c r="I1453" s="1" t="str">
        <f t="shared" si="717"/>
        <v>韩松年</v>
      </c>
      <c r="J1453" s="1" t="str">
        <f t="shared" si="718"/>
        <v>天津富松汽车零部件有限公司</v>
      </c>
    </row>
    <row r="1454" spans="1:10">
      <c r="A1454" s="1" t="str">
        <f t="shared" si="715"/>
        <v>天津富松汽车零部件有限公司</v>
      </c>
      <c r="B1454" s="1" t="str">
        <f>"一种便于安装的汽车座椅背板"</f>
        <v>一种便于安装的汽车座椅背板</v>
      </c>
      <c r="C1454" s="1" t="str">
        <f t="shared" si="719"/>
        <v>实用新型</v>
      </c>
      <c r="D1454" s="1" t="str">
        <f t="shared" si="720"/>
        <v>授权</v>
      </c>
      <c r="E1454" s="1" t="str">
        <f>"CN202321996171.5"</f>
        <v>CN202321996171.5</v>
      </c>
      <c r="F1454" s="1" t="str">
        <f>"2023-07-27"</f>
        <v>2023-07-27</v>
      </c>
      <c r="G1454" s="1" t="str">
        <f>"CN220314800U"</f>
        <v>CN220314800U</v>
      </c>
      <c r="H1454" s="1" t="str">
        <f>"2024-01-09"</f>
        <v>2024-01-09</v>
      </c>
      <c r="I1454" s="1" t="str">
        <f t="shared" si="717"/>
        <v>韩松年</v>
      </c>
      <c r="J1454" s="1" t="str">
        <f t="shared" si="718"/>
        <v>天津富松汽车零部件有限公司</v>
      </c>
    </row>
    <row r="1455" spans="1:10">
      <c r="A1455" s="1" t="str">
        <f t="shared" si="715"/>
        <v>天津富松汽车零部件有限公司</v>
      </c>
      <c r="B1455" s="1" t="str">
        <f>"一种车用降噪板"</f>
        <v>一种车用降噪板</v>
      </c>
      <c r="C1455" s="1" t="str">
        <f>"发明授权"</f>
        <v>发明授权</v>
      </c>
      <c r="D1455" s="1" t="str">
        <f t="shared" si="720"/>
        <v>授权</v>
      </c>
      <c r="E1455" s="1" t="str">
        <f>"CN202211732909.7"</f>
        <v>CN202211732909.7</v>
      </c>
      <c r="F1455" s="1" t="str">
        <f t="shared" ref="F1455:F1458" si="721">"2022-12-30"</f>
        <v>2022-12-30</v>
      </c>
      <c r="G1455" s="1" t="str">
        <f>"CN116160967B"</f>
        <v>CN116160967B</v>
      </c>
      <c r="H1455" s="1" t="str">
        <f>"2023-09-01"</f>
        <v>2023-09-01</v>
      </c>
      <c r="I1455" s="1" t="str">
        <f t="shared" si="717"/>
        <v>韩松年</v>
      </c>
      <c r="J1455" s="1" t="str">
        <f t="shared" si="718"/>
        <v>天津富松汽车零部件有限公司</v>
      </c>
    </row>
    <row r="1456" spans="1:10">
      <c r="A1456" s="1" t="str">
        <f t="shared" si="715"/>
        <v>天津富松汽车零部件有限公司</v>
      </c>
      <c r="B1456" s="1" t="str">
        <f>"一种车用后备箱内饰板"</f>
        <v>一种车用后备箱内饰板</v>
      </c>
      <c r="C1456" s="1" t="str">
        <f t="shared" ref="C1456:C1459" si="722">"发明公布"</f>
        <v>发明公布</v>
      </c>
      <c r="D1456" s="1" t="str">
        <f>"公布驳回"</f>
        <v>公布驳回</v>
      </c>
      <c r="E1456" s="1" t="str">
        <f>"CN202211732933.0"</f>
        <v>CN202211732933.0</v>
      </c>
      <c r="F1456" s="1" t="str">
        <f t="shared" si="721"/>
        <v>2022-12-30</v>
      </c>
      <c r="G1456" s="1" t="str">
        <f>"CN116279177A"</f>
        <v>CN116279177A</v>
      </c>
      <c r="H1456" s="1" t="str">
        <f>"2023-06-23"</f>
        <v>2023-06-23</v>
      </c>
      <c r="I1456" s="1" t="str">
        <f t="shared" si="717"/>
        <v>韩松年</v>
      </c>
      <c r="J1456" s="1" t="str">
        <f t="shared" si="718"/>
        <v>天津富松汽车零部件有限公司</v>
      </c>
    </row>
    <row r="1457" spans="1:10">
      <c r="A1457" s="1" t="str">
        <f t="shared" si="715"/>
        <v>天津富松汽车零部件有限公司</v>
      </c>
      <c r="B1457" s="1" t="str">
        <f>"一种汽车后备箱用盖板装置"</f>
        <v>一种汽车后备箱用盖板装置</v>
      </c>
      <c r="C1457" s="1" t="str">
        <f t="shared" si="722"/>
        <v>发明公布</v>
      </c>
      <c r="D1457" s="1" t="str">
        <f t="shared" ref="D1457:D1459" si="723">"实质审查"</f>
        <v>实质审查</v>
      </c>
      <c r="E1457" s="1" t="str">
        <f>"CN202310019720.1"</f>
        <v>CN202310019720.1</v>
      </c>
      <c r="F1457" s="1" t="str">
        <f>"2023-01-06"</f>
        <v>2023-01-06</v>
      </c>
      <c r="G1457" s="1" t="str">
        <f>"CN116061834A"</f>
        <v>CN116061834A</v>
      </c>
      <c r="H1457" s="1" t="str">
        <f>"2023-05-05"</f>
        <v>2023-05-05</v>
      </c>
      <c r="I1457" s="1" t="str">
        <f t="shared" si="717"/>
        <v>韩松年</v>
      </c>
      <c r="J1457" s="1" t="str">
        <f t="shared" si="718"/>
        <v>天津富松汽车零部件有限公司</v>
      </c>
    </row>
    <row r="1458" spans="1:10">
      <c r="A1458" s="1" t="str">
        <f t="shared" si="715"/>
        <v>天津富松汽车零部件有限公司</v>
      </c>
      <c r="B1458" s="1" t="str">
        <f>"一种汽车座椅背板"</f>
        <v>一种汽车座椅背板</v>
      </c>
      <c r="C1458" s="1" t="str">
        <f t="shared" si="722"/>
        <v>发明公布</v>
      </c>
      <c r="D1458" s="1" t="str">
        <f t="shared" si="723"/>
        <v>实质审查</v>
      </c>
      <c r="E1458" s="1" t="str">
        <f>"CN202211736320.4"</f>
        <v>CN202211736320.4</v>
      </c>
      <c r="F1458" s="1" t="str">
        <f t="shared" si="721"/>
        <v>2022-12-30</v>
      </c>
      <c r="G1458" s="1" t="str">
        <f>"CN116039474A"</f>
        <v>CN116039474A</v>
      </c>
      <c r="H1458" s="1" t="str">
        <f>"2023-05-02"</f>
        <v>2023-05-02</v>
      </c>
      <c r="I1458" s="1" t="str">
        <f t="shared" si="717"/>
        <v>韩松年</v>
      </c>
      <c r="J1458" s="1" t="str">
        <f t="shared" si="718"/>
        <v>天津富松汽车零部件有限公司</v>
      </c>
    </row>
    <row r="1459" spans="1:10">
      <c r="A1459" s="1" t="str">
        <f t="shared" si="715"/>
        <v>天津富松汽车零部件有限公司</v>
      </c>
      <c r="B1459" s="1" t="str">
        <f>"一种带有阻燃隔热功能的汽车顶棚"</f>
        <v>一种带有阻燃隔热功能的汽车顶棚</v>
      </c>
      <c r="C1459" s="1" t="str">
        <f t="shared" si="722"/>
        <v>发明公布</v>
      </c>
      <c r="D1459" s="1" t="str">
        <f t="shared" si="723"/>
        <v>实质审查</v>
      </c>
      <c r="E1459" s="1" t="str">
        <f>"CN202310020199.3"</f>
        <v>CN202310020199.3</v>
      </c>
      <c r="F1459" s="1" t="str">
        <f>"2023-01-06"</f>
        <v>2023-01-06</v>
      </c>
      <c r="G1459" s="1" t="str">
        <f>"CN115972735A"</f>
        <v>CN115972735A</v>
      </c>
      <c r="H1459" s="1" t="str">
        <f>"2023-04-18"</f>
        <v>2023-04-18</v>
      </c>
      <c r="I1459" s="1" t="str">
        <f t="shared" si="717"/>
        <v>韩松年</v>
      </c>
      <c r="J1459" s="1" t="str">
        <f t="shared" si="718"/>
        <v>天津富松汽车零部件有限公司</v>
      </c>
    </row>
    <row r="1460" spans="1:10">
      <c r="A1460" s="1" t="str">
        <f t="shared" si="715"/>
        <v>天津富松汽车零部件有限公司</v>
      </c>
      <c r="B1460" s="1" t="str">
        <f>"便于折叠的商用车吹塑小桌板"</f>
        <v>便于折叠的商用车吹塑小桌板</v>
      </c>
      <c r="C1460" s="1" t="str">
        <f t="shared" ref="C1460:C1485" si="724">"实用新型"</f>
        <v>实用新型</v>
      </c>
      <c r="D1460" s="1" t="str">
        <f t="shared" ref="D1460:D1497" si="725">"授权"</f>
        <v>授权</v>
      </c>
      <c r="E1460" s="1" t="str">
        <f>"CN202222178974.1"</f>
        <v>CN202222178974.1</v>
      </c>
      <c r="F1460" s="1" t="str">
        <f>"2022-08-18"</f>
        <v>2022-08-18</v>
      </c>
      <c r="G1460" s="1" t="str">
        <f>"CN218750462U"</f>
        <v>CN218750462U</v>
      </c>
      <c r="H1460" s="1" t="str">
        <f>"2023-03-28"</f>
        <v>2023-03-28</v>
      </c>
      <c r="I1460" s="1" t="str">
        <f t="shared" si="717"/>
        <v>韩松年</v>
      </c>
      <c r="J1460" s="1" t="str">
        <f t="shared" si="718"/>
        <v>天津富松汽车零部件有限公司</v>
      </c>
    </row>
    <row r="1461" spans="1:10">
      <c r="A1461" s="1" t="str">
        <f t="shared" si="715"/>
        <v>天津富松汽车零部件有限公司</v>
      </c>
      <c r="B1461" s="1" t="str">
        <f>"一次冲型扣手孔沉台工装"</f>
        <v>一次冲型扣手孔沉台工装</v>
      </c>
      <c r="C1461" s="1" t="str">
        <f t="shared" si="724"/>
        <v>实用新型</v>
      </c>
      <c r="D1461" s="1" t="str">
        <f t="shared" si="725"/>
        <v>授权</v>
      </c>
      <c r="E1461" s="1" t="str">
        <f>"CN202222708834.0"</f>
        <v>CN202222708834.0</v>
      </c>
      <c r="F1461" s="1" t="str">
        <f>"2022-10-14"</f>
        <v>2022-10-14</v>
      </c>
      <c r="G1461" s="1" t="str">
        <f>"CN218426998U"</f>
        <v>CN218426998U</v>
      </c>
      <c r="H1461" s="1" t="str">
        <f>"2023-02-03"</f>
        <v>2023-02-03</v>
      </c>
      <c r="I1461" s="1" t="str">
        <f t="shared" si="717"/>
        <v>韩松年</v>
      </c>
      <c r="J1461" s="1" t="str">
        <f t="shared" si="718"/>
        <v>天津富松汽车零部件有限公司</v>
      </c>
    </row>
    <row r="1462" spans="1:10">
      <c r="A1462" s="1" t="str">
        <f t="shared" si="715"/>
        <v>天津富松汽车零部件有限公司</v>
      </c>
      <c r="B1462" s="1" t="str">
        <f>"一种耐刮擦的汽车用PP蜂窝板侧围"</f>
        <v>一种耐刮擦的汽车用PP蜂窝板侧围</v>
      </c>
      <c r="C1462" s="1" t="str">
        <f t="shared" si="724"/>
        <v>实用新型</v>
      </c>
      <c r="D1462" s="1" t="str">
        <f t="shared" si="725"/>
        <v>授权</v>
      </c>
      <c r="E1462" s="1" t="str">
        <f>"CN202222384606.2"</f>
        <v>CN202222384606.2</v>
      </c>
      <c r="F1462" s="1" t="str">
        <f>"2022-09-08"</f>
        <v>2022-09-08</v>
      </c>
      <c r="G1462" s="1" t="str">
        <f>"CN218228211U"</f>
        <v>CN218228211U</v>
      </c>
      <c r="H1462" s="1" t="str">
        <f>"2023-01-06"</f>
        <v>2023-01-06</v>
      </c>
      <c r="I1462" s="1" t="str">
        <f t="shared" si="717"/>
        <v>韩松年</v>
      </c>
      <c r="J1462" s="1" t="str">
        <f t="shared" si="718"/>
        <v>天津富松汽车零部件有限公司</v>
      </c>
    </row>
    <row r="1463" spans="1:10">
      <c r="A1463" s="1" t="str">
        <f t="shared" si="715"/>
        <v>天津富松汽车零部件有限公司</v>
      </c>
      <c r="B1463" s="1" t="str">
        <f>"二层六角形PP蜂窝板覆革汽车顶板"</f>
        <v>二层六角形PP蜂窝板覆革汽车顶板</v>
      </c>
      <c r="C1463" s="1" t="str">
        <f t="shared" si="724"/>
        <v>实用新型</v>
      </c>
      <c r="D1463" s="1" t="str">
        <f t="shared" si="725"/>
        <v>授权</v>
      </c>
      <c r="E1463" s="1" t="str">
        <f>"CN202222599496.1"</f>
        <v>CN202222599496.1</v>
      </c>
      <c r="F1463" s="1" t="str">
        <f>"2022-09-28"</f>
        <v>2022-09-28</v>
      </c>
      <c r="G1463" s="1" t="str">
        <f>"CN218085735U"</f>
        <v>CN218085735U</v>
      </c>
      <c r="H1463" s="1" t="str">
        <f>"2022-12-20"</f>
        <v>2022-12-20</v>
      </c>
      <c r="I1463" s="1" t="str">
        <f t="shared" si="717"/>
        <v>韩松年</v>
      </c>
      <c r="J1463" s="1" t="str">
        <f t="shared" si="718"/>
        <v>天津富松汽车零部件有限公司</v>
      </c>
    </row>
    <row r="1464" spans="1:10">
      <c r="A1464" s="1" t="str">
        <f t="shared" si="715"/>
        <v>天津富松汽车零部件有限公司</v>
      </c>
      <c r="B1464" s="1" t="str">
        <f>"一种汽车用PP蜂窝板行李箱盖板针刺标识用工装"</f>
        <v>一种汽车用PP蜂窝板行李箱盖板针刺标识用工装</v>
      </c>
      <c r="C1464" s="1" t="str">
        <f t="shared" si="724"/>
        <v>实用新型</v>
      </c>
      <c r="D1464" s="1" t="str">
        <f t="shared" si="725"/>
        <v>授权</v>
      </c>
      <c r="E1464" s="1" t="str">
        <f>"CN202222435746.8"</f>
        <v>CN202222435746.8</v>
      </c>
      <c r="F1464" s="1" t="str">
        <f>"2022-09-13"</f>
        <v>2022-09-13</v>
      </c>
      <c r="G1464" s="1" t="str">
        <f>"CN218079860U"</f>
        <v>CN218079860U</v>
      </c>
      <c r="H1464" s="1" t="str">
        <f>"2022-12-20"</f>
        <v>2022-12-20</v>
      </c>
      <c r="I1464" s="1" t="str">
        <f t="shared" si="717"/>
        <v>韩松年</v>
      </c>
      <c r="J1464" s="1" t="str">
        <f t="shared" si="718"/>
        <v>天津富松汽车零部件有限公司</v>
      </c>
    </row>
    <row r="1465" spans="1:10">
      <c r="A1465" s="1" t="str">
        <f t="shared" si="715"/>
        <v>天津富松汽车零部件有限公司</v>
      </c>
      <c r="B1465" s="1" t="str">
        <f>"一种汽车用行李箱盖板内圆角带子封边工装"</f>
        <v>一种汽车用行李箱盖板内圆角带子封边工装</v>
      </c>
      <c r="C1465" s="1" t="str">
        <f t="shared" si="724"/>
        <v>实用新型</v>
      </c>
      <c r="D1465" s="1" t="str">
        <f t="shared" si="725"/>
        <v>授权</v>
      </c>
      <c r="E1465" s="1" t="str">
        <f>"CN202222274483.7"</f>
        <v>CN202222274483.7</v>
      </c>
      <c r="F1465" s="1" t="str">
        <f>"2022-08-29"</f>
        <v>2022-08-29</v>
      </c>
      <c r="G1465" s="1" t="str">
        <f>"CN217944373U"</f>
        <v>CN217944373U</v>
      </c>
      <c r="H1465" s="1" t="str">
        <f t="shared" ref="H1465:H1467" si="726">"2022-12-02"</f>
        <v>2022-12-02</v>
      </c>
      <c r="I1465" s="1" t="str">
        <f t="shared" si="717"/>
        <v>韩松年</v>
      </c>
      <c r="J1465" s="1" t="str">
        <f t="shared" si="718"/>
        <v>天津富松汽车零部件有限公司</v>
      </c>
    </row>
    <row r="1466" spans="1:10">
      <c r="A1466" s="1" t="str">
        <f t="shared" si="715"/>
        <v>天津富松汽车零部件有限公司</v>
      </c>
      <c r="B1466" s="1" t="str">
        <f>"PP蜂窝板汽车座椅背板"</f>
        <v>PP蜂窝板汽车座椅背板</v>
      </c>
      <c r="C1466" s="1" t="str">
        <f t="shared" si="724"/>
        <v>实用新型</v>
      </c>
      <c r="D1466" s="1" t="str">
        <f t="shared" si="725"/>
        <v>授权</v>
      </c>
      <c r="E1466" s="1" t="str">
        <f>"CN202222069869.4"</f>
        <v>CN202222069869.4</v>
      </c>
      <c r="F1466" s="1" t="str">
        <f>"2022-08-08"</f>
        <v>2022-08-08</v>
      </c>
      <c r="G1466" s="1" t="str">
        <f>"CN217944984U"</f>
        <v>CN217944984U</v>
      </c>
      <c r="H1466" s="1" t="str">
        <f t="shared" si="726"/>
        <v>2022-12-02</v>
      </c>
      <c r="I1466" s="1" t="str">
        <f t="shared" si="717"/>
        <v>韩松年</v>
      </c>
      <c r="J1466" s="1" t="str">
        <f t="shared" si="718"/>
        <v>天津富松汽车零部件有限公司</v>
      </c>
    </row>
    <row r="1467" spans="1:10">
      <c r="A1467" s="1" t="str">
        <f t="shared" si="715"/>
        <v>天津富松汽车零部件有限公司</v>
      </c>
      <c r="B1467" s="1" t="str">
        <f>"便于清理的汽车用PP蜂窝板座椅背板"</f>
        <v>便于清理的汽车用PP蜂窝板座椅背板</v>
      </c>
      <c r="C1467" s="1" t="str">
        <f t="shared" si="724"/>
        <v>实用新型</v>
      </c>
      <c r="D1467" s="1" t="str">
        <f t="shared" si="725"/>
        <v>授权</v>
      </c>
      <c r="E1467" s="1" t="str">
        <f>"CN202222384605.8"</f>
        <v>CN202222384605.8</v>
      </c>
      <c r="F1467" s="1" t="str">
        <f>"2022-09-08"</f>
        <v>2022-09-08</v>
      </c>
      <c r="G1467" s="1" t="str">
        <f>"CN217944985U"</f>
        <v>CN217944985U</v>
      </c>
      <c r="H1467" s="1" t="str">
        <f t="shared" si="726"/>
        <v>2022-12-02</v>
      </c>
      <c r="I1467" s="1" t="str">
        <f t="shared" si="717"/>
        <v>韩松年</v>
      </c>
      <c r="J1467" s="1" t="str">
        <f t="shared" si="718"/>
        <v>天津富松汽车零部件有限公司</v>
      </c>
    </row>
    <row r="1468" spans="1:10">
      <c r="A1468" s="1" t="str">
        <f t="shared" si="715"/>
        <v>天津富松汽车零部件有限公司</v>
      </c>
      <c r="B1468" s="1" t="str">
        <f>"一种带有异味吸收净化功能的汽车后备箱蜂窝板"</f>
        <v>一种带有异味吸收净化功能的汽车后备箱蜂窝板</v>
      </c>
      <c r="C1468" s="1" t="str">
        <f t="shared" si="724"/>
        <v>实用新型</v>
      </c>
      <c r="D1468" s="1" t="str">
        <f t="shared" si="725"/>
        <v>授权</v>
      </c>
      <c r="E1468" s="1" t="str">
        <f>"CN202122504775.0"</f>
        <v>CN202122504775.0</v>
      </c>
      <c r="F1468" s="1" t="str">
        <f t="shared" ref="F1468:F1471" si="727">"2021-10-18"</f>
        <v>2021-10-18</v>
      </c>
      <c r="G1468" s="1" t="str">
        <f>"CN216467630U"</f>
        <v>CN216467630U</v>
      </c>
      <c r="H1468" s="1" t="str">
        <f>"2022-05-10"</f>
        <v>2022-05-10</v>
      </c>
      <c r="I1468" s="1" t="str">
        <f t="shared" si="717"/>
        <v>韩松年</v>
      </c>
      <c r="J1468" s="1" t="str">
        <f t="shared" si="718"/>
        <v>天津富松汽车零部件有限公司</v>
      </c>
    </row>
    <row r="1469" spans="1:10">
      <c r="A1469" s="1" t="str">
        <f t="shared" si="715"/>
        <v>天津富松汽车零部件有限公司</v>
      </c>
      <c r="B1469" s="1" t="str">
        <f>"一种防潮性能良好的汽车后备箱蜂窝板"</f>
        <v>一种防潮性能良好的汽车后备箱蜂窝板</v>
      </c>
      <c r="C1469" s="1" t="str">
        <f t="shared" si="724"/>
        <v>实用新型</v>
      </c>
      <c r="D1469" s="1" t="str">
        <f t="shared" si="725"/>
        <v>授权</v>
      </c>
      <c r="E1469" s="1" t="str">
        <f>"CN202122502648.7"</f>
        <v>CN202122502648.7</v>
      </c>
      <c r="F1469" s="1" t="str">
        <f t="shared" si="727"/>
        <v>2021-10-18</v>
      </c>
      <c r="G1469" s="1" t="str">
        <f>"CN216331844U"</f>
        <v>CN216331844U</v>
      </c>
      <c r="H1469" s="1" t="str">
        <f>"2022-04-19"</f>
        <v>2022-04-19</v>
      </c>
      <c r="I1469" s="1" t="str">
        <f t="shared" si="717"/>
        <v>韩松年</v>
      </c>
      <c r="J1469" s="1" t="str">
        <f t="shared" si="718"/>
        <v>天津富松汽车零部件有限公司</v>
      </c>
    </row>
    <row r="1470" spans="1:10">
      <c r="A1470" s="1" t="str">
        <f t="shared" si="715"/>
        <v>天津富松汽车零部件有限公司</v>
      </c>
      <c r="B1470" s="1" t="str">
        <f>"一种带有支撑结构的汽车后背箱盖板"</f>
        <v>一种带有支撑结构的汽车后背箱盖板</v>
      </c>
      <c r="C1470" s="1" t="str">
        <f t="shared" si="724"/>
        <v>实用新型</v>
      </c>
      <c r="D1470" s="1" t="str">
        <f t="shared" si="725"/>
        <v>授权</v>
      </c>
      <c r="E1470" s="1" t="str">
        <f>"CN202122604267.X"</f>
        <v>CN202122604267.X</v>
      </c>
      <c r="F1470" s="1" t="str">
        <f>"2021-10-27"</f>
        <v>2021-10-27</v>
      </c>
      <c r="G1470" s="1" t="str">
        <f>"CN216331845U"</f>
        <v>CN216331845U</v>
      </c>
      <c r="H1470" s="1" t="str">
        <f>"2022-04-19"</f>
        <v>2022-04-19</v>
      </c>
      <c r="I1470" s="1" t="str">
        <f t="shared" si="717"/>
        <v>韩松年</v>
      </c>
      <c r="J1470" s="1" t="str">
        <f t="shared" si="718"/>
        <v>天津富松汽车零部件有限公司</v>
      </c>
    </row>
    <row r="1471" spans="1:10">
      <c r="A1471" s="1" t="str">
        <f t="shared" si="715"/>
        <v>天津富松汽车零部件有限公司</v>
      </c>
      <c r="B1471" s="1" t="str">
        <f>"一种折叠式汽车后备箱蜂窝板"</f>
        <v>一种折叠式汽车后备箱蜂窝板</v>
      </c>
      <c r="C1471" s="1" t="str">
        <f t="shared" si="724"/>
        <v>实用新型</v>
      </c>
      <c r="D1471" s="1" t="str">
        <f t="shared" si="725"/>
        <v>授权</v>
      </c>
      <c r="E1471" s="1" t="str">
        <f>"CN202122533403.0"</f>
        <v>CN202122533403.0</v>
      </c>
      <c r="F1471" s="1" t="str">
        <f t="shared" si="727"/>
        <v>2021-10-18</v>
      </c>
      <c r="G1471" s="1" t="str">
        <f>"CN216184886U"</f>
        <v>CN216184886U</v>
      </c>
      <c r="H1471" s="1" t="str">
        <f>"2022-04-05"</f>
        <v>2022-04-05</v>
      </c>
      <c r="I1471" s="1" t="str">
        <f t="shared" si="717"/>
        <v>韩松年</v>
      </c>
      <c r="J1471" s="1" t="str">
        <f t="shared" si="718"/>
        <v>天津富松汽车零部件有限公司</v>
      </c>
    </row>
    <row r="1472" spans="1:10">
      <c r="A1472" s="1" t="str">
        <f t="shared" si="715"/>
        <v>天津富松汽车零部件有限公司</v>
      </c>
      <c r="B1472" s="1" t="str">
        <f>"带有双面覆布的吹塑成型汽车后备箱盖板"</f>
        <v>带有双面覆布的吹塑成型汽车后备箱盖板</v>
      </c>
      <c r="C1472" s="1" t="str">
        <f t="shared" si="724"/>
        <v>实用新型</v>
      </c>
      <c r="D1472" s="1" t="str">
        <f t="shared" si="725"/>
        <v>授权</v>
      </c>
      <c r="E1472" s="1" t="str">
        <f>"CN202121016696.9"</f>
        <v>CN202121016696.9</v>
      </c>
      <c r="F1472" s="1" t="str">
        <f>"2021-05-13"</f>
        <v>2021-05-13</v>
      </c>
      <c r="G1472" s="1" t="str">
        <f>"CN215552952U"</f>
        <v>CN215552952U</v>
      </c>
      <c r="H1472" s="1" t="str">
        <f>"2022-01-18"</f>
        <v>2022-01-18</v>
      </c>
      <c r="I1472" s="1" t="str">
        <f t="shared" si="717"/>
        <v>韩松年</v>
      </c>
      <c r="J1472" s="1" t="str">
        <f t="shared" si="718"/>
        <v>天津富松汽车零部件有限公司</v>
      </c>
    </row>
    <row r="1473" spans="1:10">
      <c r="A1473" s="1" t="str">
        <f t="shared" si="715"/>
        <v>天津富松汽车零部件有限公司</v>
      </c>
      <c r="B1473" s="1" t="str">
        <f>"吹塑成型的汽车卧铺板"</f>
        <v>吹塑成型的汽车卧铺板</v>
      </c>
      <c r="C1473" s="1" t="str">
        <f t="shared" si="724"/>
        <v>实用新型</v>
      </c>
      <c r="D1473" s="1" t="str">
        <f t="shared" si="725"/>
        <v>授权</v>
      </c>
      <c r="E1473" s="1" t="str">
        <f>"CN202121413200.1"</f>
        <v>CN202121413200.1</v>
      </c>
      <c r="F1473" s="1" t="str">
        <f t="shared" ref="F1473:F1475" si="728">"2021-06-24"</f>
        <v>2021-06-24</v>
      </c>
      <c r="G1473" s="1" t="str">
        <f>"CN215284515U"</f>
        <v>CN215284515U</v>
      </c>
      <c r="H1473" s="1" t="str">
        <f>"2021-12-24"</f>
        <v>2021-12-24</v>
      </c>
      <c r="I1473" s="1" t="str">
        <f t="shared" si="717"/>
        <v>韩松年</v>
      </c>
      <c r="J1473" s="1" t="str">
        <f t="shared" si="718"/>
        <v>天津富松汽车零部件有限公司</v>
      </c>
    </row>
    <row r="1474" spans="1:10">
      <c r="A1474" s="1" t="str">
        <f t="shared" si="715"/>
        <v>天津富松汽车零部件有限公司</v>
      </c>
      <c r="B1474" s="1" t="str">
        <f>"吹塑成型的汽车底护板"</f>
        <v>吹塑成型的汽车底护板</v>
      </c>
      <c r="C1474" s="1" t="str">
        <f t="shared" si="724"/>
        <v>实用新型</v>
      </c>
      <c r="D1474" s="1" t="str">
        <f t="shared" si="725"/>
        <v>授权</v>
      </c>
      <c r="E1474" s="1" t="str">
        <f>"CN202121415942.8"</f>
        <v>CN202121415942.8</v>
      </c>
      <c r="F1474" s="1" t="str">
        <f t="shared" si="728"/>
        <v>2021-06-24</v>
      </c>
      <c r="G1474" s="1" t="str">
        <f>"CN215154383U"</f>
        <v>CN215154383U</v>
      </c>
      <c r="H1474" s="1" t="str">
        <f>"2021-12-14"</f>
        <v>2021-12-14</v>
      </c>
      <c r="I1474" s="1" t="str">
        <f t="shared" si="717"/>
        <v>韩松年</v>
      </c>
      <c r="J1474" s="1" t="str">
        <f t="shared" si="718"/>
        <v>天津富松汽车零部件有限公司</v>
      </c>
    </row>
    <row r="1475" spans="1:10">
      <c r="A1475" s="1" t="str">
        <f t="shared" si="715"/>
        <v>天津富松汽车零部件有限公司</v>
      </c>
      <c r="B1475" s="1" t="str">
        <f>"吹塑成型的汽车脚踏板"</f>
        <v>吹塑成型的汽车脚踏板</v>
      </c>
      <c r="C1475" s="1" t="str">
        <f t="shared" si="724"/>
        <v>实用新型</v>
      </c>
      <c r="D1475" s="1" t="str">
        <f t="shared" si="725"/>
        <v>授权</v>
      </c>
      <c r="E1475" s="1" t="str">
        <f>"CN202121413243.X"</f>
        <v>CN202121413243.X</v>
      </c>
      <c r="F1475" s="1" t="str">
        <f t="shared" si="728"/>
        <v>2021-06-24</v>
      </c>
      <c r="G1475" s="1" t="str">
        <f>"CN215154293U"</f>
        <v>CN215154293U</v>
      </c>
      <c r="H1475" s="1" t="str">
        <f>"2021-12-14"</f>
        <v>2021-12-14</v>
      </c>
      <c r="I1475" s="1" t="str">
        <f t="shared" si="717"/>
        <v>韩松年</v>
      </c>
      <c r="J1475" s="1" t="str">
        <f t="shared" si="718"/>
        <v>天津富松汽车零部件有限公司</v>
      </c>
    </row>
    <row r="1476" spans="1:10">
      <c r="A1476" s="1" t="str">
        <f t="shared" si="715"/>
        <v>天津富松汽车零部件有限公司</v>
      </c>
      <c r="B1476" s="1" t="str">
        <f>"一种轻质防水型汽车后备箱盖板"</f>
        <v>一种轻质防水型汽车后备箱盖板</v>
      </c>
      <c r="C1476" s="1" t="str">
        <f t="shared" si="724"/>
        <v>实用新型</v>
      </c>
      <c r="D1476" s="1" t="str">
        <f t="shared" si="725"/>
        <v>授权</v>
      </c>
      <c r="E1476" s="1" t="str">
        <f>"CN202023004767.1"</f>
        <v>CN202023004767.1</v>
      </c>
      <c r="F1476" s="1" t="str">
        <f>"2020-12-14"</f>
        <v>2020-12-14</v>
      </c>
      <c r="G1476" s="1" t="str">
        <f>"CN214138427U"</f>
        <v>CN214138427U</v>
      </c>
      <c r="H1476" s="1" t="str">
        <f t="shared" ref="H1476:H1478" si="729">"2021-09-07"</f>
        <v>2021-09-07</v>
      </c>
      <c r="I1476" s="1" t="str">
        <f t="shared" si="717"/>
        <v>韩松年</v>
      </c>
      <c r="J1476" s="1" t="str">
        <f t="shared" si="718"/>
        <v>天津富松汽车零部件有限公司</v>
      </c>
    </row>
    <row r="1477" spans="1:10">
      <c r="A1477" s="1" t="str">
        <f t="shared" si="715"/>
        <v>天津富松汽车零部件有限公司</v>
      </c>
      <c r="B1477" s="1" t="str">
        <f>"一种具有快速折叠功能的汽车后备箱盖板"</f>
        <v>一种具有快速折叠功能的汽车后备箱盖板</v>
      </c>
      <c r="C1477" s="1" t="str">
        <f t="shared" si="724"/>
        <v>实用新型</v>
      </c>
      <c r="D1477" s="1" t="str">
        <f t="shared" si="725"/>
        <v>授权</v>
      </c>
      <c r="E1477" s="1" t="str">
        <f>"CN202022679246.X"</f>
        <v>CN202022679246.X</v>
      </c>
      <c r="F1477" s="1" t="str">
        <f>"2020-11-18"</f>
        <v>2020-11-18</v>
      </c>
      <c r="G1477" s="1" t="str">
        <f>"CN214138425U"</f>
        <v>CN214138425U</v>
      </c>
      <c r="H1477" s="1" t="str">
        <f t="shared" si="729"/>
        <v>2021-09-07</v>
      </c>
      <c r="I1477" s="1" t="str">
        <f t="shared" si="717"/>
        <v>韩松年</v>
      </c>
      <c r="J1477" s="1" t="str">
        <f t="shared" si="718"/>
        <v>天津富松汽车零部件有限公司</v>
      </c>
    </row>
    <row r="1478" spans="1:10">
      <c r="A1478" s="1" t="str">
        <f t="shared" si="715"/>
        <v>天津富松汽车零部件有限公司</v>
      </c>
      <c r="B1478" s="1" t="str">
        <f>"一种便于调节的汽车后备箱盖板"</f>
        <v>一种便于调节的汽车后备箱盖板</v>
      </c>
      <c r="C1478" s="1" t="str">
        <f t="shared" si="724"/>
        <v>实用新型</v>
      </c>
      <c r="D1478" s="1" t="str">
        <f t="shared" si="725"/>
        <v>授权</v>
      </c>
      <c r="E1478" s="1" t="str">
        <f>"CN202022790577.0"</f>
        <v>CN202022790577.0</v>
      </c>
      <c r="F1478" s="1" t="str">
        <f>"2020-11-27"</f>
        <v>2020-11-27</v>
      </c>
      <c r="G1478" s="1" t="str">
        <f>"CN214138426U"</f>
        <v>CN214138426U</v>
      </c>
      <c r="H1478" s="1" t="str">
        <f t="shared" si="729"/>
        <v>2021-09-07</v>
      </c>
      <c r="I1478" s="1" t="str">
        <f t="shared" si="717"/>
        <v>韩松年</v>
      </c>
      <c r="J1478" s="1" t="str">
        <f t="shared" si="718"/>
        <v>天津富松汽车零部件有限公司</v>
      </c>
    </row>
    <row r="1479" spans="1:10">
      <c r="A1479" s="1" t="str">
        <f t="shared" si="715"/>
        <v>天津富松汽车零部件有限公司</v>
      </c>
      <c r="B1479" s="1" t="str">
        <f>"一种便于清理的汽车后备箱用蜂窝板"</f>
        <v>一种便于清理的汽车后备箱用蜂窝板</v>
      </c>
      <c r="C1479" s="1" t="str">
        <f t="shared" si="724"/>
        <v>实用新型</v>
      </c>
      <c r="D1479" s="1" t="str">
        <f t="shared" si="725"/>
        <v>授权</v>
      </c>
      <c r="E1479" s="1" t="str">
        <f>"CN202022743626.5"</f>
        <v>CN202022743626.5</v>
      </c>
      <c r="F1479" s="1" t="str">
        <f>"2020-11-24"</f>
        <v>2020-11-24</v>
      </c>
      <c r="G1479" s="1" t="str">
        <f>"CN213948293U"</f>
        <v>CN213948293U</v>
      </c>
      <c r="H1479" s="1" t="str">
        <f t="shared" ref="H1479:H1482" si="730">"2021-08-13"</f>
        <v>2021-08-13</v>
      </c>
      <c r="I1479" s="1" t="str">
        <f t="shared" si="717"/>
        <v>韩松年</v>
      </c>
      <c r="J1479" s="1" t="str">
        <f t="shared" si="718"/>
        <v>天津富松汽车零部件有限公司</v>
      </c>
    </row>
    <row r="1480" spans="1:10">
      <c r="A1480" s="1" t="str">
        <f t="shared" si="715"/>
        <v>天津富松汽车零部件有限公司</v>
      </c>
      <c r="B1480" s="1" t="str">
        <f>"一次热成型汽车内饰六角PP蜂窝板材加工用蜂窝辊模具"</f>
        <v>一次热成型汽车内饰六角PP蜂窝板材加工用蜂窝辊模具</v>
      </c>
      <c r="C1480" s="1" t="str">
        <f t="shared" si="724"/>
        <v>实用新型</v>
      </c>
      <c r="D1480" s="1" t="str">
        <f t="shared" si="725"/>
        <v>授权</v>
      </c>
      <c r="E1480" s="1" t="str">
        <f>"CN202022609533.3"</f>
        <v>CN202022609533.3</v>
      </c>
      <c r="F1480" s="1" t="str">
        <f t="shared" ref="F1480:F1483" si="731">"2020-11-12"</f>
        <v>2020-11-12</v>
      </c>
      <c r="G1480" s="1" t="str">
        <f>"CN213947509U"</f>
        <v>CN213947509U</v>
      </c>
      <c r="H1480" s="1" t="str">
        <f t="shared" si="730"/>
        <v>2021-08-13</v>
      </c>
      <c r="I1480" s="1" t="str">
        <f t="shared" si="717"/>
        <v>韩松年</v>
      </c>
      <c r="J1480" s="1" t="str">
        <f t="shared" si="718"/>
        <v>天津富松汽车零部件有限公司</v>
      </c>
    </row>
    <row r="1481" spans="1:10">
      <c r="A1481" s="1" t="str">
        <f t="shared" si="715"/>
        <v>天津富松汽车零部件有限公司</v>
      </c>
      <c r="B1481" s="1" t="str">
        <f>"一次热成型汽车内饰用六角形PP蜂窝板材"</f>
        <v>一次热成型汽车内饰用六角形PP蜂窝板材</v>
      </c>
      <c r="C1481" s="1" t="str">
        <f t="shared" si="724"/>
        <v>实用新型</v>
      </c>
      <c r="D1481" s="1" t="str">
        <f t="shared" si="725"/>
        <v>授权</v>
      </c>
      <c r="E1481" s="1" t="str">
        <f>"CN202022612894.3"</f>
        <v>CN202022612894.3</v>
      </c>
      <c r="F1481" s="1" t="str">
        <f t="shared" si="731"/>
        <v>2020-11-12</v>
      </c>
      <c r="G1481" s="1" t="str">
        <f>"CN213947624U"</f>
        <v>CN213947624U</v>
      </c>
      <c r="H1481" s="1" t="str">
        <f t="shared" si="730"/>
        <v>2021-08-13</v>
      </c>
      <c r="I1481" s="1" t="str">
        <f t="shared" si="717"/>
        <v>韩松年</v>
      </c>
      <c r="J1481" s="1" t="str">
        <f t="shared" si="718"/>
        <v>天津富松汽车零部件有限公司</v>
      </c>
    </row>
    <row r="1482" spans="1:10">
      <c r="A1482" s="1" t="str">
        <f t="shared" si="715"/>
        <v>天津富松汽车零部件有限公司</v>
      </c>
      <c r="B1482" s="1" t="str">
        <f>"一种带有除尘功能的汽车后备箱板盖"</f>
        <v>一种带有除尘功能的汽车后备箱板盖</v>
      </c>
      <c r="C1482" s="1" t="str">
        <f t="shared" si="724"/>
        <v>实用新型</v>
      </c>
      <c r="D1482" s="1" t="str">
        <f t="shared" si="725"/>
        <v>授权</v>
      </c>
      <c r="E1482" s="1" t="str">
        <f>"CN202022888427.3"</f>
        <v>CN202022888427.3</v>
      </c>
      <c r="F1482" s="1" t="str">
        <f>"2020-12-04"</f>
        <v>2020-12-04</v>
      </c>
      <c r="G1482" s="1" t="str">
        <f>"CN213948330U"</f>
        <v>CN213948330U</v>
      </c>
      <c r="H1482" s="1" t="str">
        <f t="shared" si="730"/>
        <v>2021-08-13</v>
      </c>
      <c r="I1482" s="1" t="str">
        <f t="shared" si="717"/>
        <v>韩松年</v>
      </c>
      <c r="J1482" s="1" t="str">
        <f t="shared" si="718"/>
        <v>天津富松汽车零部件有限公司</v>
      </c>
    </row>
    <row r="1483" spans="1:10">
      <c r="A1483" s="1" t="str">
        <f t="shared" si="715"/>
        <v>天津富松汽车零部件有限公司</v>
      </c>
      <c r="B1483" s="1" t="str">
        <f>"一种具备高抗压性的汽车后备箱盖板"</f>
        <v>一种具备高抗压性的汽车后备箱盖板</v>
      </c>
      <c r="C1483" s="1" t="str">
        <f t="shared" si="724"/>
        <v>实用新型</v>
      </c>
      <c r="D1483" s="1" t="str">
        <f t="shared" si="725"/>
        <v>授权</v>
      </c>
      <c r="E1483" s="1" t="str">
        <f>"CN202022619417.X"</f>
        <v>CN202022619417.X</v>
      </c>
      <c r="F1483" s="1" t="str">
        <f t="shared" si="731"/>
        <v>2020-11-12</v>
      </c>
      <c r="G1483" s="1" t="str">
        <f>"CN213799459U"</f>
        <v>CN213799459U</v>
      </c>
      <c r="H1483" s="1" t="str">
        <f t="shared" ref="H1483:H1485" si="732">"2021-07-27"</f>
        <v>2021-07-27</v>
      </c>
      <c r="I1483" s="1" t="str">
        <f t="shared" si="717"/>
        <v>韩松年</v>
      </c>
      <c r="J1483" s="1" t="str">
        <f t="shared" si="718"/>
        <v>天津富松汽车零部件有限公司</v>
      </c>
    </row>
    <row r="1484" spans="1:10">
      <c r="A1484" s="1" t="str">
        <f t="shared" si="715"/>
        <v>天津富松汽车零部件有限公司</v>
      </c>
      <c r="B1484" s="1" t="str">
        <f>"一种便于拆卸的折叠式汽车后盖板"</f>
        <v>一种便于拆卸的折叠式汽车后盖板</v>
      </c>
      <c r="C1484" s="1" t="str">
        <f t="shared" si="724"/>
        <v>实用新型</v>
      </c>
      <c r="D1484" s="1" t="str">
        <f t="shared" si="725"/>
        <v>授权</v>
      </c>
      <c r="E1484" s="1" t="str">
        <f>"CN202022641126.0"</f>
        <v>CN202022641126.0</v>
      </c>
      <c r="F1484" s="1" t="str">
        <f>"2020-11-16"</f>
        <v>2020-11-16</v>
      </c>
      <c r="G1484" s="1" t="str">
        <f>"CN213799201U"</f>
        <v>CN213799201U</v>
      </c>
      <c r="H1484" s="1" t="str">
        <f t="shared" si="732"/>
        <v>2021-07-27</v>
      </c>
      <c r="I1484" s="1" t="str">
        <f t="shared" si="717"/>
        <v>韩松年</v>
      </c>
      <c r="J1484" s="1" t="str">
        <f t="shared" si="718"/>
        <v>天津富松汽车零部件有限公司</v>
      </c>
    </row>
    <row r="1485" spans="1:10">
      <c r="A1485" s="1" t="str">
        <f t="shared" si="715"/>
        <v>天津富松汽车零部件有限公司</v>
      </c>
      <c r="B1485" s="1" t="str">
        <f>"一种耐热耐腐蚀的汽车后备箱盖板"</f>
        <v>一种耐热耐腐蚀的汽车后备箱盖板</v>
      </c>
      <c r="C1485" s="1" t="str">
        <f t="shared" si="724"/>
        <v>实用新型</v>
      </c>
      <c r="D1485" s="1" t="str">
        <f t="shared" si="725"/>
        <v>授权</v>
      </c>
      <c r="E1485" s="1" t="str">
        <f>"CN202022609561.5"</f>
        <v>CN202022609561.5</v>
      </c>
      <c r="F1485" s="1" t="str">
        <f>"2020-11-12"</f>
        <v>2020-11-12</v>
      </c>
      <c r="G1485" s="1" t="str">
        <f>"CN213799458U"</f>
        <v>CN213799458U</v>
      </c>
      <c r="H1485" s="1" t="str">
        <f t="shared" si="732"/>
        <v>2021-07-27</v>
      </c>
      <c r="I1485" s="1" t="str">
        <f t="shared" si="717"/>
        <v>韩松年</v>
      </c>
      <c r="J1485" s="1" t="str">
        <f t="shared" si="718"/>
        <v>天津富松汽车零部件有限公司</v>
      </c>
    </row>
    <row r="1486" spans="1:10">
      <c r="A1486" s="1" t="str">
        <f t="shared" si="715"/>
        <v>天津富松汽车零部件有限公司</v>
      </c>
      <c r="B1486" s="1" t="str">
        <f>"多层板材边缘包边方法"</f>
        <v>多层板材边缘包边方法</v>
      </c>
      <c r="C1486" s="1" t="str">
        <f>"发明授权"</f>
        <v>发明授权</v>
      </c>
      <c r="D1486" s="1" t="str">
        <f t="shared" si="725"/>
        <v>授权</v>
      </c>
      <c r="E1486" s="1" t="str">
        <f>"CN201711056116.7"</f>
        <v>CN201711056116.7</v>
      </c>
      <c r="F1486" s="1" t="str">
        <f>"2017-11-01"</f>
        <v>2017-11-01</v>
      </c>
      <c r="G1486" s="1" t="str">
        <f>"CN107866965B"</f>
        <v>CN107866965B</v>
      </c>
      <c r="H1486" s="1" t="str">
        <f>"2021-04-09"</f>
        <v>2021-04-09</v>
      </c>
      <c r="I1486" s="1" t="str">
        <f t="shared" si="717"/>
        <v>韩松年</v>
      </c>
      <c r="J1486" s="1" t="str">
        <f t="shared" si="718"/>
        <v>天津富松汽车零部件有限公司</v>
      </c>
    </row>
    <row r="1487" spans="1:10">
      <c r="A1487" s="1" t="str">
        <f t="shared" si="715"/>
        <v>天津富松汽车零部件有限公司</v>
      </c>
      <c r="B1487" s="1" t="str">
        <f>"一种低速电动汽车后备箱盖板"</f>
        <v>一种低速电动汽车后备箱盖板</v>
      </c>
      <c r="C1487" s="1" t="str">
        <f t="shared" ref="C1487:C1506" si="733">"实用新型"</f>
        <v>实用新型</v>
      </c>
      <c r="D1487" s="1" t="str">
        <f t="shared" si="725"/>
        <v>授权</v>
      </c>
      <c r="E1487" s="1" t="str">
        <f>"CN201922302373.5"</f>
        <v>CN201922302373.5</v>
      </c>
      <c r="F1487" s="1" t="str">
        <f>"2019-12-19"</f>
        <v>2019-12-19</v>
      </c>
      <c r="G1487" s="1" t="str">
        <f>"CN212073915U"</f>
        <v>CN212073915U</v>
      </c>
      <c r="H1487" s="1" t="str">
        <f>"2020-12-04"</f>
        <v>2020-12-04</v>
      </c>
      <c r="I1487" s="1" t="str">
        <f t="shared" si="717"/>
        <v>韩松年</v>
      </c>
      <c r="J1487" s="1" t="str">
        <f t="shared" si="718"/>
        <v>天津富松汽车零部件有限公司</v>
      </c>
    </row>
    <row r="1488" spans="1:10">
      <c r="A1488" s="1" t="str">
        <f t="shared" si="715"/>
        <v>天津富松汽车零部件有限公司</v>
      </c>
      <c r="B1488" s="1" t="str">
        <f>"拆卸方便的后备箱盖板"</f>
        <v>拆卸方便的后备箱盖板</v>
      </c>
      <c r="C1488" s="1" t="str">
        <f t="shared" si="733"/>
        <v>实用新型</v>
      </c>
      <c r="D1488" s="1" t="str">
        <f t="shared" si="725"/>
        <v>授权</v>
      </c>
      <c r="E1488" s="1" t="str">
        <f>"CN202020017534.6"</f>
        <v>CN202020017534.6</v>
      </c>
      <c r="F1488" s="1" t="str">
        <f>"2020-01-06"</f>
        <v>2020-01-06</v>
      </c>
      <c r="G1488" s="1" t="str">
        <f>"CN211684877U"</f>
        <v>CN211684877U</v>
      </c>
      <c r="H1488" s="1" t="str">
        <f>"2020-10-16"</f>
        <v>2020-10-16</v>
      </c>
      <c r="I1488" s="1" t="str">
        <f t="shared" si="717"/>
        <v>韩松年</v>
      </c>
      <c r="J1488" s="1" t="str">
        <f t="shared" si="718"/>
        <v>天津富松汽车零部件有限公司</v>
      </c>
    </row>
    <row r="1489" spans="1:10">
      <c r="A1489" s="1" t="str">
        <f t="shared" si="715"/>
        <v>天津富松汽车零部件有限公司</v>
      </c>
      <c r="B1489" s="1" t="str">
        <f>"汽车后备箱盖板用定型工装"</f>
        <v>汽车后备箱盖板用定型工装</v>
      </c>
      <c r="C1489" s="1" t="str">
        <f t="shared" si="733"/>
        <v>实用新型</v>
      </c>
      <c r="D1489" s="1" t="str">
        <f t="shared" si="725"/>
        <v>授权</v>
      </c>
      <c r="E1489" s="1" t="str">
        <f>"CN202020017088.9"</f>
        <v>CN202020017088.9</v>
      </c>
      <c r="F1489" s="1" t="str">
        <f>"2020-01-06"</f>
        <v>2020-01-06</v>
      </c>
      <c r="G1489" s="1" t="str">
        <f>"CN211683196U"</f>
        <v>CN211683196U</v>
      </c>
      <c r="H1489" s="1" t="str">
        <f>"2020-10-16"</f>
        <v>2020-10-16</v>
      </c>
      <c r="I1489" s="1" t="str">
        <f t="shared" si="717"/>
        <v>韩松年</v>
      </c>
      <c r="J1489" s="1" t="str">
        <f t="shared" si="718"/>
        <v>天津富松汽车零部件有限公司</v>
      </c>
    </row>
    <row r="1490" spans="1:10">
      <c r="A1490" s="1" t="str">
        <f t="shared" si="715"/>
        <v>天津富松汽车零部件有限公司</v>
      </c>
      <c r="B1490" s="1" t="str">
        <f>"汽车后备箱蜂窝板自动模切机用上料装置"</f>
        <v>汽车后备箱蜂窝板自动模切机用上料装置</v>
      </c>
      <c r="C1490" s="1" t="str">
        <f t="shared" si="733"/>
        <v>实用新型</v>
      </c>
      <c r="D1490" s="1" t="str">
        <f t="shared" si="725"/>
        <v>授权</v>
      </c>
      <c r="E1490" s="1" t="str">
        <f>"CN201922475325.6"</f>
        <v>CN201922475325.6</v>
      </c>
      <c r="F1490" s="1" t="str">
        <f>"2019-12-31"</f>
        <v>2019-12-31</v>
      </c>
      <c r="G1490" s="1" t="str">
        <f>"CN211496144U"</f>
        <v>CN211496144U</v>
      </c>
      <c r="H1490" s="1" t="str">
        <f t="shared" ref="H1490:H1497" si="734">"2020-09-15"</f>
        <v>2020-09-15</v>
      </c>
      <c r="I1490" s="1" t="str">
        <f t="shared" si="717"/>
        <v>韩松年</v>
      </c>
      <c r="J1490" s="1" t="str">
        <f t="shared" si="718"/>
        <v>天津富松汽车零部件有限公司</v>
      </c>
    </row>
    <row r="1491" spans="1:10">
      <c r="A1491" s="1" t="str">
        <f t="shared" si="715"/>
        <v>天津富松汽车零部件有限公司</v>
      </c>
      <c r="B1491" s="1" t="str">
        <f>"汽车后备箱蜂窝板全自动模切机用模切机构"</f>
        <v>汽车后备箱蜂窝板全自动模切机用模切机构</v>
      </c>
      <c r="C1491" s="1" t="str">
        <f t="shared" si="733"/>
        <v>实用新型</v>
      </c>
      <c r="D1491" s="1" t="str">
        <f t="shared" si="725"/>
        <v>授权</v>
      </c>
      <c r="E1491" s="1" t="str">
        <f>"CN201922344443.3"</f>
        <v>CN201922344443.3</v>
      </c>
      <c r="F1491" s="1" t="str">
        <f>"2019-12-24"</f>
        <v>2019-12-24</v>
      </c>
      <c r="G1491" s="1" t="str">
        <f>"CN211491904U"</f>
        <v>CN211491904U</v>
      </c>
      <c r="H1491" s="1" t="str">
        <f t="shared" si="734"/>
        <v>2020-09-15</v>
      </c>
      <c r="I1491" s="1" t="str">
        <f t="shared" si="717"/>
        <v>韩松年</v>
      </c>
      <c r="J1491" s="1" t="str">
        <f t="shared" si="718"/>
        <v>天津富松汽车零部件有限公司</v>
      </c>
    </row>
    <row r="1492" spans="1:10">
      <c r="A1492" s="1" t="str">
        <f t="shared" si="715"/>
        <v>天津富松汽车零部件有限公司</v>
      </c>
      <c r="B1492" s="1" t="str">
        <f>"下拉式遮阳板"</f>
        <v>下拉式遮阳板</v>
      </c>
      <c r="C1492" s="1" t="str">
        <f t="shared" si="733"/>
        <v>实用新型</v>
      </c>
      <c r="D1492" s="1" t="str">
        <f t="shared" si="725"/>
        <v>授权</v>
      </c>
      <c r="E1492" s="1" t="str">
        <f>"CN201922414375.3"</f>
        <v>CN201922414375.3</v>
      </c>
      <c r="F1492" s="1" t="str">
        <f>"2019-12-29"</f>
        <v>2019-12-29</v>
      </c>
      <c r="G1492" s="1" t="str">
        <f>"CN211493616U"</f>
        <v>CN211493616U</v>
      </c>
      <c r="H1492" s="1" t="str">
        <f t="shared" si="734"/>
        <v>2020-09-15</v>
      </c>
      <c r="I1492" s="1" t="str">
        <f t="shared" si="717"/>
        <v>韩松年</v>
      </c>
      <c r="J1492" s="1" t="str">
        <f t="shared" si="718"/>
        <v>天津富松汽车零部件有限公司</v>
      </c>
    </row>
    <row r="1493" spans="1:10">
      <c r="A1493" s="1" t="str">
        <f t="shared" si="715"/>
        <v>天津富松汽车零部件有限公司</v>
      </c>
      <c r="B1493" s="1" t="str">
        <f>"汽车后备箱玻纤板冲裁加工用辅助装置"</f>
        <v>汽车后备箱玻纤板冲裁加工用辅助装置</v>
      </c>
      <c r="C1493" s="1" t="str">
        <f t="shared" si="733"/>
        <v>实用新型</v>
      </c>
      <c r="D1493" s="1" t="str">
        <f t="shared" si="725"/>
        <v>授权</v>
      </c>
      <c r="E1493" s="1" t="str">
        <f>"CN201922342675.5"</f>
        <v>CN201922342675.5</v>
      </c>
      <c r="F1493" s="1" t="str">
        <f>"2019-12-24"</f>
        <v>2019-12-24</v>
      </c>
      <c r="G1493" s="1" t="str">
        <f>"CN211491891U"</f>
        <v>CN211491891U</v>
      </c>
      <c r="H1493" s="1" t="str">
        <f t="shared" si="734"/>
        <v>2020-09-15</v>
      </c>
      <c r="I1493" s="1" t="str">
        <f t="shared" si="717"/>
        <v>韩松年</v>
      </c>
      <c r="J1493" s="1" t="str">
        <f t="shared" si="718"/>
        <v>天津富松汽车零部件有限公司</v>
      </c>
    </row>
    <row r="1494" spans="1:10">
      <c r="A1494" s="1" t="str">
        <f t="shared" si="715"/>
        <v>天津富松汽车零部件有限公司</v>
      </c>
      <c r="B1494" s="1" t="str">
        <f>"可调节汽车遮阳板"</f>
        <v>可调节汽车遮阳板</v>
      </c>
      <c r="C1494" s="1" t="str">
        <f t="shared" si="733"/>
        <v>实用新型</v>
      </c>
      <c r="D1494" s="1" t="str">
        <f t="shared" si="725"/>
        <v>授权</v>
      </c>
      <c r="E1494" s="1" t="str">
        <f>"CN201922448772.2"</f>
        <v>CN201922448772.2</v>
      </c>
      <c r="F1494" s="1" t="str">
        <f>"2019-12-30"</f>
        <v>2019-12-30</v>
      </c>
      <c r="G1494" s="1" t="str">
        <f>"CN211493617U"</f>
        <v>CN211493617U</v>
      </c>
      <c r="H1494" s="1" t="str">
        <f t="shared" si="734"/>
        <v>2020-09-15</v>
      </c>
      <c r="I1494" s="1" t="str">
        <f t="shared" si="717"/>
        <v>韩松年</v>
      </c>
      <c r="J1494" s="1" t="str">
        <f t="shared" si="718"/>
        <v>天津富松汽车零部件有限公司</v>
      </c>
    </row>
    <row r="1495" spans="1:10">
      <c r="A1495" s="1" t="str">
        <f t="shared" si="715"/>
        <v>天津富松汽车零部件有限公司</v>
      </c>
      <c r="B1495" s="1" t="str">
        <f>"减震防滑的汽车备胎盖板"</f>
        <v>减震防滑的汽车备胎盖板</v>
      </c>
      <c r="C1495" s="1" t="str">
        <f t="shared" si="733"/>
        <v>实用新型</v>
      </c>
      <c r="D1495" s="1" t="str">
        <f t="shared" si="725"/>
        <v>授权</v>
      </c>
      <c r="E1495" s="1" t="str">
        <f>"CN201922439528.X"</f>
        <v>CN201922439528.X</v>
      </c>
      <c r="F1495" s="1" t="str">
        <f>"2019-12-30"</f>
        <v>2019-12-30</v>
      </c>
      <c r="G1495" s="1" t="str">
        <f>"CN211493916U"</f>
        <v>CN211493916U</v>
      </c>
      <c r="H1495" s="1" t="str">
        <f t="shared" si="734"/>
        <v>2020-09-15</v>
      </c>
      <c r="I1495" s="1" t="str">
        <f t="shared" si="717"/>
        <v>韩松年</v>
      </c>
      <c r="J1495" s="1" t="str">
        <f t="shared" si="718"/>
        <v>天津富松汽车零部件有限公司</v>
      </c>
    </row>
    <row r="1496" spans="1:10">
      <c r="A1496" s="1" t="str">
        <f t="shared" si="715"/>
        <v>天津富松汽车零部件有限公司</v>
      </c>
      <c r="B1496" s="1" t="str">
        <f>"多功能汽车用遮阳板"</f>
        <v>多功能汽车用遮阳板</v>
      </c>
      <c r="C1496" s="1" t="str">
        <f t="shared" si="733"/>
        <v>实用新型</v>
      </c>
      <c r="D1496" s="1" t="str">
        <f t="shared" si="725"/>
        <v>授权</v>
      </c>
      <c r="E1496" s="1" t="str">
        <f>"CN201922294859.9"</f>
        <v>CN201922294859.9</v>
      </c>
      <c r="F1496" s="1" t="str">
        <f>"2019-12-19"</f>
        <v>2019-12-19</v>
      </c>
      <c r="G1496" s="1" t="str">
        <f>"CN211493615U"</f>
        <v>CN211493615U</v>
      </c>
      <c r="H1496" s="1" t="str">
        <f t="shared" si="734"/>
        <v>2020-09-15</v>
      </c>
      <c r="I1496" s="1" t="str">
        <f t="shared" si="717"/>
        <v>韩松年</v>
      </c>
      <c r="J1496" s="1" t="str">
        <f t="shared" si="718"/>
        <v>天津富松汽车零部件有限公司</v>
      </c>
    </row>
    <row r="1497" spans="1:10">
      <c r="A1497" s="1" t="str">
        <f t="shared" si="715"/>
        <v>天津富松汽车零部件有限公司</v>
      </c>
      <c r="B1497" s="1" t="str">
        <f>"带有压花皮革的后备箱盖板"</f>
        <v>带有压花皮革的后备箱盖板</v>
      </c>
      <c r="C1497" s="1" t="str">
        <f t="shared" si="733"/>
        <v>实用新型</v>
      </c>
      <c r="D1497" s="1" t="str">
        <f t="shared" si="725"/>
        <v>授权</v>
      </c>
      <c r="E1497" s="1" t="str">
        <f>"CN201922487125.2"</f>
        <v>CN201922487125.2</v>
      </c>
      <c r="F1497" s="1" t="str">
        <f>"2019-12-31"</f>
        <v>2019-12-31</v>
      </c>
      <c r="G1497" s="1" t="str">
        <f>"CN211493917U"</f>
        <v>CN211493917U</v>
      </c>
      <c r="H1497" s="1" t="str">
        <f t="shared" si="734"/>
        <v>2020-09-15</v>
      </c>
      <c r="I1497" s="1" t="str">
        <f t="shared" si="717"/>
        <v>韩松年</v>
      </c>
      <c r="J1497" s="1" t="str">
        <f t="shared" si="718"/>
        <v>天津富松汽车零部件有限公司</v>
      </c>
    </row>
    <row r="1498" spans="1:10">
      <c r="A1498" s="1" t="str">
        <f t="shared" si="715"/>
        <v>天津富松汽车零部件有限公司</v>
      </c>
      <c r="B1498" s="1" t="str">
        <f>"一种新型汽车后备箱用蜂窝板"</f>
        <v>一种新型汽车后备箱用蜂窝板</v>
      </c>
      <c r="C1498" s="1" t="str">
        <f t="shared" si="733"/>
        <v>实用新型</v>
      </c>
      <c r="D1498" s="1" t="str">
        <f t="shared" ref="D1498:D1506" si="735">"未缴年费专利权终止"</f>
        <v>未缴年费专利权终止</v>
      </c>
      <c r="E1498" s="1" t="str">
        <f>"CN201822153957.6"</f>
        <v>CN201822153957.6</v>
      </c>
      <c r="F1498" s="1" t="str">
        <f>"2018-12-20"</f>
        <v>2018-12-20</v>
      </c>
      <c r="G1498" s="1" t="str">
        <f>"CN210437115U"</f>
        <v>CN210437115U</v>
      </c>
      <c r="H1498" s="1" t="str">
        <f>"2020-05-01"</f>
        <v>2020-05-01</v>
      </c>
      <c r="I1498" s="1" t="str">
        <f t="shared" si="717"/>
        <v>韩松年</v>
      </c>
      <c r="J1498" s="1" t="str">
        <f t="shared" si="718"/>
        <v>天津富松汽车零部件有限公司</v>
      </c>
    </row>
    <row r="1499" spans="1:10">
      <c r="A1499" s="1" t="str">
        <f t="shared" si="715"/>
        <v>天津富松汽车零部件有限公司</v>
      </c>
      <c r="B1499" s="1" t="str">
        <f>"便于折叠的汽车吹塑后备箱盖板"</f>
        <v>便于折叠的汽车吹塑后备箱盖板</v>
      </c>
      <c r="C1499" s="1" t="str">
        <f t="shared" si="733"/>
        <v>实用新型</v>
      </c>
      <c r="D1499" s="1" t="str">
        <f>"授权"</f>
        <v>授权</v>
      </c>
      <c r="E1499" s="1" t="str">
        <f>"CN201822153958.0"</f>
        <v>CN201822153958.0</v>
      </c>
      <c r="F1499" s="1" t="str">
        <f>"2018-12-20"</f>
        <v>2018-12-20</v>
      </c>
      <c r="G1499" s="1" t="str">
        <f>"CN209987861U"</f>
        <v>CN209987861U</v>
      </c>
      <c r="H1499" s="1" t="str">
        <f>"2020-01-24"</f>
        <v>2020-01-24</v>
      </c>
      <c r="I1499" s="1" t="str">
        <f t="shared" si="717"/>
        <v>韩松年</v>
      </c>
      <c r="J1499" s="1" t="str">
        <f t="shared" si="718"/>
        <v>天津富松汽车零部件有限公司</v>
      </c>
    </row>
    <row r="1500" spans="1:10">
      <c r="A1500" s="1" t="str">
        <f t="shared" si="715"/>
        <v>天津富松汽车零部件有限公司</v>
      </c>
      <c r="B1500" s="1" t="str">
        <f>"一种防火型汽车后备箱盖板"</f>
        <v>一种防火型汽车后备箱盖板</v>
      </c>
      <c r="C1500" s="1" t="str">
        <f t="shared" si="733"/>
        <v>实用新型</v>
      </c>
      <c r="D1500" s="1" t="str">
        <f t="shared" si="735"/>
        <v>未缴年费专利权终止</v>
      </c>
      <c r="E1500" s="1" t="str">
        <f>"CN201822172099.X"</f>
        <v>CN201822172099.X</v>
      </c>
      <c r="F1500" s="1" t="str">
        <f t="shared" ref="F1500:F1503" si="736">"2018-12-24"</f>
        <v>2018-12-24</v>
      </c>
      <c r="G1500" s="1" t="str">
        <f>"CN209987858U"</f>
        <v>CN209987858U</v>
      </c>
      <c r="H1500" s="1" t="str">
        <f>"2020-01-24"</f>
        <v>2020-01-24</v>
      </c>
      <c r="I1500" s="1" t="str">
        <f t="shared" si="717"/>
        <v>韩松年</v>
      </c>
      <c r="J1500" s="1" t="str">
        <f t="shared" si="718"/>
        <v>天津富松汽车零部件有限公司</v>
      </c>
    </row>
    <row r="1501" spans="1:10">
      <c r="A1501" s="1" t="str">
        <f t="shared" si="715"/>
        <v>天津富松汽车零部件有限公司</v>
      </c>
      <c r="B1501" s="1" t="str">
        <f>"一种便于清理的汽车后备箱用蜂窝板"</f>
        <v>一种便于清理的汽车后备箱用蜂窝板</v>
      </c>
      <c r="C1501" s="1" t="str">
        <f t="shared" si="733"/>
        <v>实用新型</v>
      </c>
      <c r="D1501" s="1" t="str">
        <f>"授权"</f>
        <v>授权</v>
      </c>
      <c r="E1501" s="1" t="str">
        <f>"CN201822240254.7"</f>
        <v>CN201822240254.7</v>
      </c>
      <c r="F1501" s="1" t="str">
        <f>"2018-12-27"</f>
        <v>2018-12-27</v>
      </c>
      <c r="G1501" s="1" t="str">
        <f>"CN209833547U"</f>
        <v>CN209833547U</v>
      </c>
      <c r="H1501" s="1" t="str">
        <f>"2019-12-24"</f>
        <v>2019-12-24</v>
      </c>
      <c r="I1501" s="1" t="str">
        <f t="shared" si="717"/>
        <v>韩松年</v>
      </c>
      <c r="J1501" s="1" t="str">
        <f t="shared" si="718"/>
        <v>天津富松汽车零部件有限公司</v>
      </c>
    </row>
    <row r="1502" spans="1:10">
      <c r="A1502" s="1" t="str">
        <f t="shared" si="715"/>
        <v>天津富松汽车零部件有限公司</v>
      </c>
      <c r="B1502" s="1" t="str">
        <f>"一种汽车后备箱盖板毛毡粘合设备"</f>
        <v>一种汽车后备箱盖板毛毡粘合设备</v>
      </c>
      <c r="C1502" s="1" t="str">
        <f t="shared" si="733"/>
        <v>实用新型</v>
      </c>
      <c r="D1502" s="1" t="str">
        <f t="shared" si="735"/>
        <v>未缴年费专利权终止</v>
      </c>
      <c r="E1502" s="1" t="str">
        <f>"CN201822172118.9"</f>
        <v>CN201822172118.9</v>
      </c>
      <c r="F1502" s="1" t="str">
        <f t="shared" si="736"/>
        <v>2018-12-24</v>
      </c>
      <c r="G1502" s="1" t="str">
        <f>"CN209683113U"</f>
        <v>CN209683113U</v>
      </c>
      <c r="H1502" s="1" t="str">
        <f>"2019-11-26"</f>
        <v>2019-11-26</v>
      </c>
      <c r="I1502" s="1" t="str">
        <f t="shared" si="717"/>
        <v>韩松年</v>
      </c>
      <c r="J1502" s="1" t="str">
        <f t="shared" si="718"/>
        <v>天津富松汽车零部件有限公司</v>
      </c>
    </row>
    <row r="1503" spans="1:10">
      <c r="A1503" s="1" t="str">
        <f t="shared" si="715"/>
        <v>天津富松汽车零部件有限公司</v>
      </c>
      <c r="B1503" s="1" t="str">
        <f>"一种汽车后备箱盖板磨边机"</f>
        <v>一种汽车后备箱盖板磨边机</v>
      </c>
      <c r="C1503" s="1" t="str">
        <f t="shared" si="733"/>
        <v>实用新型</v>
      </c>
      <c r="D1503" s="1" t="str">
        <f t="shared" si="735"/>
        <v>未缴年费专利权终止</v>
      </c>
      <c r="E1503" s="1" t="str">
        <f>"CN201822172107.0"</f>
        <v>CN201822172107.0</v>
      </c>
      <c r="F1503" s="1" t="str">
        <f t="shared" si="736"/>
        <v>2018-12-24</v>
      </c>
      <c r="G1503" s="1" t="str">
        <f>"CN209681837U"</f>
        <v>CN209681837U</v>
      </c>
      <c r="H1503" s="1" t="str">
        <f>"2019-11-26"</f>
        <v>2019-11-26</v>
      </c>
      <c r="I1503" s="1" t="str">
        <f t="shared" si="717"/>
        <v>韩松年</v>
      </c>
      <c r="J1503" s="1" t="str">
        <f t="shared" si="718"/>
        <v>天津富松汽车零部件有限公司</v>
      </c>
    </row>
    <row r="1504" spans="1:10">
      <c r="A1504" s="1" t="str">
        <f t="shared" si="715"/>
        <v>天津富松汽车零部件有限公司</v>
      </c>
      <c r="B1504" s="1" t="str">
        <f>"一种汽车后备箱用蜂窝板"</f>
        <v>一种汽车后备箱用蜂窝板</v>
      </c>
      <c r="C1504" s="1" t="str">
        <f t="shared" si="733"/>
        <v>实用新型</v>
      </c>
      <c r="D1504" s="1" t="str">
        <f t="shared" si="735"/>
        <v>未缴年费专利权终止</v>
      </c>
      <c r="E1504" s="1" t="str">
        <f>"CN201822145815.5"</f>
        <v>CN201822145815.5</v>
      </c>
      <c r="F1504" s="1" t="str">
        <f t="shared" ref="F1504:F1506" si="737">"2018-12-20"</f>
        <v>2018-12-20</v>
      </c>
      <c r="G1504" s="1" t="str">
        <f>"CN209566851U"</f>
        <v>CN209566851U</v>
      </c>
      <c r="H1504" s="1" t="str">
        <f>"2019-11-01"</f>
        <v>2019-11-01</v>
      </c>
      <c r="I1504" s="1" t="str">
        <f t="shared" si="717"/>
        <v>韩松年</v>
      </c>
      <c r="J1504" s="1" t="str">
        <f t="shared" si="718"/>
        <v>天津富松汽车零部件有限公司</v>
      </c>
    </row>
    <row r="1505" spans="1:10">
      <c r="A1505" s="1" t="str">
        <f t="shared" ref="A1505:A1540" si="738">"天津富松汽车零部件有限公司"</f>
        <v>天津富松汽车零部件有限公司</v>
      </c>
      <c r="B1505" s="1" t="str">
        <f>"汽车后备箱盖注塑成型装置"</f>
        <v>汽车后备箱盖注塑成型装置</v>
      </c>
      <c r="C1505" s="1" t="str">
        <f t="shared" si="733"/>
        <v>实用新型</v>
      </c>
      <c r="D1505" s="1" t="str">
        <f t="shared" si="735"/>
        <v>未缴年费专利权终止</v>
      </c>
      <c r="E1505" s="1" t="str">
        <f>"CN201822184230.4"</f>
        <v>CN201822184230.4</v>
      </c>
      <c r="F1505" s="1" t="str">
        <f t="shared" si="737"/>
        <v>2018-12-20</v>
      </c>
      <c r="G1505" s="1" t="str">
        <f>"CN209566472U"</f>
        <v>CN209566472U</v>
      </c>
      <c r="H1505" s="1" t="str">
        <f>"2019-11-01"</f>
        <v>2019-11-01</v>
      </c>
      <c r="I1505" s="1" t="str">
        <f t="shared" ref="I1505:I1540" si="739">"韩松年"</f>
        <v>韩松年</v>
      </c>
      <c r="J1505" s="1" t="str">
        <f t="shared" ref="J1505:J1540" si="740">"天津富松汽车零部件有限公司"</f>
        <v>天津富松汽车零部件有限公司</v>
      </c>
    </row>
    <row r="1506" spans="1:10">
      <c r="A1506" s="1" t="str">
        <f t="shared" si="738"/>
        <v>天津富松汽车零部件有限公司</v>
      </c>
      <c r="B1506" s="1" t="str">
        <f>"一种汽车后备箱盖板用蜂窝板"</f>
        <v>一种汽车后备箱盖板用蜂窝板</v>
      </c>
      <c r="C1506" s="1" t="str">
        <f t="shared" si="733"/>
        <v>实用新型</v>
      </c>
      <c r="D1506" s="1" t="str">
        <f t="shared" si="735"/>
        <v>未缴年费专利权终止</v>
      </c>
      <c r="E1506" s="1" t="str">
        <f>"CN201822145814.0"</f>
        <v>CN201822145814.0</v>
      </c>
      <c r="F1506" s="1" t="str">
        <f t="shared" si="737"/>
        <v>2018-12-20</v>
      </c>
      <c r="G1506" s="1" t="str">
        <f>"CN209467079U"</f>
        <v>CN209467079U</v>
      </c>
      <c r="H1506" s="1" t="str">
        <f>"2019-10-08"</f>
        <v>2019-10-08</v>
      </c>
      <c r="I1506" s="1" t="str">
        <f t="shared" si="739"/>
        <v>韩松年</v>
      </c>
      <c r="J1506" s="1" t="str">
        <f t="shared" si="740"/>
        <v>天津富松汽车零部件有限公司</v>
      </c>
    </row>
    <row r="1507" spans="1:10">
      <c r="A1507" s="1" t="str">
        <f t="shared" si="738"/>
        <v>天津富松汽车零部件有限公司</v>
      </c>
      <c r="B1507" s="1" t="str">
        <f>"一种蜂窝板边缘包边工艺"</f>
        <v>一种蜂窝板边缘包边工艺</v>
      </c>
      <c r="C1507" s="1" t="str">
        <f>"发明公布"</f>
        <v>发明公布</v>
      </c>
      <c r="D1507" s="1" t="str">
        <f>"公布视为撤回"</f>
        <v>公布视为撤回</v>
      </c>
      <c r="E1507" s="1" t="str">
        <f>"CN201810869205.1"</f>
        <v>CN201810869205.1</v>
      </c>
      <c r="F1507" s="1" t="str">
        <f>"2018-08-02"</f>
        <v>2018-08-02</v>
      </c>
      <c r="G1507" s="1" t="str">
        <f>"CN109910422A"</f>
        <v>CN109910422A</v>
      </c>
      <c r="H1507" s="1" t="str">
        <f>"2019-06-21"</f>
        <v>2019-06-21</v>
      </c>
      <c r="I1507" s="1" t="str">
        <f t="shared" si="739"/>
        <v>韩松年</v>
      </c>
      <c r="J1507" s="1" t="str">
        <f t="shared" si="740"/>
        <v>天津富松汽车零部件有限公司</v>
      </c>
    </row>
    <row r="1508" spans="1:10">
      <c r="A1508" s="1" t="str">
        <f t="shared" si="738"/>
        <v>天津富松汽车零部件有限公司</v>
      </c>
      <c r="B1508" s="1" t="str">
        <f>"中空吹塑内部发泡成型体的吹塑设备"</f>
        <v>中空吹塑内部发泡成型体的吹塑设备</v>
      </c>
      <c r="C1508" s="1" t="str">
        <f>"发明公布"</f>
        <v>发明公布</v>
      </c>
      <c r="D1508" s="1" t="str">
        <f>"公布视为撤回"</f>
        <v>公布视为撤回</v>
      </c>
      <c r="E1508" s="1" t="str">
        <f>"CN201811605481.3"</f>
        <v>CN201811605481.3</v>
      </c>
      <c r="F1508" s="1" t="str">
        <f>"2018-12-26"</f>
        <v>2018-12-26</v>
      </c>
      <c r="G1508" s="1" t="str">
        <f>"CN109834920A"</f>
        <v>CN109834920A</v>
      </c>
      <c r="H1508" s="1" t="str">
        <f>"2019-06-04"</f>
        <v>2019-06-04</v>
      </c>
      <c r="I1508" s="1" t="str">
        <f t="shared" si="739"/>
        <v>韩松年</v>
      </c>
      <c r="J1508" s="1" t="str">
        <f t="shared" si="740"/>
        <v>天津富松汽车零部件有限公司</v>
      </c>
    </row>
    <row r="1509" spans="1:10">
      <c r="A1509" s="1" t="str">
        <f t="shared" si="738"/>
        <v>天津富松汽车零部件有限公司</v>
      </c>
      <c r="B1509" s="1" t="str">
        <f>"一种汽车后备箱盖板"</f>
        <v>一种汽车后备箱盖板</v>
      </c>
      <c r="C1509" s="1" t="str">
        <f t="shared" ref="C1509:C1517" si="741">"实用新型"</f>
        <v>实用新型</v>
      </c>
      <c r="D1509" s="1" t="str">
        <f t="shared" ref="D1509:D1513" si="742">"未缴年费专利权终止"</f>
        <v>未缴年费专利权终止</v>
      </c>
      <c r="E1509" s="1" t="str">
        <f>"CN201820700744.8"</f>
        <v>CN201820700744.8</v>
      </c>
      <c r="F1509" s="1" t="str">
        <f>"2018-05-11"</f>
        <v>2018-05-11</v>
      </c>
      <c r="G1509" s="1" t="str">
        <f>"CN208730882U"</f>
        <v>CN208730882U</v>
      </c>
      <c r="H1509" s="1" t="str">
        <f>"2019-04-12"</f>
        <v>2019-04-12</v>
      </c>
      <c r="I1509" s="1" t="str">
        <f t="shared" si="739"/>
        <v>韩松年</v>
      </c>
      <c r="J1509" s="1" t="str">
        <f t="shared" si="740"/>
        <v>天津富松汽车零部件有限公司</v>
      </c>
    </row>
    <row r="1510" spans="1:10">
      <c r="A1510" s="1" t="str">
        <f t="shared" si="738"/>
        <v>天津富松汽车零部件有限公司</v>
      </c>
      <c r="B1510" s="1" t="str">
        <f>"一种带有覆盖层的汽车吹塑内饰及零件"</f>
        <v>一种带有覆盖层的汽车吹塑内饰及零件</v>
      </c>
      <c r="C1510" s="1" t="str">
        <f t="shared" si="741"/>
        <v>实用新型</v>
      </c>
      <c r="D1510" s="1" t="str">
        <f t="shared" ref="D1510:D1515" si="743">"授权"</f>
        <v>授权</v>
      </c>
      <c r="E1510" s="1" t="str">
        <f>"CN201721435975.2"</f>
        <v>CN201721435975.2</v>
      </c>
      <c r="F1510" s="1" t="str">
        <f>"2017-11-01"</f>
        <v>2017-11-01</v>
      </c>
      <c r="G1510" s="1" t="str">
        <f>"CN208264142U"</f>
        <v>CN208264142U</v>
      </c>
      <c r="H1510" s="1" t="str">
        <f>"2018-12-21"</f>
        <v>2018-12-21</v>
      </c>
      <c r="I1510" s="1" t="str">
        <f t="shared" si="739"/>
        <v>韩松年</v>
      </c>
      <c r="J1510" s="1" t="str">
        <f t="shared" si="740"/>
        <v>天津富松汽车零部件有限公司</v>
      </c>
    </row>
    <row r="1511" spans="1:10">
      <c r="A1511" s="1" t="str">
        <f t="shared" si="738"/>
        <v>天津富松汽车零部件有限公司</v>
      </c>
      <c r="B1511" s="1" t="str">
        <f>"新型汽车蜂窝板定型装置"</f>
        <v>新型汽车蜂窝板定型装置</v>
      </c>
      <c r="C1511" s="1" t="str">
        <f t="shared" si="741"/>
        <v>实用新型</v>
      </c>
      <c r="D1511" s="1" t="str">
        <f t="shared" si="743"/>
        <v>授权</v>
      </c>
      <c r="E1511" s="1" t="str">
        <f>"CN201721896740.3"</f>
        <v>CN201721896740.3</v>
      </c>
      <c r="F1511" s="1" t="str">
        <f>"2017-12-29"</f>
        <v>2017-12-29</v>
      </c>
      <c r="G1511" s="1" t="str">
        <f>"CN208261724U"</f>
        <v>CN208261724U</v>
      </c>
      <c r="H1511" s="1" t="str">
        <f>"2018-12-21"</f>
        <v>2018-12-21</v>
      </c>
      <c r="I1511" s="1" t="str">
        <f t="shared" si="739"/>
        <v>韩松年</v>
      </c>
      <c r="J1511" s="1" t="str">
        <f t="shared" si="740"/>
        <v>天津富松汽车零部件有限公司</v>
      </c>
    </row>
    <row r="1512" spans="1:10">
      <c r="A1512" s="1" t="str">
        <f t="shared" si="738"/>
        <v>天津富松汽车零部件有限公司</v>
      </c>
      <c r="B1512" s="1" t="str">
        <f>"蜂窝板养生定型装置"</f>
        <v>蜂窝板养生定型装置</v>
      </c>
      <c r="C1512" s="1" t="str">
        <f t="shared" si="741"/>
        <v>实用新型</v>
      </c>
      <c r="D1512" s="1" t="str">
        <f t="shared" si="742"/>
        <v>未缴年费专利权终止</v>
      </c>
      <c r="E1512" s="1" t="str">
        <f>"CN201721562322.0"</f>
        <v>CN201721562322.0</v>
      </c>
      <c r="F1512" s="1" t="str">
        <f>"2017-11-21"</f>
        <v>2017-11-21</v>
      </c>
      <c r="G1512" s="1" t="str">
        <f>"CN208197554U"</f>
        <v>CN208197554U</v>
      </c>
      <c r="H1512" s="1" t="str">
        <f t="shared" ref="H1512:H1514" si="744">"2018-12-07"</f>
        <v>2018-12-07</v>
      </c>
      <c r="I1512" s="1" t="str">
        <f t="shared" si="739"/>
        <v>韩松年</v>
      </c>
      <c r="J1512" s="1" t="str">
        <f t="shared" si="740"/>
        <v>天津富松汽车零部件有限公司</v>
      </c>
    </row>
    <row r="1513" spans="1:10">
      <c r="A1513" s="1" t="str">
        <f t="shared" si="738"/>
        <v>天津富松汽车零部件有限公司</v>
      </c>
      <c r="B1513" s="1" t="str">
        <f>"一种具有减震功能的汽车用窝蜂板"</f>
        <v>一种具有减震功能的汽车用窝蜂板</v>
      </c>
      <c r="C1513" s="1" t="str">
        <f t="shared" si="741"/>
        <v>实用新型</v>
      </c>
      <c r="D1513" s="1" t="str">
        <f t="shared" si="742"/>
        <v>未缴年费专利权终止</v>
      </c>
      <c r="E1513" s="1" t="str">
        <f>"CN201721878735.X"</f>
        <v>CN201721878735.X</v>
      </c>
      <c r="F1513" s="1" t="str">
        <f>"2017-12-28"</f>
        <v>2017-12-28</v>
      </c>
      <c r="G1513" s="1" t="str">
        <f>"CN208197723U"</f>
        <v>CN208197723U</v>
      </c>
      <c r="H1513" s="1" t="str">
        <f t="shared" si="744"/>
        <v>2018-12-07</v>
      </c>
      <c r="I1513" s="1" t="str">
        <f t="shared" si="739"/>
        <v>韩松年</v>
      </c>
      <c r="J1513" s="1" t="str">
        <f t="shared" si="740"/>
        <v>天津富松汽车零部件有限公司</v>
      </c>
    </row>
    <row r="1514" spans="1:10">
      <c r="A1514" s="1" t="str">
        <f t="shared" si="738"/>
        <v>天津富松汽车零部件有限公司</v>
      </c>
      <c r="B1514" s="1" t="str">
        <f>"一种便于拆卸的汽车蜂窝顶板"</f>
        <v>一种便于拆卸的汽车蜂窝顶板</v>
      </c>
      <c r="C1514" s="1" t="str">
        <f t="shared" si="741"/>
        <v>实用新型</v>
      </c>
      <c r="D1514" s="1" t="str">
        <f t="shared" si="743"/>
        <v>授权</v>
      </c>
      <c r="E1514" s="1" t="str">
        <f>"CN201721833845.4"</f>
        <v>CN201721833845.4</v>
      </c>
      <c r="F1514" s="1" t="str">
        <f>"2017-12-25"</f>
        <v>2017-12-25</v>
      </c>
      <c r="G1514" s="1" t="str">
        <f>"CN208198597U"</f>
        <v>CN208198597U</v>
      </c>
      <c r="H1514" s="1" t="str">
        <f t="shared" si="744"/>
        <v>2018-12-07</v>
      </c>
      <c r="I1514" s="1" t="str">
        <f t="shared" si="739"/>
        <v>韩松年</v>
      </c>
      <c r="J1514" s="1" t="str">
        <f t="shared" si="740"/>
        <v>天津富松汽车零部件有限公司</v>
      </c>
    </row>
    <row r="1515" spans="1:10">
      <c r="A1515" s="1" t="str">
        <f t="shared" si="738"/>
        <v>天津富松汽车零部件有限公司</v>
      </c>
      <c r="B1515" s="1" t="str">
        <f>"一种便于安装的汽车行李箱用蜂窝板"</f>
        <v>一种便于安装的汽车行李箱用蜂窝板</v>
      </c>
      <c r="C1515" s="1" t="str">
        <f t="shared" si="741"/>
        <v>实用新型</v>
      </c>
      <c r="D1515" s="1" t="str">
        <f t="shared" si="743"/>
        <v>授权</v>
      </c>
      <c r="E1515" s="1" t="str">
        <f>"CN201721833851.X"</f>
        <v>CN201721833851.X</v>
      </c>
      <c r="F1515" s="1" t="str">
        <f>"2017-12-25"</f>
        <v>2017-12-25</v>
      </c>
      <c r="G1515" s="1" t="str">
        <f>"CN207984736U"</f>
        <v>CN207984736U</v>
      </c>
      <c r="H1515" s="1" t="str">
        <f>"2018-10-19"</f>
        <v>2018-10-19</v>
      </c>
      <c r="I1515" s="1" t="str">
        <f t="shared" si="739"/>
        <v>韩松年</v>
      </c>
      <c r="J1515" s="1" t="str">
        <f t="shared" si="740"/>
        <v>天津富松汽车零部件有限公司</v>
      </c>
    </row>
    <row r="1516" spans="1:10">
      <c r="A1516" s="1" t="str">
        <f t="shared" si="738"/>
        <v>天津富松汽车零部件有限公司</v>
      </c>
      <c r="B1516" s="1" t="str">
        <f>"汽车蜂窝板定型装置"</f>
        <v>汽车蜂窝板定型装置</v>
      </c>
      <c r="C1516" s="1" t="str">
        <f t="shared" si="741"/>
        <v>实用新型</v>
      </c>
      <c r="D1516" s="1" t="str">
        <f>"未缴年费专利权终止"</f>
        <v>未缴年费专利权终止</v>
      </c>
      <c r="E1516" s="1" t="str">
        <f>"CN201721896735.2"</f>
        <v>CN201721896735.2</v>
      </c>
      <c r="F1516" s="1" t="str">
        <f>"2017-12-29"</f>
        <v>2017-12-29</v>
      </c>
      <c r="G1516" s="1" t="str">
        <f>"CN207914492U"</f>
        <v>CN207914492U</v>
      </c>
      <c r="H1516" s="1" t="str">
        <f>"2018-09-28"</f>
        <v>2018-09-28</v>
      </c>
      <c r="I1516" s="1" t="str">
        <f t="shared" si="739"/>
        <v>韩松年</v>
      </c>
      <c r="J1516" s="1" t="str">
        <f t="shared" si="740"/>
        <v>天津富松汽车零部件有限公司</v>
      </c>
    </row>
    <row r="1517" spans="1:10">
      <c r="A1517" s="1" t="str">
        <f t="shared" si="738"/>
        <v>天津富松汽车零部件有限公司</v>
      </c>
      <c r="B1517" s="1" t="str">
        <f>"汽车行李箱用吹塑板"</f>
        <v>汽车行李箱用吹塑板</v>
      </c>
      <c r="C1517" s="1" t="str">
        <f t="shared" si="741"/>
        <v>实用新型</v>
      </c>
      <c r="D1517" s="1" t="str">
        <f>"授权"</f>
        <v>授权</v>
      </c>
      <c r="E1517" s="1" t="str">
        <f>"CN201721896111.0"</f>
        <v>CN201721896111.0</v>
      </c>
      <c r="F1517" s="1" t="str">
        <f>"2017-12-29"</f>
        <v>2017-12-29</v>
      </c>
      <c r="G1517" s="1" t="str">
        <f>"CN207916741U"</f>
        <v>CN207916741U</v>
      </c>
      <c r="H1517" s="1" t="str">
        <f>"2018-09-28"</f>
        <v>2018-09-28</v>
      </c>
      <c r="I1517" s="1" t="str">
        <f t="shared" si="739"/>
        <v>韩松年</v>
      </c>
      <c r="J1517" s="1" t="str">
        <f t="shared" si="740"/>
        <v>天津富松汽车零部件有限公司</v>
      </c>
    </row>
    <row r="1518" spans="1:10">
      <c r="A1518" s="1" t="str">
        <f t="shared" si="738"/>
        <v>天津富松汽车零部件有限公司</v>
      </c>
      <c r="B1518" s="1" t="str">
        <f>"一种带有覆盖层的汽车吹塑内饰及零件加工方法"</f>
        <v>一种带有覆盖层的汽车吹塑内饰及零件加工方法</v>
      </c>
      <c r="C1518" s="1" t="str">
        <f t="shared" ref="C1518:C1535" si="745">"发明公布"</f>
        <v>发明公布</v>
      </c>
      <c r="D1518" s="1" t="str">
        <f t="shared" ref="D1518:D1522" si="746">"公布撤回"</f>
        <v>公布撤回</v>
      </c>
      <c r="E1518" s="1" t="str">
        <f>"CN201711055336.8"</f>
        <v>CN201711055336.8</v>
      </c>
      <c r="F1518" s="1" t="str">
        <f>"2017-11-01"</f>
        <v>2017-11-01</v>
      </c>
      <c r="G1518" s="1" t="str">
        <f>"CN107757517A"</f>
        <v>CN107757517A</v>
      </c>
      <c r="H1518" s="1" t="str">
        <f>"2018-03-06"</f>
        <v>2018-03-06</v>
      </c>
      <c r="I1518" s="1" t="str">
        <f t="shared" si="739"/>
        <v>韩松年</v>
      </c>
      <c r="J1518" s="1" t="str">
        <f t="shared" si="740"/>
        <v>天津富松汽车零部件有限公司</v>
      </c>
    </row>
    <row r="1519" spans="1:10">
      <c r="A1519" s="1" t="str">
        <f t="shared" si="738"/>
        <v>天津富松汽车零部件有限公司</v>
      </c>
      <c r="B1519" s="1" t="str">
        <f>"一种新型可折叠汽车后备箱用蜂窝板"</f>
        <v>一种新型可折叠汽车后备箱用蜂窝板</v>
      </c>
      <c r="C1519" s="1" t="str">
        <f t="shared" si="745"/>
        <v>发明公布</v>
      </c>
      <c r="D1519" s="1" t="str">
        <f t="shared" si="746"/>
        <v>公布撤回</v>
      </c>
      <c r="E1519" s="1" t="str">
        <f>"CN201610565592.0"</f>
        <v>CN201610565592.0</v>
      </c>
      <c r="F1519" s="1" t="str">
        <f>"2016-07-19"</f>
        <v>2016-07-19</v>
      </c>
      <c r="G1519" s="1" t="str">
        <f>"CN107628124A"</f>
        <v>CN107628124A</v>
      </c>
      <c r="H1519" s="1" t="str">
        <f>"2018-01-26"</f>
        <v>2018-01-26</v>
      </c>
      <c r="I1519" s="1" t="str">
        <f t="shared" si="739"/>
        <v>韩松年</v>
      </c>
      <c r="J1519" s="1" t="str">
        <f t="shared" si="740"/>
        <v>天津富松汽车零部件有限公司</v>
      </c>
    </row>
    <row r="1520" spans="1:10">
      <c r="A1520" s="1" t="str">
        <f t="shared" si="738"/>
        <v>天津富松汽车零部件有限公司</v>
      </c>
      <c r="B1520" s="1" t="str">
        <f>"抗撞击蜂窝侧围板"</f>
        <v>抗撞击蜂窝侧围板</v>
      </c>
      <c r="C1520" s="1" t="str">
        <f t="shared" si="745"/>
        <v>发明公布</v>
      </c>
      <c r="D1520" s="1" t="str">
        <f t="shared" ref="D1520:D1535" si="747">"公布视为撤回"</f>
        <v>公布视为撤回</v>
      </c>
      <c r="E1520" s="1" t="str">
        <f>"CN201610545399.0"</f>
        <v>CN201610545399.0</v>
      </c>
      <c r="F1520" s="1" t="str">
        <f t="shared" ref="F1520:F1522" si="748">"2016-07-13"</f>
        <v>2016-07-13</v>
      </c>
      <c r="G1520" s="1" t="str">
        <f>"CN107618457A"</f>
        <v>CN107618457A</v>
      </c>
      <c r="H1520" s="1" t="str">
        <f t="shared" ref="H1520:H1522" si="749">"2018-01-23"</f>
        <v>2018-01-23</v>
      </c>
      <c r="I1520" s="1" t="str">
        <f t="shared" si="739"/>
        <v>韩松年</v>
      </c>
      <c r="J1520" s="1" t="str">
        <f t="shared" si="740"/>
        <v>天津富松汽车零部件有限公司</v>
      </c>
    </row>
    <row r="1521" spans="1:10">
      <c r="A1521" s="1" t="str">
        <f t="shared" si="738"/>
        <v>天津富松汽车零部件有限公司</v>
      </c>
      <c r="B1521" s="1" t="str">
        <f>"汽车蜂窝尾箱垫"</f>
        <v>汽车蜂窝尾箱垫</v>
      </c>
      <c r="C1521" s="1" t="str">
        <f t="shared" si="745"/>
        <v>发明公布</v>
      </c>
      <c r="D1521" s="1" t="str">
        <f t="shared" si="747"/>
        <v>公布视为撤回</v>
      </c>
      <c r="E1521" s="1" t="str">
        <f>"CN201610545398.6"</f>
        <v>CN201610545398.6</v>
      </c>
      <c r="F1521" s="1" t="str">
        <f t="shared" si="748"/>
        <v>2016-07-13</v>
      </c>
      <c r="G1521" s="1" t="str">
        <f>"CN107618213A"</f>
        <v>CN107618213A</v>
      </c>
      <c r="H1521" s="1" t="str">
        <f t="shared" si="749"/>
        <v>2018-01-23</v>
      </c>
      <c r="I1521" s="1" t="str">
        <f t="shared" si="739"/>
        <v>韩松年</v>
      </c>
      <c r="J1521" s="1" t="str">
        <f t="shared" si="740"/>
        <v>天津富松汽车零部件有限公司</v>
      </c>
    </row>
    <row r="1522" spans="1:10">
      <c r="A1522" s="1" t="str">
        <f t="shared" si="738"/>
        <v>天津富松汽车零部件有限公司</v>
      </c>
      <c r="B1522" s="1" t="str">
        <f>"便于清理的汽车后备箱用蜂窝板"</f>
        <v>便于清理的汽车后备箱用蜂窝板</v>
      </c>
      <c r="C1522" s="1" t="str">
        <f t="shared" si="745"/>
        <v>发明公布</v>
      </c>
      <c r="D1522" s="1" t="str">
        <f t="shared" si="746"/>
        <v>公布撤回</v>
      </c>
      <c r="E1522" s="1" t="str">
        <f>"CN201610545349.2"</f>
        <v>CN201610545349.2</v>
      </c>
      <c r="F1522" s="1" t="str">
        <f t="shared" si="748"/>
        <v>2016-07-13</v>
      </c>
      <c r="G1522" s="1" t="str">
        <f>"CN107618411A"</f>
        <v>CN107618411A</v>
      </c>
      <c r="H1522" s="1" t="str">
        <f t="shared" si="749"/>
        <v>2018-01-23</v>
      </c>
      <c r="I1522" s="1" t="str">
        <f t="shared" si="739"/>
        <v>韩松年</v>
      </c>
      <c r="J1522" s="1" t="str">
        <f t="shared" si="740"/>
        <v>天津富松汽车零部件有限公司</v>
      </c>
    </row>
    <row r="1523" spans="1:10">
      <c r="A1523" s="1" t="str">
        <f t="shared" si="738"/>
        <v>天津富松汽车零部件有限公司</v>
      </c>
      <c r="B1523" s="1" t="str">
        <f>"一种汽车蜂窝底板"</f>
        <v>一种汽车蜂窝底板</v>
      </c>
      <c r="C1523" s="1" t="str">
        <f t="shared" si="745"/>
        <v>发明公布</v>
      </c>
      <c r="D1523" s="1" t="str">
        <f t="shared" si="747"/>
        <v>公布视为撤回</v>
      </c>
      <c r="E1523" s="1" t="str">
        <f>"CN201610419639.2"</f>
        <v>CN201610419639.2</v>
      </c>
      <c r="F1523" s="1" t="str">
        <f t="shared" ref="F1523:F1525" si="750">"2016-06-14"</f>
        <v>2016-06-14</v>
      </c>
      <c r="G1523" s="1" t="str">
        <f>"CN107498949A"</f>
        <v>CN107498949A</v>
      </c>
      <c r="H1523" s="1" t="str">
        <f t="shared" ref="H1523:H1525" si="751">"2017-12-22"</f>
        <v>2017-12-22</v>
      </c>
      <c r="I1523" s="1" t="str">
        <f t="shared" si="739"/>
        <v>韩松年</v>
      </c>
      <c r="J1523" s="1" t="str">
        <f t="shared" si="740"/>
        <v>天津富松汽车零部件有限公司</v>
      </c>
    </row>
    <row r="1524" spans="1:10">
      <c r="A1524" s="1" t="str">
        <f t="shared" si="738"/>
        <v>天津富松汽车零部件有限公司</v>
      </c>
      <c r="B1524" s="1" t="str">
        <f>"一种荧光式汽车蜂窝板"</f>
        <v>一种荧光式汽车蜂窝板</v>
      </c>
      <c r="C1524" s="1" t="str">
        <f t="shared" si="745"/>
        <v>发明公布</v>
      </c>
      <c r="D1524" s="1" t="str">
        <f t="shared" si="747"/>
        <v>公布视为撤回</v>
      </c>
      <c r="E1524" s="1" t="str">
        <f>"CN201610413633.4"</f>
        <v>CN201610413633.4</v>
      </c>
      <c r="F1524" s="1" t="str">
        <f t="shared" si="750"/>
        <v>2016-06-14</v>
      </c>
      <c r="G1524" s="1" t="str">
        <f>"CN107498933A"</f>
        <v>CN107498933A</v>
      </c>
      <c r="H1524" s="1" t="str">
        <f t="shared" si="751"/>
        <v>2017-12-22</v>
      </c>
      <c r="I1524" s="1" t="str">
        <f t="shared" si="739"/>
        <v>韩松年</v>
      </c>
      <c r="J1524" s="1" t="str">
        <f t="shared" si="740"/>
        <v>天津富松汽车零部件有限公司</v>
      </c>
    </row>
    <row r="1525" spans="1:10">
      <c r="A1525" s="1" t="str">
        <f t="shared" si="738"/>
        <v>天津富松汽车零部件有限公司</v>
      </c>
      <c r="B1525" s="1" t="str">
        <f>"一种汽车行李舱蜂窝组件"</f>
        <v>一种汽车行李舱蜂窝组件</v>
      </c>
      <c r="C1525" s="1" t="str">
        <f t="shared" si="745"/>
        <v>发明公布</v>
      </c>
      <c r="D1525" s="1" t="str">
        <f t="shared" si="747"/>
        <v>公布视为撤回</v>
      </c>
      <c r="E1525" s="1" t="str">
        <f>"CN201610412647.4"</f>
        <v>CN201610412647.4</v>
      </c>
      <c r="F1525" s="1" t="str">
        <f t="shared" si="750"/>
        <v>2016-06-14</v>
      </c>
      <c r="G1525" s="1" t="str">
        <f>"CN107499390A"</f>
        <v>CN107499390A</v>
      </c>
      <c r="H1525" s="1" t="str">
        <f t="shared" si="751"/>
        <v>2017-12-22</v>
      </c>
      <c r="I1525" s="1" t="str">
        <f t="shared" si="739"/>
        <v>韩松年</v>
      </c>
      <c r="J1525" s="1" t="str">
        <f t="shared" si="740"/>
        <v>天津富松汽车零部件有限公司</v>
      </c>
    </row>
    <row r="1526" spans="1:10">
      <c r="A1526" s="1" t="str">
        <f t="shared" si="738"/>
        <v>天津富松汽车零部件有限公司</v>
      </c>
      <c r="B1526" s="1" t="str">
        <f>"一种安全性能高的汽车后备箱盖板"</f>
        <v>一种安全性能高的汽车后备箱盖板</v>
      </c>
      <c r="C1526" s="1" t="str">
        <f t="shared" si="745"/>
        <v>发明公布</v>
      </c>
      <c r="D1526" s="1" t="str">
        <f t="shared" si="747"/>
        <v>公布视为撤回</v>
      </c>
      <c r="E1526" s="1" t="str">
        <f>"CN201610328137.9"</f>
        <v>CN201610328137.9</v>
      </c>
      <c r="F1526" s="1" t="str">
        <f>"2016-05-18"</f>
        <v>2016-05-18</v>
      </c>
      <c r="G1526" s="1" t="str">
        <f>"CN107415849A"</f>
        <v>CN107415849A</v>
      </c>
      <c r="H1526" s="1" t="str">
        <f>"2017-12-01"</f>
        <v>2017-12-01</v>
      </c>
      <c r="I1526" s="1" t="str">
        <f t="shared" si="739"/>
        <v>韩松年</v>
      </c>
      <c r="J1526" s="1" t="str">
        <f t="shared" si="740"/>
        <v>天津富松汽车零部件有限公司</v>
      </c>
    </row>
    <row r="1527" spans="1:10">
      <c r="A1527" s="1" t="str">
        <f t="shared" si="738"/>
        <v>天津富松汽车零部件有限公司</v>
      </c>
      <c r="B1527" s="1" t="str">
        <f>"一种用于生产蜂窝板的高效冷却机"</f>
        <v>一种用于生产蜂窝板的高效冷却机</v>
      </c>
      <c r="C1527" s="1" t="str">
        <f t="shared" si="745"/>
        <v>发明公布</v>
      </c>
      <c r="D1527" s="1" t="str">
        <f t="shared" si="747"/>
        <v>公布视为撤回</v>
      </c>
      <c r="E1527" s="1" t="str">
        <f>"CN201510704152.4"</f>
        <v>CN201510704152.4</v>
      </c>
      <c r="F1527" s="1" t="str">
        <f t="shared" ref="F1527:F1529" si="752">"2015-10-27"</f>
        <v>2015-10-27</v>
      </c>
      <c r="G1527" s="1" t="str">
        <f>"CN106608010A"</f>
        <v>CN106608010A</v>
      </c>
      <c r="H1527" s="1" t="str">
        <f t="shared" ref="H1527:H1529" si="753">"2017-05-03"</f>
        <v>2017-05-03</v>
      </c>
      <c r="I1527" s="1" t="str">
        <f t="shared" si="739"/>
        <v>韩松年</v>
      </c>
      <c r="J1527" s="1" t="str">
        <f t="shared" si="740"/>
        <v>天津富松汽车零部件有限公司</v>
      </c>
    </row>
    <row r="1528" spans="1:10">
      <c r="A1528" s="1" t="str">
        <f t="shared" si="738"/>
        <v>天津富松汽车零部件有限公司</v>
      </c>
      <c r="B1528" s="1" t="str">
        <f>"一种用于生产蜂窝板的废料粉碎回收机"</f>
        <v>一种用于生产蜂窝板的废料粉碎回收机</v>
      </c>
      <c r="C1528" s="1" t="str">
        <f t="shared" si="745"/>
        <v>发明公布</v>
      </c>
      <c r="D1528" s="1" t="str">
        <f t="shared" si="747"/>
        <v>公布视为撤回</v>
      </c>
      <c r="E1528" s="1" t="str">
        <f>"CN201510704173.6"</f>
        <v>CN201510704173.6</v>
      </c>
      <c r="F1528" s="1" t="str">
        <f t="shared" si="752"/>
        <v>2015-10-27</v>
      </c>
      <c r="G1528" s="1" t="str">
        <f>"CN106608001A"</f>
        <v>CN106608001A</v>
      </c>
      <c r="H1528" s="1" t="str">
        <f t="shared" si="753"/>
        <v>2017-05-03</v>
      </c>
      <c r="I1528" s="1" t="str">
        <f t="shared" si="739"/>
        <v>韩松年</v>
      </c>
      <c r="J1528" s="1" t="str">
        <f t="shared" si="740"/>
        <v>天津富松汽车零部件有限公司</v>
      </c>
    </row>
    <row r="1529" spans="1:10">
      <c r="A1529" s="1" t="str">
        <f t="shared" si="738"/>
        <v>天津富松汽车零部件有限公司</v>
      </c>
      <c r="B1529" s="1" t="str">
        <f>"一种用于生产蜂窝板的高效拌料机"</f>
        <v>一种用于生产蜂窝板的高效拌料机</v>
      </c>
      <c r="C1529" s="1" t="str">
        <f t="shared" si="745"/>
        <v>发明公布</v>
      </c>
      <c r="D1529" s="1" t="str">
        <f t="shared" si="747"/>
        <v>公布视为撤回</v>
      </c>
      <c r="E1529" s="1" t="str">
        <f>"CN201510704309.3"</f>
        <v>CN201510704309.3</v>
      </c>
      <c r="F1529" s="1" t="str">
        <f t="shared" si="752"/>
        <v>2015-10-27</v>
      </c>
      <c r="G1529" s="1" t="str">
        <f>"CN106607999A"</f>
        <v>CN106607999A</v>
      </c>
      <c r="H1529" s="1" t="str">
        <f t="shared" si="753"/>
        <v>2017-05-03</v>
      </c>
      <c r="I1529" s="1" t="str">
        <f t="shared" si="739"/>
        <v>韩松年</v>
      </c>
      <c r="J1529" s="1" t="str">
        <f t="shared" si="740"/>
        <v>天津富松汽车零部件有限公司</v>
      </c>
    </row>
    <row r="1530" spans="1:10">
      <c r="A1530" s="1" t="str">
        <f t="shared" si="738"/>
        <v>天津富松汽车零部件有限公司</v>
      </c>
      <c r="B1530" s="1" t="str">
        <f>"一种用于生产蜂窝板的吸料传送装置"</f>
        <v>一种用于生产蜂窝板的吸料传送装置</v>
      </c>
      <c r="C1530" s="1" t="str">
        <f t="shared" si="745"/>
        <v>发明公布</v>
      </c>
      <c r="D1530" s="1" t="str">
        <f t="shared" si="747"/>
        <v>公布视为撤回</v>
      </c>
      <c r="E1530" s="1" t="str">
        <f>"CN201510672023.1"</f>
        <v>CN201510672023.1</v>
      </c>
      <c r="F1530" s="1" t="str">
        <f t="shared" ref="F1530:F1533" si="754">"2015-10-19"</f>
        <v>2015-10-19</v>
      </c>
      <c r="G1530" s="1" t="str">
        <f>"CN106586572A"</f>
        <v>CN106586572A</v>
      </c>
      <c r="H1530" s="1" t="str">
        <f t="shared" ref="H1530:H1535" si="755">"2017-04-26"</f>
        <v>2017-04-26</v>
      </c>
      <c r="I1530" s="1" t="str">
        <f t="shared" si="739"/>
        <v>韩松年</v>
      </c>
      <c r="J1530" s="1" t="str">
        <f t="shared" si="740"/>
        <v>天津富松汽车零部件有限公司</v>
      </c>
    </row>
    <row r="1531" spans="1:10">
      <c r="A1531" s="1" t="str">
        <f t="shared" si="738"/>
        <v>天津富松汽车零部件有限公司</v>
      </c>
      <c r="B1531" s="1" t="str">
        <f>"一种用于生产蜂窝板的新型高效挤出机"</f>
        <v>一种用于生产蜂窝板的新型高效挤出机</v>
      </c>
      <c r="C1531" s="1" t="str">
        <f t="shared" si="745"/>
        <v>发明公布</v>
      </c>
      <c r="D1531" s="1" t="str">
        <f t="shared" si="747"/>
        <v>公布视为撤回</v>
      </c>
      <c r="E1531" s="1" t="str">
        <f>"CN201510672024.6"</f>
        <v>CN201510672024.6</v>
      </c>
      <c r="F1531" s="1" t="str">
        <f t="shared" si="754"/>
        <v>2015-10-19</v>
      </c>
      <c r="G1531" s="1" t="str">
        <f>"CN106584813A"</f>
        <v>CN106584813A</v>
      </c>
      <c r="H1531" s="1" t="str">
        <f t="shared" si="755"/>
        <v>2017-04-26</v>
      </c>
      <c r="I1531" s="1" t="str">
        <f t="shared" si="739"/>
        <v>韩松年</v>
      </c>
      <c r="J1531" s="1" t="str">
        <f t="shared" si="740"/>
        <v>天津富松汽车零部件有限公司</v>
      </c>
    </row>
    <row r="1532" spans="1:10">
      <c r="A1532" s="1" t="str">
        <f t="shared" si="738"/>
        <v>天津富松汽车零部件有限公司</v>
      </c>
      <c r="B1532" s="1" t="str">
        <f>"一种低噪音、易维护的蜂窝板废料粉碎分解机"</f>
        <v>一种低噪音、易维护的蜂窝板废料粉碎分解机</v>
      </c>
      <c r="C1532" s="1" t="str">
        <f t="shared" si="745"/>
        <v>发明公布</v>
      </c>
      <c r="D1532" s="1" t="str">
        <f t="shared" si="747"/>
        <v>公布视为撤回</v>
      </c>
      <c r="E1532" s="1" t="str">
        <f>"CN201510671429.8"</f>
        <v>CN201510671429.8</v>
      </c>
      <c r="F1532" s="1" t="str">
        <f t="shared" si="754"/>
        <v>2015-10-19</v>
      </c>
      <c r="G1532" s="1" t="str">
        <f>"CN106582993A"</f>
        <v>CN106582993A</v>
      </c>
      <c r="H1532" s="1" t="str">
        <f t="shared" si="755"/>
        <v>2017-04-26</v>
      </c>
      <c r="I1532" s="1" t="str">
        <f t="shared" si="739"/>
        <v>韩松年</v>
      </c>
      <c r="J1532" s="1" t="str">
        <f t="shared" si="740"/>
        <v>天津富松汽车零部件有限公司</v>
      </c>
    </row>
    <row r="1533" spans="1:10">
      <c r="A1533" s="1" t="str">
        <f t="shared" si="738"/>
        <v>天津富松汽车零部件有限公司</v>
      </c>
      <c r="B1533" s="1" t="str">
        <f>"一种用于生产蜂窝板的自动出板切割装置"</f>
        <v>一种用于生产蜂窝板的自动出板切割装置</v>
      </c>
      <c r="C1533" s="1" t="str">
        <f t="shared" si="745"/>
        <v>发明公布</v>
      </c>
      <c r="D1533" s="1" t="str">
        <f t="shared" si="747"/>
        <v>公布视为撤回</v>
      </c>
      <c r="E1533" s="1" t="str">
        <f>"CN201510671965.8"</f>
        <v>CN201510671965.8</v>
      </c>
      <c r="F1533" s="1" t="str">
        <f t="shared" si="754"/>
        <v>2015-10-19</v>
      </c>
      <c r="G1533" s="1" t="str">
        <f>"CN106584580A"</f>
        <v>CN106584580A</v>
      </c>
      <c r="H1533" s="1" t="str">
        <f t="shared" si="755"/>
        <v>2017-04-26</v>
      </c>
      <c r="I1533" s="1" t="str">
        <f t="shared" si="739"/>
        <v>韩松年</v>
      </c>
      <c r="J1533" s="1" t="str">
        <f t="shared" si="740"/>
        <v>天津富松汽车零部件有限公司</v>
      </c>
    </row>
    <row r="1534" spans="1:10">
      <c r="A1534" s="1" t="str">
        <f t="shared" si="738"/>
        <v>天津富松汽车零部件有限公司</v>
      </c>
      <c r="B1534" s="1" t="str">
        <f>"一种用于生产蜂窝板的低耗烘干机"</f>
        <v>一种用于生产蜂窝板的低耗烘干机</v>
      </c>
      <c r="C1534" s="1" t="str">
        <f t="shared" si="745"/>
        <v>发明公布</v>
      </c>
      <c r="D1534" s="1" t="str">
        <f t="shared" si="747"/>
        <v>公布视为撤回</v>
      </c>
      <c r="E1534" s="1" t="str">
        <f>"CN201510660629.3"</f>
        <v>CN201510660629.3</v>
      </c>
      <c r="F1534" s="1" t="str">
        <f>"2015-10-15"</f>
        <v>2015-10-15</v>
      </c>
      <c r="G1534" s="1" t="str">
        <f>"CN106595234A"</f>
        <v>CN106595234A</v>
      </c>
      <c r="H1534" s="1" t="str">
        <f t="shared" si="755"/>
        <v>2017-04-26</v>
      </c>
      <c r="I1534" s="1" t="str">
        <f t="shared" si="739"/>
        <v>韩松年</v>
      </c>
      <c r="J1534" s="1" t="str">
        <f t="shared" si="740"/>
        <v>天津富松汽车零部件有限公司</v>
      </c>
    </row>
    <row r="1535" spans="1:10">
      <c r="A1535" s="1" t="str">
        <f t="shared" si="738"/>
        <v>天津富松汽车零部件有限公司</v>
      </c>
      <c r="B1535" s="1" t="str">
        <f>"一种用于生产蜂窝板的高效烘干机"</f>
        <v>一种用于生产蜂窝板的高效烘干机</v>
      </c>
      <c r="C1535" s="1" t="str">
        <f t="shared" si="745"/>
        <v>发明公布</v>
      </c>
      <c r="D1535" s="1" t="str">
        <f t="shared" si="747"/>
        <v>公布视为撤回</v>
      </c>
      <c r="E1535" s="1" t="str">
        <f>"CN201510676756.2"</f>
        <v>CN201510676756.2</v>
      </c>
      <c r="F1535" s="1" t="str">
        <f>"2015-10-20"</f>
        <v>2015-10-20</v>
      </c>
      <c r="G1535" s="1" t="str">
        <f>"CN106595265A"</f>
        <v>CN106595265A</v>
      </c>
      <c r="H1535" s="1" t="str">
        <f t="shared" si="755"/>
        <v>2017-04-26</v>
      </c>
      <c r="I1535" s="1" t="str">
        <f t="shared" si="739"/>
        <v>韩松年</v>
      </c>
      <c r="J1535" s="1" t="str">
        <f t="shared" si="740"/>
        <v>天津富松汽车零部件有限公司</v>
      </c>
    </row>
    <row r="1536" spans="1:10">
      <c r="A1536" s="1" t="str">
        <f t="shared" si="738"/>
        <v>天津富松汽车零部件有限公司</v>
      </c>
      <c r="B1536" s="1" t="str">
        <f>"便于清理的汽车后备箱用蜂窝板"</f>
        <v>便于清理的汽车后备箱用蜂窝板</v>
      </c>
      <c r="C1536" s="1" t="str">
        <f t="shared" ref="C1536:C1556" si="756">"实用新型"</f>
        <v>实用新型</v>
      </c>
      <c r="D1536" s="1" t="str">
        <f t="shared" ref="D1536:D1556" si="757">"未缴年费专利权终止"</f>
        <v>未缴年费专利权终止</v>
      </c>
      <c r="E1536" s="1" t="str">
        <f>"CN201620730211.5"</f>
        <v>CN201620730211.5</v>
      </c>
      <c r="F1536" s="1" t="str">
        <f t="shared" ref="F1536:F1540" si="758">"2016-07-13"</f>
        <v>2016-07-13</v>
      </c>
      <c r="G1536" s="1" t="str">
        <f>"CN205970981U"</f>
        <v>CN205970981U</v>
      </c>
      <c r="H1536" s="1" t="str">
        <f>"2017-02-22"</f>
        <v>2017-02-22</v>
      </c>
      <c r="I1536" s="1" t="str">
        <f t="shared" si="739"/>
        <v>韩松年</v>
      </c>
      <c r="J1536" s="1" t="str">
        <f t="shared" si="740"/>
        <v>天津富松汽车零部件有限公司</v>
      </c>
    </row>
    <row r="1537" spans="1:10">
      <c r="A1537" s="1" t="str">
        <f t="shared" si="738"/>
        <v>天津富松汽车零部件有限公司</v>
      </c>
      <c r="B1537" s="1" t="str">
        <f>"一种新型可折叠汽车后备箱用蜂窝板"</f>
        <v>一种新型可折叠汽车后备箱用蜂窝板</v>
      </c>
      <c r="C1537" s="1" t="str">
        <f t="shared" si="756"/>
        <v>实用新型</v>
      </c>
      <c r="D1537" s="1" t="str">
        <f t="shared" si="757"/>
        <v>未缴年费专利权终止</v>
      </c>
      <c r="E1537" s="1" t="str">
        <f>"CN201620755888.4"</f>
        <v>CN201620755888.4</v>
      </c>
      <c r="F1537" s="1" t="str">
        <f>"2016-07-19"</f>
        <v>2016-07-19</v>
      </c>
      <c r="G1537" s="1" t="str">
        <f>"CN205801265U"</f>
        <v>CN205801265U</v>
      </c>
      <c r="H1537" s="1" t="str">
        <f t="shared" ref="H1537:H1540" si="759">"2016-12-14"</f>
        <v>2016-12-14</v>
      </c>
      <c r="I1537" s="1" t="str">
        <f t="shared" si="739"/>
        <v>韩松年</v>
      </c>
      <c r="J1537" s="1" t="str">
        <f t="shared" si="740"/>
        <v>天津富松汽车零部件有限公司</v>
      </c>
    </row>
    <row r="1538" spans="1:10">
      <c r="A1538" s="1" t="str">
        <f t="shared" si="738"/>
        <v>天津富松汽车零部件有限公司</v>
      </c>
      <c r="B1538" s="1" t="str">
        <f>"汽车蜂窝顶棚"</f>
        <v>汽车蜂窝顶棚</v>
      </c>
      <c r="C1538" s="1" t="str">
        <f t="shared" si="756"/>
        <v>实用新型</v>
      </c>
      <c r="D1538" s="1" t="str">
        <f t="shared" si="757"/>
        <v>未缴年费专利权终止</v>
      </c>
      <c r="E1538" s="1" t="str">
        <f>"CN201620755964.1"</f>
        <v>CN201620755964.1</v>
      </c>
      <c r="F1538" s="1" t="str">
        <f>"2016-07-19"</f>
        <v>2016-07-19</v>
      </c>
      <c r="G1538" s="1" t="str">
        <f>"CN205800977U"</f>
        <v>CN205800977U</v>
      </c>
      <c r="H1538" s="1" t="str">
        <f t="shared" si="759"/>
        <v>2016-12-14</v>
      </c>
      <c r="I1538" s="1" t="str">
        <f t="shared" si="739"/>
        <v>韩松年</v>
      </c>
      <c r="J1538" s="1" t="str">
        <f t="shared" si="740"/>
        <v>天津富松汽车零部件有限公司</v>
      </c>
    </row>
    <row r="1539" spans="1:10">
      <c r="A1539" s="1" t="str">
        <f t="shared" si="738"/>
        <v>天津富松汽车零部件有限公司</v>
      </c>
      <c r="B1539" s="1" t="str">
        <f>"抗撞击蜂窝侧围板"</f>
        <v>抗撞击蜂窝侧围板</v>
      </c>
      <c r="C1539" s="1" t="str">
        <f t="shared" si="756"/>
        <v>实用新型</v>
      </c>
      <c r="D1539" s="1" t="str">
        <f t="shared" si="757"/>
        <v>未缴年费专利权终止</v>
      </c>
      <c r="E1539" s="1" t="str">
        <f>"CN201620730153.6"</f>
        <v>CN201620730153.6</v>
      </c>
      <c r="F1539" s="1" t="str">
        <f t="shared" si="758"/>
        <v>2016-07-13</v>
      </c>
      <c r="G1539" s="1" t="str">
        <f>"CN205800983U"</f>
        <v>CN205800983U</v>
      </c>
      <c r="H1539" s="1" t="str">
        <f t="shared" si="759"/>
        <v>2016-12-14</v>
      </c>
      <c r="I1539" s="1" t="str">
        <f t="shared" si="739"/>
        <v>韩松年</v>
      </c>
      <c r="J1539" s="1" t="str">
        <f t="shared" si="740"/>
        <v>天津富松汽车零部件有限公司</v>
      </c>
    </row>
    <row r="1540" spans="1:10">
      <c r="A1540" s="1" t="str">
        <f t="shared" si="738"/>
        <v>天津富松汽车零部件有限公司</v>
      </c>
      <c r="B1540" s="1" t="str">
        <f>"汽车蜂窝尾箱垫"</f>
        <v>汽车蜂窝尾箱垫</v>
      </c>
      <c r="C1540" s="1" t="str">
        <f t="shared" si="756"/>
        <v>实用新型</v>
      </c>
      <c r="D1540" s="1" t="str">
        <f t="shared" si="757"/>
        <v>未缴年费专利权终止</v>
      </c>
      <c r="E1540" s="1" t="str">
        <f>"CN201620730148.5"</f>
        <v>CN201620730148.5</v>
      </c>
      <c r="F1540" s="1" t="str">
        <f t="shared" si="758"/>
        <v>2016-07-13</v>
      </c>
      <c r="G1540" s="1" t="str">
        <f>"CN205800338U"</f>
        <v>CN205800338U</v>
      </c>
      <c r="H1540" s="1" t="str">
        <f t="shared" si="759"/>
        <v>2016-12-14</v>
      </c>
      <c r="I1540" s="1" t="str">
        <f t="shared" si="739"/>
        <v>韩松年</v>
      </c>
      <c r="J1540" s="1" t="str">
        <f t="shared" si="740"/>
        <v>天津富松汽车零部件有限公司</v>
      </c>
    </row>
    <row r="1541" spans="1:10">
      <c r="A1541" s="1" t="str">
        <f t="shared" ref="A1541:A1556" si="760">"天津昊辰通达汽车检具有限公司"</f>
        <v>天津昊辰通达汽车检具有限公司</v>
      </c>
      <c r="B1541" s="1" t="str">
        <f>"一种汽车门防擦饰板总成"</f>
        <v>一种汽车门防擦饰板总成</v>
      </c>
      <c r="C1541" s="1" t="str">
        <f t="shared" si="756"/>
        <v>实用新型</v>
      </c>
      <c r="D1541" s="1" t="str">
        <f t="shared" si="757"/>
        <v>未缴年费专利权终止</v>
      </c>
      <c r="E1541" s="1" t="str">
        <f>"CN202022964047.3"</f>
        <v>CN202022964047.3</v>
      </c>
      <c r="F1541" s="1" t="str">
        <f t="shared" ref="F1541:F1545" si="761">"2020-12-12"</f>
        <v>2020-12-12</v>
      </c>
      <c r="G1541" s="1" t="str">
        <f>"CN215322346U"</f>
        <v>CN215322346U</v>
      </c>
      <c r="H1541" s="1" t="str">
        <f>"2021-12-28"</f>
        <v>2021-12-28</v>
      </c>
      <c r="I1541" s="1" t="s">
        <v>5001</v>
      </c>
      <c r="J1541" s="1" t="str">
        <f t="shared" ref="J1541:J1556" si="762">"天津昊辰通达汽车检具有限公司"</f>
        <v>天津昊辰通达汽车检具有限公司</v>
      </c>
    </row>
    <row r="1542" spans="1:10">
      <c r="A1542" s="1" t="str">
        <f t="shared" si="760"/>
        <v>天津昊辰通达汽车检具有限公司</v>
      </c>
      <c r="B1542" s="1" t="str">
        <f>"一种桥壳焊接设备"</f>
        <v>一种桥壳焊接设备</v>
      </c>
      <c r="C1542" s="1" t="str">
        <f t="shared" si="756"/>
        <v>实用新型</v>
      </c>
      <c r="D1542" s="1" t="str">
        <f t="shared" si="757"/>
        <v>未缴年费专利权终止</v>
      </c>
      <c r="E1542" s="1" t="str">
        <f>"CN202120423187.1"</f>
        <v>CN202120423187.1</v>
      </c>
      <c r="F1542" s="1" t="str">
        <f>"2021-02-26"</f>
        <v>2021-02-26</v>
      </c>
      <c r="G1542" s="1" t="str">
        <f>"CN214518332U"</f>
        <v>CN214518332U</v>
      </c>
      <c r="H1542" s="1" t="str">
        <f t="shared" ref="H1542:H1545" si="763">"2021-10-29"</f>
        <v>2021-10-29</v>
      </c>
      <c r="I1542" s="1" t="str">
        <f>"李树泉"</f>
        <v>李树泉</v>
      </c>
      <c r="J1542" s="1" t="str">
        <f t="shared" si="762"/>
        <v>天津昊辰通达汽车检具有限公司</v>
      </c>
    </row>
    <row r="1543" spans="1:10">
      <c r="A1543" s="1" t="str">
        <f t="shared" si="760"/>
        <v>天津昊辰通达汽车检具有限公司</v>
      </c>
      <c r="B1543" s="1" t="str">
        <f>"一种用于汽车前机盖的放置架结构"</f>
        <v>一种用于汽车前机盖的放置架结构</v>
      </c>
      <c r="C1543" s="1" t="str">
        <f t="shared" si="756"/>
        <v>实用新型</v>
      </c>
      <c r="D1543" s="1" t="str">
        <f t="shared" si="757"/>
        <v>未缴年费专利权终止</v>
      </c>
      <c r="E1543" s="1" t="str">
        <f>"CN202022964006.4"</f>
        <v>CN202022964006.4</v>
      </c>
      <c r="F1543" s="1" t="str">
        <f t="shared" si="761"/>
        <v>2020-12-12</v>
      </c>
      <c r="G1543" s="1" t="str">
        <f>"CN214525144U"</f>
        <v>CN214525144U</v>
      </c>
      <c r="H1543" s="1" t="str">
        <f t="shared" si="763"/>
        <v>2021-10-29</v>
      </c>
      <c r="I1543" s="1" t="s">
        <v>5001</v>
      </c>
      <c r="J1543" s="1" t="str">
        <f t="shared" si="762"/>
        <v>天津昊辰通达汽车检具有限公司</v>
      </c>
    </row>
    <row r="1544" spans="1:10">
      <c r="A1544" s="1" t="str">
        <f t="shared" si="760"/>
        <v>天津昊辰通达汽车检具有限公司</v>
      </c>
      <c r="B1544" s="1" t="str">
        <f>"一种用于汽车覆盖件的焊接装置"</f>
        <v>一种用于汽车覆盖件的焊接装置</v>
      </c>
      <c r="C1544" s="1" t="str">
        <f t="shared" si="756"/>
        <v>实用新型</v>
      </c>
      <c r="D1544" s="1" t="str">
        <f t="shared" si="757"/>
        <v>未缴年费专利权终止</v>
      </c>
      <c r="E1544" s="1" t="str">
        <f>"CN202022964017.2"</f>
        <v>CN202022964017.2</v>
      </c>
      <c r="F1544" s="1" t="str">
        <f t="shared" si="761"/>
        <v>2020-12-12</v>
      </c>
      <c r="G1544" s="1" t="str">
        <f>"CN214518444U"</f>
        <v>CN214518444U</v>
      </c>
      <c r="H1544" s="1" t="str">
        <f t="shared" si="763"/>
        <v>2021-10-29</v>
      </c>
      <c r="I1544" s="1" t="s">
        <v>5001</v>
      </c>
      <c r="J1544" s="1" t="str">
        <f t="shared" si="762"/>
        <v>天津昊辰通达汽车检具有限公司</v>
      </c>
    </row>
    <row r="1545" spans="1:10">
      <c r="A1545" s="1" t="str">
        <f t="shared" si="760"/>
        <v>天津昊辰通达汽车检具有限公司</v>
      </c>
      <c r="B1545" s="1" t="str">
        <f>"一种汽车前门密封卡槽端部冲切机"</f>
        <v>一种汽车前门密封卡槽端部冲切机</v>
      </c>
      <c r="C1545" s="1" t="str">
        <f t="shared" si="756"/>
        <v>实用新型</v>
      </c>
      <c r="D1545" s="1" t="str">
        <f t="shared" si="757"/>
        <v>未缴年费专利权终止</v>
      </c>
      <c r="E1545" s="1" t="str">
        <f>"CN202022964040.1"</f>
        <v>CN202022964040.1</v>
      </c>
      <c r="F1545" s="1" t="str">
        <f t="shared" si="761"/>
        <v>2020-12-12</v>
      </c>
      <c r="G1545" s="1" t="str">
        <f>"CN214520705U"</f>
        <v>CN214520705U</v>
      </c>
      <c r="H1545" s="1" t="str">
        <f t="shared" si="763"/>
        <v>2021-10-29</v>
      </c>
      <c r="I1545" s="1" t="s">
        <v>5001</v>
      </c>
      <c r="J1545" s="1" t="str">
        <f t="shared" si="762"/>
        <v>天津昊辰通达汽车检具有限公司</v>
      </c>
    </row>
    <row r="1546" spans="1:10">
      <c r="A1546" s="1" t="str">
        <f t="shared" si="760"/>
        <v>天津昊辰通达汽车检具有限公司</v>
      </c>
      <c r="B1546" s="1" t="str">
        <f>"一种汽车部件加工用翼子板检具"</f>
        <v>一种汽车部件加工用翼子板检具</v>
      </c>
      <c r="C1546" s="1" t="str">
        <f t="shared" si="756"/>
        <v>实用新型</v>
      </c>
      <c r="D1546" s="1" t="str">
        <f t="shared" si="757"/>
        <v>未缴年费专利权终止</v>
      </c>
      <c r="E1546" s="1" t="str">
        <f>"CN202020163436.3"</f>
        <v>CN202020163436.3</v>
      </c>
      <c r="F1546" s="1" t="str">
        <f t="shared" ref="F1546:F1551" si="764">"2020-02-12"</f>
        <v>2020-02-12</v>
      </c>
      <c r="G1546" s="1" t="str">
        <f>"CN212567186U"</f>
        <v>CN212567186U</v>
      </c>
      <c r="H1546" s="1" t="str">
        <f>"2021-02-19"</f>
        <v>2021-02-19</v>
      </c>
      <c r="I1546" s="1" t="s">
        <v>5001</v>
      </c>
      <c r="J1546" s="1" t="str">
        <f t="shared" si="762"/>
        <v>天津昊辰通达汽车检具有限公司</v>
      </c>
    </row>
    <row r="1547" spans="1:10">
      <c r="A1547" s="1" t="str">
        <f t="shared" si="760"/>
        <v>天津昊辰通达汽车检具有限公司</v>
      </c>
      <c r="B1547" s="1" t="str">
        <f>"一种汽车部件加工用前轮罩外板总成夹具"</f>
        <v>一种汽车部件加工用前轮罩外板总成夹具</v>
      </c>
      <c r="C1547" s="1" t="str">
        <f t="shared" si="756"/>
        <v>实用新型</v>
      </c>
      <c r="D1547" s="1" t="str">
        <f t="shared" si="757"/>
        <v>未缴年费专利权终止</v>
      </c>
      <c r="E1547" s="1" t="str">
        <f>"CN202020119938.6"</f>
        <v>CN202020119938.6</v>
      </c>
      <c r="F1547" s="1" t="str">
        <f t="shared" ref="F1547:F1550" si="765">"2020-01-19"</f>
        <v>2020-01-19</v>
      </c>
      <c r="G1547" s="1" t="str">
        <f>"CN211680699U"</f>
        <v>CN211680699U</v>
      </c>
      <c r="H1547" s="1" t="str">
        <f>"2020-10-16"</f>
        <v>2020-10-16</v>
      </c>
      <c r="I1547" s="1" t="s">
        <v>5001</v>
      </c>
      <c r="J1547" s="1" t="str">
        <f t="shared" si="762"/>
        <v>天津昊辰通达汽车检具有限公司</v>
      </c>
    </row>
    <row r="1548" spans="1:10">
      <c r="A1548" s="1" t="str">
        <f t="shared" si="760"/>
        <v>天津昊辰通达汽车检具有限公司</v>
      </c>
      <c r="B1548" s="1" t="str">
        <f>"一种汽车部件加工用行李箱盖上外板夹具"</f>
        <v>一种汽车部件加工用行李箱盖上外板夹具</v>
      </c>
      <c r="C1548" s="1" t="str">
        <f t="shared" si="756"/>
        <v>实用新型</v>
      </c>
      <c r="D1548" s="1" t="str">
        <f t="shared" si="757"/>
        <v>未缴年费专利权终止</v>
      </c>
      <c r="E1548" s="1" t="str">
        <f>"CN202020163530.9"</f>
        <v>CN202020163530.9</v>
      </c>
      <c r="F1548" s="1" t="str">
        <f t="shared" si="764"/>
        <v>2020-02-12</v>
      </c>
      <c r="G1548" s="1" t="str">
        <f>"CN211680705U"</f>
        <v>CN211680705U</v>
      </c>
      <c r="H1548" s="1" t="str">
        <f>"2020-10-16"</f>
        <v>2020-10-16</v>
      </c>
      <c r="I1548" s="1" t="s">
        <v>5001</v>
      </c>
      <c r="J1548" s="1" t="str">
        <f t="shared" si="762"/>
        <v>天津昊辰通达汽车检具有限公司</v>
      </c>
    </row>
    <row r="1549" spans="1:10">
      <c r="A1549" s="1" t="str">
        <f t="shared" si="760"/>
        <v>天津昊辰通达汽车检具有限公司</v>
      </c>
      <c r="B1549" s="1" t="str">
        <f>"一种汽车部件加工用行李箱外板下段夹具结构"</f>
        <v>一种汽车部件加工用行李箱外板下段夹具结构</v>
      </c>
      <c r="C1549" s="1" t="str">
        <f t="shared" si="756"/>
        <v>实用新型</v>
      </c>
      <c r="D1549" s="1" t="str">
        <f t="shared" si="757"/>
        <v>未缴年费专利权终止</v>
      </c>
      <c r="E1549" s="1" t="str">
        <f>"CN202020124951.0"</f>
        <v>CN202020124951.0</v>
      </c>
      <c r="F1549" s="1" t="str">
        <f t="shared" si="765"/>
        <v>2020-01-19</v>
      </c>
      <c r="G1549" s="1" t="str">
        <f>"CN211661565U"</f>
        <v>CN211661565U</v>
      </c>
      <c r="H1549" s="1" t="str">
        <f t="shared" ref="H1549:H1551" si="766">"2020-10-13"</f>
        <v>2020-10-13</v>
      </c>
      <c r="I1549" s="1" t="s">
        <v>5001</v>
      </c>
      <c r="J1549" s="1" t="str">
        <f t="shared" si="762"/>
        <v>天津昊辰通达汽车检具有限公司</v>
      </c>
    </row>
    <row r="1550" spans="1:10">
      <c r="A1550" s="1" t="str">
        <f t="shared" si="760"/>
        <v>天津昊辰通达汽车检具有限公司</v>
      </c>
      <c r="B1550" s="1" t="str">
        <f>"一种汽车部件加工用行李箱盖下外板夹具结构"</f>
        <v>一种汽车部件加工用行李箱盖下外板夹具结构</v>
      </c>
      <c r="C1550" s="1" t="str">
        <f t="shared" si="756"/>
        <v>实用新型</v>
      </c>
      <c r="D1550" s="1" t="str">
        <f t="shared" si="757"/>
        <v>未缴年费专利权终止</v>
      </c>
      <c r="E1550" s="1" t="str">
        <f>"CN202020124923.9"</f>
        <v>CN202020124923.9</v>
      </c>
      <c r="F1550" s="1" t="str">
        <f t="shared" si="765"/>
        <v>2020-01-19</v>
      </c>
      <c r="G1550" s="1" t="str">
        <f>"CN211661564U"</f>
        <v>CN211661564U</v>
      </c>
      <c r="H1550" s="1" t="str">
        <f t="shared" si="766"/>
        <v>2020-10-13</v>
      </c>
      <c r="I1550" s="1" t="s">
        <v>5001</v>
      </c>
      <c r="J1550" s="1" t="str">
        <f t="shared" si="762"/>
        <v>天津昊辰通达汽车检具有限公司</v>
      </c>
    </row>
    <row r="1551" spans="1:10">
      <c r="A1551" s="1" t="str">
        <f t="shared" si="760"/>
        <v>天津昊辰通达汽车检具有限公司</v>
      </c>
      <c r="B1551" s="1" t="str">
        <f>"一种汽车部件加工用后车门内板夹具"</f>
        <v>一种汽车部件加工用后车门内板夹具</v>
      </c>
      <c r="C1551" s="1" t="str">
        <f t="shared" si="756"/>
        <v>实用新型</v>
      </c>
      <c r="D1551" s="1" t="str">
        <f t="shared" si="757"/>
        <v>未缴年费专利权终止</v>
      </c>
      <c r="E1551" s="1" t="str">
        <f>"CN202020163529.6"</f>
        <v>CN202020163529.6</v>
      </c>
      <c r="F1551" s="1" t="str">
        <f t="shared" si="764"/>
        <v>2020-02-12</v>
      </c>
      <c r="G1551" s="1" t="str">
        <f>"CN211661595U"</f>
        <v>CN211661595U</v>
      </c>
      <c r="H1551" s="1" t="str">
        <f t="shared" si="766"/>
        <v>2020-10-13</v>
      </c>
      <c r="I1551" s="1" t="s">
        <v>5001</v>
      </c>
      <c r="J1551" s="1" t="str">
        <f t="shared" si="762"/>
        <v>天津昊辰通达汽车检具有限公司</v>
      </c>
    </row>
    <row r="1552" spans="1:10">
      <c r="A1552" s="1" t="str">
        <f t="shared" si="760"/>
        <v>天津昊辰通达汽车检具有限公司</v>
      </c>
      <c r="B1552" s="1" t="str">
        <f>"一种汽车部件加工用发动机罩外板检测用定位工装"</f>
        <v>一种汽车部件加工用发动机罩外板检测用定位工装</v>
      </c>
      <c r="C1552" s="1" t="str">
        <f t="shared" si="756"/>
        <v>实用新型</v>
      </c>
      <c r="D1552" s="1" t="str">
        <f t="shared" si="757"/>
        <v>未缴年费专利权终止</v>
      </c>
      <c r="E1552" s="1" t="str">
        <f>"CN202020124861.1"</f>
        <v>CN202020124861.1</v>
      </c>
      <c r="F1552" s="1" t="str">
        <f t="shared" ref="F1552:F1556" si="767">"2020-01-19"</f>
        <v>2020-01-19</v>
      </c>
      <c r="G1552" s="1" t="str">
        <f>"CN211553305U"</f>
        <v>CN211553305U</v>
      </c>
      <c r="H1552" s="1" t="str">
        <f t="shared" ref="H1552:H1554" si="768">"2020-09-22"</f>
        <v>2020-09-22</v>
      </c>
      <c r="I1552" s="1" t="s">
        <v>5001</v>
      </c>
      <c r="J1552" s="1" t="str">
        <f t="shared" si="762"/>
        <v>天津昊辰通达汽车检具有限公司</v>
      </c>
    </row>
    <row r="1553" spans="1:10">
      <c r="A1553" s="1" t="str">
        <f t="shared" si="760"/>
        <v>天津昊辰通达汽车检具有限公司</v>
      </c>
      <c r="B1553" s="1" t="str">
        <f>"一种汽车部件加工用后轮罩外板总成检具装置"</f>
        <v>一种汽车部件加工用后轮罩外板总成检具装置</v>
      </c>
      <c r="C1553" s="1" t="str">
        <f t="shared" si="756"/>
        <v>实用新型</v>
      </c>
      <c r="D1553" s="1" t="str">
        <f t="shared" si="757"/>
        <v>未缴年费专利权终止</v>
      </c>
      <c r="E1553" s="1" t="str">
        <f>"CN202020160146.3"</f>
        <v>CN202020160146.3</v>
      </c>
      <c r="F1553" s="1" t="str">
        <f>"2020-02-11"</f>
        <v>2020-02-11</v>
      </c>
      <c r="G1553" s="1" t="str">
        <f>"CN211552646U"</f>
        <v>CN211552646U</v>
      </c>
      <c r="H1553" s="1" t="str">
        <f t="shared" si="768"/>
        <v>2020-09-22</v>
      </c>
      <c r="I1553" s="1" t="s">
        <v>5001</v>
      </c>
      <c r="J1553" s="1" t="str">
        <f t="shared" si="762"/>
        <v>天津昊辰通达汽车检具有限公司</v>
      </c>
    </row>
    <row r="1554" spans="1:10">
      <c r="A1554" s="1" t="str">
        <f t="shared" si="760"/>
        <v>天津昊辰通达汽车检具有限公司</v>
      </c>
      <c r="B1554" s="1" t="str">
        <f>"一种汽车部件加工用侧围外板检测工装"</f>
        <v>一种汽车部件加工用侧围外板检测工装</v>
      </c>
      <c r="C1554" s="1" t="str">
        <f t="shared" si="756"/>
        <v>实用新型</v>
      </c>
      <c r="D1554" s="1" t="str">
        <f t="shared" si="757"/>
        <v>未缴年费专利权终止</v>
      </c>
      <c r="E1554" s="1" t="str">
        <f>"CN202020119935.2"</f>
        <v>CN202020119935.2</v>
      </c>
      <c r="F1554" s="1" t="str">
        <f t="shared" si="767"/>
        <v>2020-01-19</v>
      </c>
      <c r="G1554" s="1" t="str">
        <f>"CN211552772U"</f>
        <v>CN211552772U</v>
      </c>
      <c r="H1554" s="1" t="str">
        <f t="shared" si="768"/>
        <v>2020-09-22</v>
      </c>
      <c r="I1554" s="1" t="s">
        <v>5001</v>
      </c>
      <c r="J1554" s="1" t="str">
        <f t="shared" si="762"/>
        <v>天津昊辰通达汽车检具有限公司</v>
      </c>
    </row>
    <row r="1555" spans="1:10">
      <c r="A1555" s="1" t="str">
        <f t="shared" si="760"/>
        <v>天津昊辰通达汽车检具有限公司</v>
      </c>
      <c r="B1555" s="1" t="str">
        <f>"一种汽车部件加工用后车门外板检具"</f>
        <v>一种汽车部件加工用后车门外板检具</v>
      </c>
      <c r="C1555" s="1" t="str">
        <f t="shared" si="756"/>
        <v>实用新型</v>
      </c>
      <c r="D1555" s="1" t="str">
        <f t="shared" si="757"/>
        <v>未缴年费专利权终止</v>
      </c>
      <c r="E1555" s="1" t="str">
        <f>"CN202020119933.3"</f>
        <v>CN202020119933.3</v>
      </c>
      <c r="F1555" s="1" t="str">
        <f t="shared" si="767"/>
        <v>2020-01-19</v>
      </c>
      <c r="G1555" s="1" t="str">
        <f>"CN211346600U"</f>
        <v>CN211346600U</v>
      </c>
      <c r="H1555" s="1" t="str">
        <f>"2020-08-25"</f>
        <v>2020-08-25</v>
      </c>
      <c r="I1555" s="1" t="s">
        <v>5001</v>
      </c>
      <c r="J1555" s="1" t="str">
        <f t="shared" si="762"/>
        <v>天津昊辰通达汽车检具有限公司</v>
      </c>
    </row>
    <row r="1556" spans="1:10">
      <c r="A1556" s="1" t="str">
        <f t="shared" si="760"/>
        <v>天津昊辰通达汽车检具有限公司</v>
      </c>
      <c r="B1556" s="1" t="str">
        <f>"一种汽车部件加工用前车门外板检具结构"</f>
        <v>一种汽车部件加工用前车门外板检具结构</v>
      </c>
      <c r="C1556" s="1" t="str">
        <f t="shared" si="756"/>
        <v>实用新型</v>
      </c>
      <c r="D1556" s="1" t="str">
        <f t="shared" si="757"/>
        <v>未缴年费专利权终止</v>
      </c>
      <c r="E1556" s="1" t="str">
        <f>"CN202020119932.9"</f>
        <v>CN202020119932.9</v>
      </c>
      <c r="F1556" s="1" t="str">
        <f t="shared" si="767"/>
        <v>2020-01-19</v>
      </c>
      <c r="G1556" s="1" t="str">
        <f>"CN211346732U"</f>
        <v>CN211346732U</v>
      </c>
      <c r="H1556" s="1" t="str">
        <f>"2020-08-25"</f>
        <v>2020-08-25</v>
      </c>
      <c r="I1556" s="1" t="s">
        <v>5001</v>
      </c>
      <c r="J1556" s="1" t="str">
        <f t="shared" si="762"/>
        <v>天津昊辰通达汽车检具有限公司</v>
      </c>
    </row>
    <row r="1557" spans="1:10">
      <c r="A1557" s="1" t="str">
        <f t="shared" ref="A1557:A1620" si="769">"天津市华迪汽车散热器有限公司"</f>
        <v>天津市华迪汽车散热器有限公司</v>
      </c>
      <c r="B1557" s="1" t="str">
        <f>"一种散热器主板和水室的密封结构"</f>
        <v>一种散热器主板和水室的密封结构</v>
      </c>
      <c r="C1557" s="1" t="str">
        <f>"发明授权"</f>
        <v>发明授权</v>
      </c>
      <c r="D1557" s="1" t="str">
        <f>"授权"</f>
        <v>授权</v>
      </c>
      <c r="E1557" s="1" t="str">
        <f>"CN201711466346.0"</f>
        <v>CN201711466346.0</v>
      </c>
      <c r="F1557" s="1" t="str">
        <f>"2017-12-28"</f>
        <v>2017-12-28</v>
      </c>
      <c r="G1557" s="1" t="str">
        <f>"CN108180778B"</f>
        <v>CN108180778B</v>
      </c>
      <c r="H1557" s="1" t="str">
        <f>"2024-05-10"</f>
        <v>2024-05-10</v>
      </c>
      <c r="I1557" s="1" t="s">
        <v>5002</v>
      </c>
      <c r="J1557" s="1" t="str">
        <f t="shared" ref="J1557:J1620" si="770">"天津市华迪汽车散热器有限公司"</f>
        <v>天津市华迪汽车散热器有限公司</v>
      </c>
    </row>
    <row r="1558" spans="1:10">
      <c r="A1558" s="1" t="str">
        <f t="shared" si="769"/>
        <v>天津市华迪汽车散热器有限公司</v>
      </c>
      <c r="B1558" s="1" t="str">
        <f>"散热器用塑料原料的下料装置"</f>
        <v>散热器用塑料原料的下料装置</v>
      </c>
      <c r="C1558" s="1" t="str">
        <f t="shared" ref="C1558:C1571" si="771">"实用新型"</f>
        <v>实用新型</v>
      </c>
      <c r="D1558" s="1" t="str">
        <f t="shared" ref="D1558:D1571" si="772">"未缴年费专利权终止"</f>
        <v>未缴年费专利权终止</v>
      </c>
      <c r="E1558" s="1" t="str">
        <f>"CN202020961418.X"</f>
        <v>CN202020961418.X</v>
      </c>
      <c r="F1558" s="1" t="str">
        <f t="shared" ref="F1558:F1567" si="773">"2020-05-29"</f>
        <v>2020-05-29</v>
      </c>
      <c r="G1558" s="1" t="str">
        <f>"CN213563677U"</f>
        <v>CN213563677U</v>
      </c>
      <c r="H1558" s="1" t="str">
        <f>"2021-06-29"</f>
        <v>2021-06-29</v>
      </c>
      <c r="I1558" s="1" t="s">
        <v>5003</v>
      </c>
      <c r="J1558" s="1" t="str">
        <f t="shared" si="770"/>
        <v>天津市华迪汽车散热器有限公司</v>
      </c>
    </row>
    <row r="1559" spans="1:10">
      <c r="A1559" s="1" t="str">
        <f t="shared" si="769"/>
        <v>天津市华迪汽车散热器有限公司</v>
      </c>
      <c r="B1559" s="1" t="str">
        <f>"散热器水室的水管结构"</f>
        <v>散热器水室的水管结构</v>
      </c>
      <c r="C1559" s="1" t="str">
        <f t="shared" si="771"/>
        <v>实用新型</v>
      </c>
      <c r="D1559" s="1" t="str">
        <f t="shared" si="772"/>
        <v>未缴年费专利权终止</v>
      </c>
      <c r="E1559" s="1" t="str">
        <f>"CN202020950067.2"</f>
        <v>CN202020950067.2</v>
      </c>
      <c r="F1559" s="1" t="str">
        <f t="shared" si="773"/>
        <v>2020-05-29</v>
      </c>
      <c r="G1559" s="1" t="str">
        <f>"CN212692666U"</f>
        <v>CN212692666U</v>
      </c>
      <c r="H1559" s="1" t="str">
        <f t="shared" ref="H1559:H1563" si="774">"2021-03-12"</f>
        <v>2021-03-12</v>
      </c>
      <c r="I1559" s="1" t="s">
        <v>5003</v>
      </c>
      <c r="J1559" s="1" t="str">
        <f t="shared" si="770"/>
        <v>天津市华迪汽车散热器有限公司</v>
      </c>
    </row>
    <row r="1560" spans="1:10">
      <c r="A1560" s="1" t="str">
        <f t="shared" si="769"/>
        <v>天津市华迪汽车散热器有限公司</v>
      </c>
      <c r="B1560" s="1" t="str">
        <f>"水管用密封螺母结构"</f>
        <v>水管用密封螺母结构</v>
      </c>
      <c r="C1560" s="1" t="str">
        <f t="shared" si="771"/>
        <v>实用新型</v>
      </c>
      <c r="D1560" s="1" t="str">
        <f t="shared" si="772"/>
        <v>未缴年费专利权终止</v>
      </c>
      <c r="E1560" s="1" t="str">
        <f>"CN202020949973.0"</f>
        <v>CN202020949973.0</v>
      </c>
      <c r="F1560" s="1" t="str">
        <f t="shared" si="773"/>
        <v>2020-05-29</v>
      </c>
      <c r="G1560" s="1" t="str">
        <f>"CN212692665U"</f>
        <v>CN212692665U</v>
      </c>
      <c r="H1560" s="1" t="str">
        <f t="shared" si="774"/>
        <v>2021-03-12</v>
      </c>
      <c r="I1560" s="1" t="s">
        <v>5003</v>
      </c>
      <c r="J1560" s="1" t="str">
        <f t="shared" si="770"/>
        <v>天津市华迪汽车散热器有限公司</v>
      </c>
    </row>
    <row r="1561" spans="1:10">
      <c r="A1561" s="1" t="str">
        <f t="shared" si="769"/>
        <v>天津市华迪汽车散热器有限公司</v>
      </c>
      <c r="B1561" s="1" t="str">
        <f>"一种散热器防外扩工装"</f>
        <v>一种散热器防外扩工装</v>
      </c>
      <c r="C1561" s="1" t="str">
        <f t="shared" si="771"/>
        <v>实用新型</v>
      </c>
      <c r="D1561" s="1" t="str">
        <f t="shared" si="772"/>
        <v>未缴年费专利权终止</v>
      </c>
      <c r="E1561" s="1" t="str">
        <f>"CN202020961420.7"</f>
        <v>CN202020961420.7</v>
      </c>
      <c r="F1561" s="1" t="str">
        <f t="shared" si="773"/>
        <v>2020-05-29</v>
      </c>
      <c r="G1561" s="1" t="str">
        <f>"CN212682738U"</f>
        <v>CN212682738U</v>
      </c>
      <c r="H1561" s="1" t="str">
        <f t="shared" si="774"/>
        <v>2021-03-12</v>
      </c>
      <c r="I1561" s="1" t="s">
        <v>5003</v>
      </c>
      <c r="J1561" s="1" t="str">
        <f t="shared" si="770"/>
        <v>天津市华迪汽车散热器有限公司</v>
      </c>
    </row>
    <row r="1562" spans="1:10">
      <c r="A1562" s="1" t="str">
        <f t="shared" si="769"/>
        <v>天津市华迪汽车散热器有限公司</v>
      </c>
      <c r="B1562" s="1" t="str">
        <f>"出水方向可调的出水阀"</f>
        <v>出水方向可调的出水阀</v>
      </c>
      <c r="C1562" s="1" t="str">
        <f t="shared" si="771"/>
        <v>实用新型</v>
      </c>
      <c r="D1562" s="1" t="str">
        <f t="shared" si="772"/>
        <v>未缴年费专利权终止</v>
      </c>
      <c r="E1562" s="1" t="str">
        <f>"CN202020952302.X"</f>
        <v>CN202020952302.X</v>
      </c>
      <c r="F1562" s="1" t="str">
        <f t="shared" si="773"/>
        <v>2020-05-29</v>
      </c>
      <c r="G1562" s="1" t="str">
        <f>"CN212690971U"</f>
        <v>CN212690971U</v>
      </c>
      <c r="H1562" s="1" t="str">
        <f t="shared" si="774"/>
        <v>2021-03-12</v>
      </c>
      <c r="I1562" s="1" t="s">
        <v>5003</v>
      </c>
      <c r="J1562" s="1" t="str">
        <f t="shared" si="770"/>
        <v>天津市华迪汽车散热器有限公司</v>
      </c>
    </row>
    <row r="1563" spans="1:10">
      <c r="A1563" s="1" t="str">
        <f t="shared" si="769"/>
        <v>天津市华迪汽车散热器有限公司</v>
      </c>
      <c r="B1563" s="1" t="str">
        <f>"便于连接的螺母嵌入式结构"</f>
        <v>便于连接的螺母嵌入式结构</v>
      </c>
      <c r="C1563" s="1" t="str">
        <f t="shared" si="771"/>
        <v>实用新型</v>
      </c>
      <c r="D1563" s="1" t="str">
        <f t="shared" si="772"/>
        <v>未缴年费专利权终止</v>
      </c>
      <c r="E1563" s="1" t="str">
        <f>"CN202020950013.6"</f>
        <v>CN202020950013.6</v>
      </c>
      <c r="F1563" s="1" t="str">
        <f t="shared" si="773"/>
        <v>2020-05-29</v>
      </c>
      <c r="G1563" s="1" t="str">
        <f>"CN212692668U"</f>
        <v>CN212692668U</v>
      </c>
      <c r="H1563" s="1" t="str">
        <f t="shared" si="774"/>
        <v>2021-03-12</v>
      </c>
      <c r="I1563" s="1" t="s">
        <v>5003</v>
      </c>
      <c r="J1563" s="1" t="str">
        <f t="shared" si="770"/>
        <v>天津市华迪汽车散热器有限公司</v>
      </c>
    </row>
    <row r="1564" spans="1:10">
      <c r="A1564" s="1" t="str">
        <f t="shared" si="769"/>
        <v>天津市华迪汽车散热器有限公司</v>
      </c>
      <c r="B1564" s="1" t="str">
        <f>"可调式防内缩工装"</f>
        <v>可调式防内缩工装</v>
      </c>
      <c r="C1564" s="1" t="str">
        <f t="shared" si="771"/>
        <v>实用新型</v>
      </c>
      <c r="D1564" s="1" t="str">
        <f t="shared" si="772"/>
        <v>未缴年费专利权终止</v>
      </c>
      <c r="E1564" s="1" t="str">
        <f>"CN202020952293.4"</f>
        <v>CN202020952293.4</v>
      </c>
      <c r="F1564" s="1" t="str">
        <f t="shared" si="773"/>
        <v>2020-05-29</v>
      </c>
      <c r="G1564" s="1" t="str">
        <f>"CN212331740U"</f>
        <v>CN212331740U</v>
      </c>
      <c r="H1564" s="1" t="str">
        <f t="shared" ref="H1564:H1567" si="775">"2021-01-12"</f>
        <v>2021-01-12</v>
      </c>
      <c r="I1564" s="1" t="s">
        <v>5003</v>
      </c>
      <c r="J1564" s="1" t="str">
        <f t="shared" si="770"/>
        <v>天津市华迪汽车散热器有限公司</v>
      </c>
    </row>
    <row r="1565" spans="1:10">
      <c r="A1565" s="1" t="str">
        <f t="shared" si="769"/>
        <v>天津市华迪汽车散热器有限公司</v>
      </c>
      <c r="B1565" s="1" t="str">
        <f>"汽车散热器水箱"</f>
        <v>汽车散热器水箱</v>
      </c>
      <c r="C1565" s="1" t="str">
        <f t="shared" si="771"/>
        <v>实用新型</v>
      </c>
      <c r="D1565" s="1" t="str">
        <f t="shared" si="772"/>
        <v>未缴年费专利权终止</v>
      </c>
      <c r="E1565" s="1" t="str">
        <f>"CN202020960593.7"</f>
        <v>CN202020960593.7</v>
      </c>
      <c r="F1565" s="1" t="str">
        <f t="shared" si="773"/>
        <v>2020-05-29</v>
      </c>
      <c r="G1565" s="1" t="str">
        <f>"CN212337435U"</f>
        <v>CN212337435U</v>
      </c>
      <c r="H1565" s="1" t="str">
        <f t="shared" si="775"/>
        <v>2021-01-12</v>
      </c>
      <c r="I1565" s="1" t="s">
        <v>5003</v>
      </c>
      <c r="J1565" s="1" t="str">
        <f t="shared" si="770"/>
        <v>天津市华迪汽车散热器有限公司</v>
      </c>
    </row>
    <row r="1566" spans="1:10">
      <c r="A1566" s="1" t="str">
        <f t="shared" si="769"/>
        <v>天津市华迪汽车散热器有限公司</v>
      </c>
      <c r="B1566" s="1" t="str">
        <f>"一种两级散热器水箱"</f>
        <v>一种两级散热器水箱</v>
      </c>
      <c r="C1566" s="1" t="str">
        <f t="shared" si="771"/>
        <v>实用新型</v>
      </c>
      <c r="D1566" s="1" t="str">
        <f t="shared" si="772"/>
        <v>未缴年费专利权终止</v>
      </c>
      <c r="E1566" s="1" t="str">
        <f>"CN202020961257.4"</f>
        <v>CN202020961257.4</v>
      </c>
      <c r="F1566" s="1" t="str">
        <f t="shared" si="773"/>
        <v>2020-05-29</v>
      </c>
      <c r="G1566" s="1" t="str">
        <f>"CN212337436U"</f>
        <v>CN212337436U</v>
      </c>
      <c r="H1566" s="1" t="str">
        <f t="shared" si="775"/>
        <v>2021-01-12</v>
      </c>
      <c r="I1566" s="1" t="s">
        <v>5003</v>
      </c>
      <c r="J1566" s="1" t="str">
        <f t="shared" si="770"/>
        <v>天津市华迪汽车散热器有限公司</v>
      </c>
    </row>
    <row r="1567" spans="1:10">
      <c r="A1567" s="1" t="str">
        <f t="shared" si="769"/>
        <v>天津市华迪汽车散热器有限公司</v>
      </c>
      <c r="B1567" s="1" t="str">
        <f>"用于散热器水室的防扭曲变形工装"</f>
        <v>用于散热器水室的防扭曲变形工装</v>
      </c>
      <c r="C1567" s="1" t="str">
        <f t="shared" si="771"/>
        <v>实用新型</v>
      </c>
      <c r="D1567" s="1" t="str">
        <f t="shared" si="772"/>
        <v>未缴年费专利权终止</v>
      </c>
      <c r="E1567" s="1" t="str">
        <f>"CN202020949976.4"</f>
        <v>CN202020949976.4</v>
      </c>
      <c r="F1567" s="1" t="str">
        <f t="shared" si="773"/>
        <v>2020-05-29</v>
      </c>
      <c r="G1567" s="1" t="str">
        <f>"CN212331664U"</f>
        <v>CN212331664U</v>
      </c>
      <c r="H1567" s="1" t="str">
        <f t="shared" si="775"/>
        <v>2021-01-12</v>
      </c>
      <c r="I1567" s="1" t="s">
        <v>5003</v>
      </c>
      <c r="J1567" s="1" t="str">
        <f t="shared" si="770"/>
        <v>天津市华迪汽车散热器有限公司</v>
      </c>
    </row>
    <row r="1568" spans="1:10">
      <c r="A1568" s="1" t="str">
        <f t="shared" si="769"/>
        <v>天津市华迪汽车散热器有限公司</v>
      </c>
      <c r="B1568" s="1" t="str">
        <f>"一种压钳装置"</f>
        <v>一种压钳装置</v>
      </c>
      <c r="C1568" s="1" t="str">
        <f t="shared" si="771"/>
        <v>实用新型</v>
      </c>
      <c r="D1568" s="1" t="str">
        <f t="shared" si="772"/>
        <v>未缴年费专利权终止</v>
      </c>
      <c r="E1568" s="1" t="str">
        <f>"CN201822219583.3"</f>
        <v>CN201822219583.3</v>
      </c>
      <c r="F1568" s="1" t="str">
        <f t="shared" ref="F1568:F1575" si="776">"2018-12-27"</f>
        <v>2018-12-27</v>
      </c>
      <c r="G1568" s="1" t="str">
        <f>"CN210189656U"</f>
        <v>CN210189656U</v>
      </c>
      <c r="H1568" s="1" t="str">
        <f>"2020-03-27"</f>
        <v>2020-03-27</v>
      </c>
      <c r="I1568" s="1" t="s">
        <v>5002</v>
      </c>
      <c r="J1568" s="1" t="str">
        <f t="shared" si="770"/>
        <v>天津市华迪汽车散热器有限公司</v>
      </c>
    </row>
    <row r="1569" spans="1:10">
      <c r="A1569" s="1" t="str">
        <f t="shared" si="769"/>
        <v>天津市华迪汽车散热器有限公司</v>
      </c>
      <c r="B1569" s="1" t="str">
        <f>"一种水室放水开关"</f>
        <v>一种水室放水开关</v>
      </c>
      <c r="C1569" s="1" t="str">
        <f t="shared" si="771"/>
        <v>实用新型</v>
      </c>
      <c r="D1569" s="1" t="str">
        <f t="shared" si="772"/>
        <v>未缴年费专利权终止</v>
      </c>
      <c r="E1569" s="1" t="str">
        <f>"CN201822219601.8"</f>
        <v>CN201822219601.8</v>
      </c>
      <c r="F1569" s="1" t="str">
        <f t="shared" si="776"/>
        <v>2018-12-27</v>
      </c>
      <c r="G1569" s="1" t="str">
        <f>"CN209705289U"</f>
        <v>CN209705289U</v>
      </c>
      <c r="H1569" s="1" t="str">
        <f>"2019-11-29"</f>
        <v>2019-11-29</v>
      </c>
      <c r="I1569" s="1" t="s">
        <v>5002</v>
      </c>
      <c r="J1569" s="1" t="str">
        <f t="shared" si="770"/>
        <v>天津市华迪汽车散热器有限公司</v>
      </c>
    </row>
    <row r="1570" spans="1:10">
      <c r="A1570" s="1" t="str">
        <f t="shared" si="769"/>
        <v>天津市华迪汽车散热器有限公司</v>
      </c>
      <c r="B1570" s="1" t="str">
        <f>"一种散热器水室脱模防变形结构"</f>
        <v>一种散热器水室脱模防变形结构</v>
      </c>
      <c r="C1570" s="1" t="str">
        <f t="shared" si="771"/>
        <v>实用新型</v>
      </c>
      <c r="D1570" s="1" t="str">
        <f t="shared" si="772"/>
        <v>未缴年费专利权终止</v>
      </c>
      <c r="E1570" s="1" t="str">
        <f>"CN201822219585.2"</f>
        <v>CN201822219585.2</v>
      </c>
      <c r="F1570" s="1" t="str">
        <f t="shared" si="776"/>
        <v>2018-12-27</v>
      </c>
      <c r="G1570" s="1" t="str">
        <f>"CN209521231U"</f>
        <v>CN209521231U</v>
      </c>
      <c r="H1570" s="1" t="str">
        <f>"2019-10-22"</f>
        <v>2019-10-22</v>
      </c>
      <c r="I1570" s="1" t="s">
        <v>5002</v>
      </c>
      <c r="J1570" s="1" t="str">
        <f t="shared" si="770"/>
        <v>天津市华迪汽车散热器有限公司</v>
      </c>
    </row>
    <row r="1571" spans="1:10">
      <c r="A1571" s="1" t="str">
        <f t="shared" si="769"/>
        <v>天津市华迪汽车散热器有限公司</v>
      </c>
      <c r="B1571" s="1" t="str">
        <f>"一种散热器水室定型用撑板"</f>
        <v>一种散热器水室定型用撑板</v>
      </c>
      <c r="C1571" s="1" t="str">
        <f t="shared" si="771"/>
        <v>实用新型</v>
      </c>
      <c r="D1571" s="1" t="str">
        <f t="shared" si="772"/>
        <v>未缴年费专利权终止</v>
      </c>
      <c r="E1571" s="1" t="str">
        <f>"CN201822220855.1"</f>
        <v>CN201822220855.1</v>
      </c>
      <c r="F1571" s="1" t="str">
        <f t="shared" si="776"/>
        <v>2018-12-27</v>
      </c>
      <c r="G1571" s="1" t="str">
        <f>"CN209521236U"</f>
        <v>CN209521236U</v>
      </c>
      <c r="H1571" s="1" t="str">
        <f>"2019-10-22"</f>
        <v>2019-10-22</v>
      </c>
      <c r="I1571" s="1" t="s">
        <v>5002</v>
      </c>
      <c r="J1571" s="1" t="str">
        <f t="shared" si="770"/>
        <v>天津市华迪汽车散热器有限公司</v>
      </c>
    </row>
    <row r="1572" spans="1:10">
      <c r="A1572" s="1" t="str">
        <f t="shared" si="769"/>
        <v>天津市华迪汽车散热器有限公司</v>
      </c>
      <c r="B1572" s="1" t="str">
        <f>"一种水室放水结构"</f>
        <v>一种水室放水结构</v>
      </c>
      <c r="C1572" s="1" t="str">
        <f t="shared" ref="C1572:C1575" si="777">"发明公布"</f>
        <v>发明公布</v>
      </c>
      <c r="D1572" s="1" t="str">
        <f t="shared" ref="D1572:D1575" si="778">"公布视为撤回"</f>
        <v>公布视为撤回</v>
      </c>
      <c r="E1572" s="1" t="str">
        <f>"CN201811614751.7"</f>
        <v>CN201811614751.7</v>
      </c>
      <c r="F1572" s="1" t="str">
        <f t="shared" si="776"/>
        <v>2018-12-27</v>
      </c>
      <c r="G1572" s="1" t="str">
        <f>"CN109519547A"</f>
        <v>CN109519547A</v>
      </c>
      <c r="H1572" s="1" t="str">
        <f>"2019-03-26"</f>
        <v>2019-03-26</v>
      </c>
      <c r="I1572" s="1" t="s">
        <v>5002</v>
      </c>
      <c r="J1572" s="1" t="str">
        <f t="shared" si="770"/>
        <v>天津市华迪汽车散热器有限公司</v>
      </c>
    </row>
    <row r="1573" spans="1:10">
      <c r="A1573" s="1" t="str">
        <f t="shared" si="769"/>
        <v>天津市华迪汽车散热器有限公司</v>
      </c>
      <c r="B1573" s="1" t="str">
        <f>"一种水室脱模防变形结构"</f>
        <v>一种水室脱模防变形结构</v>
      </c>
      <c r="C1573" s="1" t="str">
        <f t="shared" si="777"/>
        <v>发明公布</v>
      </c>
      <c r="D1573" s="1" t="str">
        <f t="shared" si="778"/>
        <v>公布视为撤回</v>
      </c>
      <c r="E1573" s="1" t="str">
        <f>"CN201811616113.9"</f>
        <v>CN201811616113.9</v>
      </c>
      <c r="F1573" s="1" t="str">
        <f t="shared" si="776"/>
        <v>2018-12-27</v>
      </c>
      <c r="G1573" s="1" t="str">
        <f>"CN109483830A"</f>
        <v>CN109483830A</v>
      </c>
      <c r="H1573" s="1" t="str">
        <f>"2019-03-19"</f>
        <v>2019-03-19</v>
      </c>
      <c r="I1573" s="1" t="s">
        <v>5002</v>
      </c>
      <c r="J1573" s="1" t="str">
        <f t="shared" si="770"/>
        <v>天津市华迪汽车散热器有限公司</v>
      </c>
    </row>
    <row r="1574" spans="1:10">
      <c r="A1574" s="1" t="str">
        <f t="shared" si="769"/>
        <v>天津市华迪汽车散热器有限公司</v>
      </c>
      <c r="B1574" s="1" t="str">
        <f>"一种散热器水室定型用支撑件"</f>
        <v>一种散热器水室定型用支撑件</v>
      </c>
      <c r="C1574" s="1" t="str">
        <f t="shared" si="777"/>
        <v>发明公布</v>
      </c>
      <c r="D1574" s="1" t="str">
        <f t="shared" si="778"/>
        <v>公布视为撤回</v>
      </c>
      <c r="E1574" s="1" t="str">
        <f>"CN201811616122.8"</f>
        <v>CN201811616122.8</v>
      </c>
      <c r="F1574" s="1" t="str">
        <f t="shared" si="776"/>
        <v>2018-12-27</v>
      </c>
      <c r="G1574" s="1" t="str">
        <f>"CN109435191A"</f>
        <v>CN109435191A</v>
      </c>
      <c r="H1574" s="1" t="str">
        <f>"2019-03-08"</f>
        <v>2019-03-08</v>
      </c>
      <c r="I1574" s="1" t="s">
        <v>5002</v>
      </c>
      <c r="J1574" s="1" t="str">
        <f t="shared" si="770"/>
        <v>天津市华迪汽车散热器有限公司</v>
      </c>
    </row>
    <row r="1575" spans="1:10">
      <c r="A1575" s="1" t="str">
        <f t="shared" si="769"/>
        <v>天津市华迪汽车散热器有限公司</v>
      </c>
      <c r="B1575" s="1" t="str">
        <f>"一种压紧装置"</f>
        <v>一种压紧装置</v>
      </c>
      <c r="C1575" s="1" t="str">
        <f t="shared" si="777"/>
        <v>发明公布</v>
      </c>
      <c r="D1575" s="1" t="str">
        <f t="shared" si="778"/>
        <v>公布视为撤回</v>
      </c>
      <c r="E1575" s="1" t="str">
        <f>"CN201811614793.0"</f>
        <v>CN201811614793.0</v>
      </c>
      <c r="F1575" s="1" t="str">
        <f t="shared" si="776"/>
        <v>2018-12-27</v>
      </c>
      <c r="G1575" s="1" t="str">
        <f>"CN109397185A"</f>
        <v>CN109397185A</v>
      </c>
      <c r="H1575" s="1" t="str">
        <f>"2019-03-01"</f>
        <v>2019-03-01</v>
      </c>
      <c r="I1575" s="1" t="s">
        <v>5002</v>
      </c>
      <c r="J1575" s="1" t="str">
        <f t="shared" si="770"/>
        <v>天津市华迪汽车散热器有限公司</v>
      </c>
    </row>
    <row r="1576" spans="1:10">
      <c r="A1576" s="1" t="str">
        <f t="shared" si="769"/>
        <v>天津市华迪汽车散热器有限公司</v>
      </c>
      <c r="B1576" s="1" t="str">
        <f>"一种汽车散热器放水开关结构"</f>
        <v>一种汽车散热器放水开关结构</v>
      </c>
      <c r="C1576" s="1" t="str">
        <f t="shared" ref="C1576:C1588" si="779">"实用新型"</f>
        <v>实用新型</v>
      </c>
      <c r="D1576" s="1" t="str">
        <f t="shared" ref="D1576:D1588" si="780">"未缴年费专利权终止"</f>
        <v>未缴年费专利权终止</v>
      </c>
      <c r="E1576" s="1" t="str">
        <f>"CN201721882541.7"</f>
        <v>CN201721882541.7</v>
      </c>
      <c r="F1576" s="1" t="str">
        <f t="shared" ref="F1576:F1581" si="781">"2017-12-28"</f>
        <v>2017-12-28</v>
      </c>
      <c r="G1576" s="1" t="str">
        <f>"CN208010461U"</f>
        <v>CN208010461U</v>
      </c>
      <c r="H1576" s="1" t="str">
        <f>"2018-10-26"</f>
        <v>2018-10-26</v>
      </c>
      <c r="I1576" s="1" t="s">
        <v>5002</v>
      </c>
      <c r="J1576" s="1" t="str">
        <f t="shared" si="770"/>
        <v>天津市华迪汽车散热器有限公司</v>
      </c>
    </row>
    <row r="1577" spans="1:10">
      <c r="A1577" s="1" t="str">
        <f t="shared" si="769"/>
        <v>天津市华迪汽车散热器有限公司</v>
      </c>
      <c r="B1577" s="1" t="str">
        <f>"一种汽车散热器主板、胶条、水室装配结构"</f>
        <v>一种汽车散热器主板、胶条、水室装配结构</v>
      </c>
      <c r="C1577" s="1" t="str">
        <f t="shared" si="779"/>
        <v>实用新型</v>
      </c>
      <c r="D1577" s="1" t="str">
        <f t="shared" si="780"/>
        <v>未缴年费专利权终止</v>
      </c>
      <c r="E1577" s="1" t="str">
        <f>"CN201721882515.4"</f>
        <v>CN201721882515.4</v>
      </c>
      <c r="F1577" s="1" t="str">
        <f t="shared" si="781"/>
        <v>2017-12-28</v>
      </c>
      <c r="G1577" s="1" t="str">
        <f>"CN208012413U"</f>
        <v>CN208012413U</v>
      </c>
      <c r="H1577" s="1" t="str">
        <f>"2018-10-26"</f>
        <v>2018-10-26</v>
      </c>
      <c r="I1577" s="1" t="s">
        <v>5002</v>
      </c>
      <c r="J1577" s="1" t="str">
        <f t="shared" si="770"/>
        <v>天津市华迪汽车散热器有限公司</v>
      </c>
    </row>
    <row r="1578" spans="1:10">
      <c r="A1578" s="1" t="str">
        <f t="shared" si="769"/>
        <v>天津市华迪汽车散热器有限公司</v>
      </c>
      <c r="B1578" s="1" t="str">
        <f>"一种汽车散热器胶条"</f>
        <v>一种汽车散热器胶条</v>
      </c>
      <c r="C1578" s="1" t="str">
        <f t="shared" si="779"/>
        <v>实用新型</v>
      </c>
      <c r="D1578" s="1" t="str">
        <f t="shared" si="780"/>
        <v>未缴年费专利权终止</v>
      </c>
      <c r="E1578" s="1" t="str">
        <f>"CN201721880421.3"</f>
        <v>CN201721880421.3</v>
      </c>
      <c r="F1578" s="1" t="str">
        <f t="shared" si="781"/>
        <v>2017-12-28</v>
      </c>
      <c r="G1578" s="1" t="str">
        <f>"CN207830553U"</f>
        <v>CN207830553U</v>
      </c>
      <c r="H1578" s="1" t="str">
        <f>"2018-09-07"</f>
        <v>2018-09-07</v>
      </c>
      <c r="I1578" s="1" t="s">
        <v>5002</v>
      </c>
      <c r="J1578" s="1" t="str">
        <f t="shared" si="770"/>
        <v>天津市华迪汽车散热器有限公司</v>
      </c>
    </row>
    <row r="1579" spans="1:10">
      <c r="A1579" s="1" t="str">
        <f t="shared" si="769"/>
        <v>天津市华迪汽车散热器有限公司</v>
      </c>
      <c r="B1579" s="1" t="str">
        <f>"一种散热器水室"</f>
        <v>一种散热器水室</v>
      </c>
      <c r="C1579" s="1" t="str">
        <f t="shared" si="779"/>
        <v>实用新型</v>
      </c>
      <c r="D1579" s="1" t="str">
        <f t="shared" si="780"/>
        <v>未缴年费专利权终止</v>
      </c>
      <c r="E1579" s="1" t="str">
        <f>"CN201721882534.7"</f>
        <v>CN201721882534.7</v>
      </c>
      <c r="F1579" s="1" t="str">
        <f t="shared" si="781"/>
        <v>2017-12-28</v>
      </c>
      <c r="G1579" s="1" t="str">
        <f>"CN207832013U"</f>
        <v>CN207832013U</v>
      </c>
      <c r="H1579" s="1" t="str">
        <f>"2018-09-07"</f>
        <v>2018-09-07</v>
      </c>
      <c r="I1579" s="1" t="s">
        <v>5002</v>
      </c>
      <c r="J1579" s="1" t="str">
        <f t="shared" si="770"/>
        <v>天津市华迪汽车散热器有限公司</v>
      </c>
    </row>
    <row r="1580" spans="1:10">
      <c r="A1580" s="1" t="str">
        <f t="shared" si="769"/>
        <v>天津市华迪汽车散热器有限公司</v>
      </c>
      <c r="B1580" s="1" t="str">
        <f>"一种基于硬水软化的汽车散热器"</f>
        <v>一种基于硬水软化的汽车散热器</v>
      </c>
      <c r="C1580" s="1" t="str">
        <f t="shared" si="779"/>
        <v>实用新型</v>
      </c>
      <c r="D1580" s="1" t="str">
        <f t="shared" si="780"/>
        <v>未缴年费专利权终止</v>
      </c>
      <c r="E1580" s="1" t="str">
        <f>"CN201721880411.X"</f>
        <v>CN201721880411.X</v>
      </c>
      <c r="F1580" s="1" t="str">
        <f t="shared" si="781"/>
        <v>2017-12-28</v>
      </c>
      <c r="G1580" s="1" t="str">
        <f>"CN207686828U"</f>
        <v>CN207686828U</v>
      </c>
      <c r="H1580" s="1" t="str">
        <f>"2018-08-03"</f>
        <v>2018-08-03</v>
      </c>
      <c r="I1580" s="1" t="s">
        <v>5002</v>
      </c>
      <c r="J1580" s="1" t="str">
        <f t="shared" si="770"/>
        <v>天津市华迪汽车散热器有限公司</v>
      </c>
    </row>
    <row r="1581" spans="1:10">
      <c r="A1581" s="1" t="str">
        <f t="shared" si="769"/>
        <v>天津市华迪汽车散热器有限公司</v>
      </c>
      <c r="B1581" s="1" t="str">
        <f>"一种防钎焊拉裂的汽车散热器"</f>
        <v>一种防钎焊拉裂的汽车散热器</v>
      </c>
      <c r="C1581" s="1" t="str">
        <f t="shared" si="779"/>
        <v>实用新型</v>
      </c>
      <c r="D1581" s="1" t="str">
        <f t="shared" si="780"/>
        <v>未缴年费专利权终止</v>
      </c>
      <c r="E1581" s="1" t="str">
        <f>"CN201721880413.9"</f>
        <v>CN201721880413.9</v>
      </c>
      <c r="F1581" s="1" t="str">
        <f t="shared" si="781"/>
        <v>2017-12-28</v>
      </c>
      <c r="G1581" s="1" t="str">
        <f>"CN207686829U"</f>
        <v>CN207686829U</v>
      </c>
      <c r="H1581" s="1" t="str">
        <f>"2018-08-03"</f>
        <v>2018-08-03</v>
      </c>
      <c r="I1581" s="1" t="s">
        <v>5002</v>
      </c>
      <c r="J1581" s="1" t="str">
        <f t="shared" si="770"/>
        <v>天津市华迪汽车散热器有限公司</v>
      </c>
    </row>
    <row r="1582" spans="1:10">
      <c r="A1582" s="1" t="str">
        <f t="shared" si="769"/>
        <v>天津市华迪汽车散热器有限公司</v>
      </c>
      <c r="B1582" s="1" t="str">
        <f>"一种新型水室气密性检测封堵装置"</f>
        <v>一种新型水室气密性检测封堵装置</v>
      </c>
      <c r="C1582" s="1" t="str">
        <f t="shared" si="779"/>
        <v>实用新型</v>
      </c>
      <c r="D1582" s="1" t="str">
        <f t="shared" si="780"/>
        <v>未缴年费专利权终止</v>
      </c>
      <c r="E1582" s="1" t="str">
        <f>"CN201621471219.0"</f>
        <v>CN201621471219.0</v>
      </c>
      <c r="F1582" s="1" t="str">
        <f t="shared" ref="F1582:F1587" si="782">"2016-12-30"</f>
        <v>2016-12-30</v>
      </c>
      <c r="G1582" s="1" t="str">
        <f>"CN206648783U"</f>
        <v>CN206648783U</v>
      </c>
      <c r="H1582" s="1" t="str">
        <f>"2017-11-17"</f>
        <v>2017-11-17</v>
      </c>
      <c r="I1582" s="1" t="s">
        <v>5004</v>
      </c>
      <c r="J1582" s="1" t="str">
        <f t="shared" si="770"/>
        <v>天津市华迪汽车散热器有限公司</v>
      </c>
    </row>
    <row r="1583" spans="1:10">
      <c r="A1583" s="1" t="str">
        <f t="shared" si="769"/>
        <v>天津市华迪汽车散热器有限公司</v>
      </c>
      <c r="B1583" s="1" t="str">
        <f>"一种散热器水室与主片的密封结构"</f>
        <v>一种散热器水室与主片的密封结构</v>
      </c>
      <c r="C1583" s="1" t="str">
        <f t="shared" si="779"/>
        <v>实用新型</v>
      </c>
      <c r="D1583" s="1" t="str">
        <f t="shared" si="780"/>
        <v>未缴年费专利权终止</v>
      </c>
      <c r="E1583" s="1" t="str">
        <f>"CN201621471199.7"</f>
        <v>CN201621471199.7</v>
      </c>
      <c r="F1583" s="1" t="str">
        <f t="shared" si="782"/>
        <v>2016-12-30</v>
      </c>
      <c r="G1583" s="1" t="str">
        <f>"CN206387304U"</f>
        <v>CN206387304U</v>
      </c>
      <c r="H1583" s="1" t="str">
        <f>"2017-08-08"</f>
        <v>2017-08-08</v>
      </c>
      <c r="I1583" s="1" t="s">
        <v>5004</v>
      </c>
      <c r="J1583" s="1" t="str">
        <f t="shared" si="770"/>
        <v>天津市华迪汽车散热器有限公司</v>
      </c>
    </row>
    <row r="1584" spans="1:10">
      <c r="A1584" s="1" t="str">
        <f t="shared" si="769"/>
        <v>天津市华迪汽车散热器有限公司</v>
      </c>
      <c r="B1584" s="1" t="str">
        <f>"一种水室放水结构"</f>
        <v>一种水室放水结构</v>
      </c>
      <c r="C1584" s="1" t="str">
        <f t="shared" si="779"/>
        <v>实用新型</v>
      </c>
      <c r="D1584" s="1" t="str">
        <f t="shared" si="780"/>
        <v>未缴年费专利权终止</v>
      </c>
      <c r="E1584" s="1" t="str">
        <f>"CN201621471336.7"</f>
        <v>CN201621471336.7</v>
      </c>
      <c r="F1584" s="1" t="str">
        <f t="shared" si="782"/>
        <v>2016-12-30</v>
      </c>
      <c r="G1584" s="1" t="str">
        <f>"CN206387305U"</f>
        <v>CN206387305U</v>
      </c>
      <c r="H1584" s="1" t="str">
        <f>"2017-08-08"</f>
        <v>2017-08-08</v>
      </c>
      <c r="I1584" s="1" t="s">
        <v>5004</v>
      </c>
      <c r="J1584" s="1" t="str">
        <f t="shared" si="770"/>
        <v>天津市华迪汽车散热器有限公司</v>
      </c>
    </row>
    <row r="1585" spans="1:10">
      <c r="A1585" s="1" t="str">
        <f t="shared" si="769"/>
        <v>天津市华迪汽车散热器有限公司</v>
      </c>
      <c r="B1585" s="1" t="str">
        <f>"一种水室气密性检测平台"</f>
        <v>一种水室气密性检测平台</v>
      </c>
      <c r="C1585" s="1" t="str">
        <f t="shared" si="779"/>
        <v>实用新型</v>
      </c>
      <c r="D1585" s="1" t="str">
        <f t="shared" si="780"/>
        <v>未缴年费专利权终止</v>
      </c>
      <c r="E1585" s="1" t="str">
        <f>"CN201621471220.3"</f>
        <v>CN201621471220.3</v>
      </c>
      <c r="F1585" s="1" t="str">
        <f t="shared" si="782"/>
        <v>2016-12-30</v>
      </c>
      <c r="G1585" s="1" t="str">
        <f>"CN206321389U"</f>
        <v>CN206321389U</v>
      </c>
      <c r="H1585" s="1" t="str">
        <f t="shared" ref="H1585:H1587" si="783">"2017-07-11"</f>
        <v>2017-07-11</v>
      </c>
      <c r="I1585" s="1" t="s">
        <v>5004</v>
      </c>
      <c r="J1585" s="1" t="str">
        <f t="shared" si="770"/>
        <v>天津市华迪汽车散热器有限公司</v>
      </c>
    </row>
    <row r="1586" spans="1:10">
      <c r="A1586" s="1" t="str">
        <f t="shared" si="769"/>
        <v>天津市华迪汽车散热器有限公司</v>
      </c>
      <c r="B1586" s="1" t="str">
        <f>"一种水室气密性检测自动封堵装置"</f>
        <v>一种水室气密性检测自动封堵装置</v>
      </c>
      <c r="C1586" s="1" t="str">
        <f t="shared" si="779"/>
        <v>实用新型</v>
      </c>
      <c r="D1586" s="1" t="str">
        <f t="shared" si="780"/>
        <v>未缴年费专利权终止</v>
      </c>
      <c r="E1586" s="1" t="str">
        <f>"CN201621471237.9"</f>
        <v>CN201621471237.9</v>
      </c>
      <c r="F1586" s="1" t="str">
        <f t="shared" si="782"/>
        <v>2016-12-30</v>
      </c>
      <c r="G1586" s="1" t="str">
        <f>"CN206321390U"</f>
        <v>CN206321390U</v>
      </c>
      <c r="H1586" s="1" t="str">
        <f t="shared" si="783"/>
        <v>2017-07-11</v>
      </c>
      <c r="I1586" s="1" t="s">
        <v>5004</v>
      </c>
      <c r="J1586" s="1" t="str">
        <f t="shared" si="770"/>
        <v>天津市华迪汽车散热器有限公司</v>
      </c>
    </row>
    <row r="1587" spans="1:10">
      <c r="A1587" s="1" t="str">
        <f t="shared" si="769"/>
        <v>天津市华迪汽车散热器有限公司</v>
      </c>
      <c r="B1587" s="1" t="str">
        <f>"一种水室气密性检测手动封堵装置"</f>
        <v>一种水室气密性检测手动封堵装置</v>
      </c>
      <c r="C1587" s="1" t="str">
        <f t="shared" si="779"/>
        <v>实用新型</v>
      </c>
      <c r="D1587" s="1" t="str">
        <f t="shared" si="780"/>
        <v>未缴年费专利权终止</v>
      </c>
      <c r="E1587" s="1" t="str">
        <f>"CN201621471488.7"</f>
        <v>CN201621471488.7</v>
      </c>
      <c r="F1587" s="1" t="str">
        <f t="shared" si="782"/>
        <v>2016-12-30</v>
      </c>
      <c r="G1587" s="1" t="str">
        <f>"CN206321391U"</f>
        <v>CN206321391U</v>
      </c>
      <c r="H1587" s="1" t="str">
        <f t="shared" si="783"/>
        <v>2017-07-11</v>
      </c>
      <c r="I1587" s="1" t="s">
        <v>5004</v>
      </c>
      <c r="J1587" s="1" t="str">
        <f t="shared" si="770"/>
        <v>天津市华迪汽车散热器有限公司</v>
      </c>
    </row>
    <row r="1588" spans="1:10">
      <c r="A1588" s="1" t="str">
        <f t="shared" si="769"/>
        <v>天津市华迪汽车散热器有限公司</v>
      </c>
      <c r="B1588" s="1" t="str">
        <f>"一种汽车EGR冷却器芯体"</f>
        <v>一种汽车EGR冷却器芯体</v>
      </c>
      <c r="C1588" s="1" t="str">
        <f t="shared" si="779"/>
        <v>实用新型</v>
      </c>
      <c r="D1588" s="1" t="str">
        <f t="shared" si="780"/>
        <v>未缴年费专利权终止</v>
      </c>
      <c r="E1588" s="1" t="str">
        <f>"CN201620601733.5"</f>
        <v>CN201620601733.5</v>
      </c>
      <c r="F1588" s="1" t="str">
        <f>"2016-06-15"</f>
        <v>2016-06-15</v>
      </c>
      <c r="G1588" s="1" t="str">
        <f>"CN205805765U"</f>
        <v>CN205805765U</v>
      </c>
      <c r="H1588" s="1" t="str">
        <f>"2016-12-14"</f>
        <v>2016-12-14</v>
      </c>
      <c r="I1588" s="1" t="s">
        <v>5005</v>
      </c>
      <c r="J1588" s="1" t="str">
        <f t="shared" si="770"/>
        <v>天津市华迪汽车散热器有限公司</v>
      </c>
    </row>
    <row r="1589" spans="1:10">
      <c r="A1589" s="1" t="str">
        <f t="shared" si="769"/>
        <v>天津市华迪汽车散热器有限公司</v>
      </c>
      <c r="B1589" s="1" t="str">
        <f>"一种具有凹凸结构的水室"</f>
        <v>一种具有凹凸结构的水室</v>
      </c>
      <c r="C1589" s="1" t="str">
        <f t="shared" ref="C1589:C1592" si="784">"发明公布"</f>
        <v>发明公布</v>
      </c>
      <c r="D1589" s="1" t="str">
        <f t="shared" ref="D1589:D1592" si="785">"公布视为撤回"</f>
        <v>公布视为撤回</v>
      </c>
      <c r="E1589" s="1" t="str">
        <f>"CN201410831093.2"</f>
        <v>CN201410831093.2</v>
      </c>
      <c r="F1589" s="1" t="str">
        <f t="shared" ref="F1589:F1592" si="786">"2014-12-26"</f>
        <v>2014-12-26</v>
      </c>
      <c r="G1589" s="1" t="str">
        <f>"CN105783570A"</f>
        <v>CN105783570A</v>
      </c>
      <c r="H1589" s="1" t="str">
        <f t="shared" ref="H1589:H1592" si="787">"2016-07-20"</f>
        <v>2016-07-20</v>
      </c>
      <c r="I1589" s="1" t="s">
        <v>5006</v>
      </c>
      <c r="J1589" s="1" t="str">
        <f t="shared" si="770"/>
        <v>天津市华迪汽车散热器有限公司</v>
      </c>
    </row>
    <row r="1590" spans="1:10">
      <c r="A1590" s="1" t="str">
        <f t="shared" si="769"/>
        <v>天津市华迪汽车散热器有限公司</v>
      </c>
      <c r="B1590" s="1" t="str">
        <f>"一种波浪型水室结构"</f>
        <v>一种波浪型水室结构</v>
      </c>
      <c r="C1590" s="1" t="str">
        <f t="shared" si="784"/>
        <v>发明公布</v>
      </c>
      <c r="D1590" s="1" t="str">
        <f t="shared" si="785"/>
        <v>公布视为撤回</v>
      </c>
      <c r="E1590" s="1" t="str">
        <f>"CN201410828430.2"</f>
        <v>CN201410828430.2</v>
      </c>
      <c r="F1590" s="1" t="str">
        <f t="shared" si="786"/>
        <v>2014-12-26</v>
      </c>
      <c r="G1590" s="1" t="str">
        <f>"CN105781709A"</f>
        <v>CN105781709A</v>
      </c>
      <c r="H1590" s="1" t="str">
        <f t="shared" si="787"/>
        <v>2016-07-20</v>
      </c>
      <c r="I1590" s="1" t="s">
        <v>5006</v>
      </c>
      <c r="J1590" s="1" t="str">
        <f t="shared" si="770"/>
        <v>天津市华迪汽车散热器有限公司</v>
      </c>
    </row>
    <row r="1591" spans="1:10">
      <c r="A1591" s="1" t="str">
        <f t="shared" si="769"/>
        <v>天津市华迪汽车散热器有限公司</v>
      </c>
      <c r="B1591" s="1" t="str">
        <f>"一种汽车散热器水室放水阀结构"</f>
        <v>一种汽车散热器水室放水阀结构</v>
      </c>
      <c r="C1591" s="1" t="str">
        <f t="shared" si="784"/>
        <v>发明公布</v>
      </c>
      <c r="D1591" s="1" t="str">
        <f t="shared" si="785"/>
        <v>公布视为撤回</v>
      </c>
      <c r="E1591" s="1" t="str">
        <f>"CN201410828327.8"</f>
        <v>CN201410828327.8</v>
      </c>
      <c r="F1591" s="1" t="str">
        <f t="shared" si="786"/>
        <v>2014-12-26</v>
      </c>
      <c r="G1591" s="1" t="str">
        <f>"CN105782479A"</f>
        <v>CN105782479A</v>
      </c>
      <c r="H1591" s="1" t="str">
        <f t="shared" si="787"/>
        <v>2016-07-20</v>
      </c>
      <c r="I1591" s="1" t="s">
        <v>5006</v>
      </c>
      <c r="J1591" s="1" t="str">
        <f t="shared" si="770"/>
        <v>天津市华迪汽车散热器有限公司</v>
      </c>
    </row>
    <row r="1592" spans="1:10">
      <c r="A1592" s="1" t="str">
        <f t="shared" si="769"/>
        <v>天津市华迪汽车散热器有限公司</v>
      </c>
      <c r="B1592" s="1" t="str">
        <f>"一种汽车散热器"</f>
        <v>一种汽车散热器</v>
      </c>
      <c r="C1592" s="1" t="str">
        <f t="shared" si="784"/>
        <v>发明公布</v>
      </c>
      <c r="D1592" s="1" t="str">
        <f t="shared" si="785"/>
        <v>公布视为撤回</v>
      </c>
      <c r="E1592" s="1" t="str">
        <f>"CN201410830388.8"</f>
        <v>CN201410830388.8</v>
      </c>
      <c r="F1592" s="1" t="str">
        <f t="shared" si="786"/>
        <v>2014-12-26</v>
      </c>
      <c r="G1592" s="1" t="str">
        <f>"CN105781710A"</f>
        <v>CN105781710A</v>
      </c>
      <c r="H1592" s="1" t="str">
        <f t="shared" si="787"/>
        <v>2016-07-20</v>
      </c>
      <c r="I1592" s="1" t="s">
        <v>5006</v>
      </c>
      <c r="J1592" s="1" t="str">
        <f t="shared" si="770"/>
        <v>天津市华迪汽车散热器有限公司</v>
      </c>
    </row>
    <row r="1593" spans="1:10">
      <c r="A1593" s="1" t="str">
        <f t="shared" si="769"/>
        <v>天津市华迪汽车散热器有限公司</v>
      </c>
      <c r="B1593" s="1" t="str">
        <f>"一种散热器上水室的螺母固定结构"</f>
        <v>一种散热器上水室的螺母固定结构</v>
      </c>
      <c r="C1593" s="1" t="str">
        <f t="shared" ref="C1593:C1602" si="788">"实用新型"</f>
        <v>实用新型</v>
      </c>
      <c r="D1593" s="1" t="str">
        <f t="shared" ref="D1593:D1602" si="789">"未缴年费专利权终止"</f>
        <v>未缴年费专利权终止</v>
      </c>
      <c r="E1593" s="1" t="str">
        <f>"CN201521097762.4"</f>
        <v>CN201521097762.4</v>
      </c>
      <c r="F1593" s="1" t="str">
        <f t="shared" ref="F1593:F1597" si="790">"2015-12-24"</f>
        <v>2015-12-24</v>
      </c>
      <c r="G1593" s="1" t="str">
        <f>"CN205262280U"</f>
        <v>CN205262280U</v>
      </c>
      <c r="H1593" s="1" t="str">
        <f t="shared" ref="H1593:H1597" si="791">"2016-05-25"</f>
        <v>2016-05-25</v>
      </c>
      <c r="I1593" s="1" t="s">
        <v>5007</v>
      </c>
      <c r="J1593" s="1" t="str">
        <f t="shared" si="770"/>
        <v>天津市华迪汽车散热器有限公司</v>
      </c>
    </row>
    <row r="1594" spans="1:10">
      <c r="A1594" s="1" t="str">
        <f t="shared" si="769"/>
        <v>天津市华迪汽车散热器有限公司</v>
      </c>
      <c r="B1594" s="1" t="str">
        <f>"一种水室的快速接头水管成型结构"</f>
        <v>一种水室的快速接头水管成型结构</v>
      </c>
      <c r="C1594" s="1" t="str">
        <f t="shared" si="788"/>
        <v>实用新型</v>
      </c>
      <c r="D1594" s="1" t="str">
        <f t="shared" si="789"/>
        <v>未缴年费专利权终止</v>
      </c>
      <c r="E1594" s="1" t="str">
        <f>"CN201521104392.2"</f>
        <v>CN201521104392.2</v>
      </c>
      <c r="F1594" s="1" t="str">
        <f t="shared" si="790"/>
        <v>2015-12-24</v>
      </c>
      <c r="G1594" s="1" t="str">
        <f>"CN205255419U"</f>
        <v>CN205255419U</v>
      </c>
      <c r="H1594" s="1" t="str">
        <f t="shared" si="791"/>
        <v>2016-05-25</v>
      </c>
      <c r="I1594" s="1" t="s">
        <v>5007</v>
      </c>
      <c r="J1594" s="1" t="str">
        <f t="shared" si="770"/>
        <v>天津市华迪汽车散热器有限公司</v>
      </c>
    </row>
    <row r="1595" spans="1:10">
      <c r="A1595" s="1" t="str">
        <f t="shared" si="769"/>
        <v>天津市华迪汽车散热器有限公司</v>
      </c>
      <c r="B1595" s="1" t="str">
        <f>"一种散热器水室脱膜结构"</f>
        <v>一种散热器水室脱膜结构</v>
      </c>
      <c r="C1595" s="1" t="str">
        <f t="shared" si="788"/>
        <v>实用新型</v>
      </c>
      <c r="D1595" s="1" t="str">
        <f t="shared" si="789"/>
        <v>未缴年费专利权终止</v>
      </c>
      <c r="E1595" s="1" t="str">
        <f>"CN201521104391.8"</f>
        <v>CN201521104391.8</v>
      </c>
      <c r="F1595" s="1" t="str">
        <f t="shared" si="790"/>
        <v>2015-12-24</v>
      </c>
      <c r="G1595" s="1" t="str">
        <f>"CN205255442U"</f>
        <v>CN205255442U</v>
      </c>
      <c r="H1595" s="1" t="str">
        <f t="shared" si="791"/>
        <v>2016-05-25</v>
      </c>
      <c r="I1595" s="1" t="s">
        <v>5007</v>
      </c>
      <c r="J1595" s="1" t="str">
        <f t="shared" si="770"/>
        <v>天津市华迪汽车散热器有限公司</v>
      </c>
    </row>
    <row r="1596" spans="1:10">
      <c r="A1596" s="1" t="str">
        <f t="shared" si="769"/>
        <v>天津市华迪汽车散热器有限公司</v>
      </c>
      <c r="B1596" s="1" t="str">
        <f>"一种散热器水室的防变形装置"</f>
        <v>一种散热器水室的防变形装置</v>
      </c>
      <c r="C1596" s="1" t="str">
        <f t="shared" si="788"/>
        <v>实用新型</v>
      </c>
      <c r="D1596" s="1" t="str">
        <f t="shared" si="789"/>
        <v>未缴年费专利权终止</v>
      </c>
      <c r="E1596" s="1" t="str">
        <f>"CN201521104225.8"</f>
        <v>CN201521104225.8</v>
      </c>
      <c r="F1596" s="1" t="str">
        <f t="shared" si="790"/>
        <v>2015-12-24</v>
      </c>
      <c r="G1596" s="1" t="str">
        <f>"CN205262281U"</f>
        <v>CN205262281U</v>
      </c>
      <c r="H1596" s="1" t="str">
        <f t="shared" si="791"/>
        <v>2016-05-25</v>
      </c>
      <c r="I1596" s="1" t="s">
        <v>5007</v>
      </c>
      <c r="J1596" s="1" t="str">
        <f t="shared" si="770"/>
        <v>天津市华迪汽车散热器有限公司</v>
      </c>
    </row>
    <row r="1597" spans="1:10">
      <c r="A1597" s="1" t="str">
        <f t="shared" si="769"/>
        <v>天津市华迪汽车散热器有限公司</v>
      </c>
      <c r="B1597" s="1" t="str">
        <f>"一种散热器水室挂钩结构"</f>
        <v>一种散热器水室挂钩结构</v>
      </c>
      <c r="C1597" s="1" t="str">
        <f t="shared" si="788"/>
        <v>实用新型</v>
      </c>
      <c r="D1597" s="1" t="str">
        <f t="shared" si="789"/>
        <v>未缴年费专利权终止</v>
      </c>
      <c r="E1597" s="1" t="str">
        <f>"CN201521097763.9"</f>
        <v>CN201521097763.9</v>
      </c>
      <c r="F1597" s="1" t="str">
        <f t="shared" si="790"/>
        <v>2015-12-24</v>
      </c>
      <c r="G1597" s="1" t="str">
        <f>"CN205260122U"</f>
        <v>CN205260122U</v>
      </c>
      <c r="H1597" s="1" t="str">
        <f t="shared" si="791"/>
        <v>2016-05-25</v>
      </c>
      <c r="I1597" s="1" t="s">
        <v>5007</v>
      </c>
      <c r="J1597" s="1" t="str">
        <f t="shared" si="770"/>
        <v>天津市华迪汽车散热器有限公司</v>
      </c>
    </row>
    <row r="1598" spans="1:10">
      <c r="A1598" s="1" t="str">
        <f t="shared" si="769"/>
        <v>天津市华迪汽车散热器有限公司</v>
      </c>
      <c r="B1598" s="1" t="str">
        <f>"一种悬梁筋水室生产模具"</f>
        <v>一种悬梁筋水室生产模具</v>
      </c>
      <c r="C1598" s="1" t="str">
        <f t="shared" si="788"/>
        <v>实用新型</v>
      </c>
      <c r="D1598" s="1" t="str">
        <f t="shared" si="789"/>
        <v>未缴年费专利权终止</v>
      </c>
      <c r="E1598" s="1" t="str">
        <f>"CN201420849270.5"</f>
        <v>CN201420849270.5</v>
      </c>
      <c r="F1598" s="1" t="str">
        <f t="shared" ref="F1598:F1602" si="792">"2014-12-26"</f>
        <v>2014-12-26</v>
      </c>
      <c r="G1598" s="1" t="str">
        <f>"CN204640710U"</f>
        <v>CN204640710U</v>
      </c>
      <c r="H1598" s="1" t="str">
        <f>"2015-09-16"</f>
        <v>2015-09-16</v>
      </c>
      <c r="I1598" s="1" t="s">
        <v>5006</v>
      </c>
      <c r="J1598" s="1" t="str">
        <f t="shared" si="770"/>
        <v>天津市华迪汽车散热器有限公司</v>
      </c>
    </row>
    <row r="1599" spans="1:10">
      <c r="A1599" s="1" t="str">
        <f t="shared" si="769"/>
        <v>天津市华迪汽车散热器有限公司</v>
      </c>
      <c r="B1599" s="1" t="str">
        <f>"一种组合式散热器水室"</f>
        <v>一种组合式散热器水室</v>
      </c>
      <c r="C1599" s="1" t="str">
        <f t="shared" si="788"/>
        <v>实用新型</v>
      </c>
      <c r="D1599" s="1" t="str">
        <f t="shared" si="789"/>
        <v>未缴年费专利权终止</v>
      </c>
      <c r="E1599" s="1" t="str">
        <f>"CN201420847345.6"</f>
        <v>CN201420847345.6</v>
      </c>
      <c r="F1599" s="1" t="str">
        <f t="shared" si="792"/>
        <v>2014-12-26</v>
      </c>
      <c r="G1599" s="1" t="str">
        <f>"CN204535520U"</f>
        <v>CN204535520U</v>
      </c>
      <c r="H1599" s="1" t="str">
        <f>"2015-08-05"</f>
        <v>2015-08-05</v>
      </c>
      <c r="I1599" s="1" t="s">
        <v>5006</v>
      </c>
      <c r="J1599" s="1" t="str">
        <f t="shared" si="770"/>
        <v>天津市华迪汽车散热器有限公司</v>
      </c>
    </row>
    <row r="1600" spans="1:10">
      <c r="A1600" s="1" t="str">
        <f t="shared" si="769"/>
        <v>天津市华迪汽车散热器有限公司</v>
      </c>
      <c r="B1600" s="1" t="str">
        <f>"一种汽车散热器水室放水阀"</f>
        <v>一种汽车散热器水室放水阀</v>
      </c>
      <c r="C1600" s="1" t="str">
        <f t="shared" si="788"/>
        <v>实用新型</v>
      </c>
      <c r="D1600" s="1" t="str">
        <f t="shared" si="789"/>
        <v>未缴年费专利权终止</v>
      </c>
      <c r="E1600" s="1" t="str">
        <f>"CN201420843181.X"</f>
        <v>CN201420843181.X</v>
      </c>
      <c r="F1600" s="1" t="str">
        <f t="shared" si="792"/>
        <v>2014-12-26</v>
      </c>
      <c r="G1600" s="1" t="str">
        <f>"CN204533614U"</f>
        <v>CN204533614U</v>
      </c>
      <c r="H1600" s="1" t="str">
        <f>"2015-08-05"</f>
        <v>2015-08-05</v>
      </c>
      <c r="I1600" s="1" t="s">
        <v>5006</v>
      </c>
      <c r="J1600" s="1" t="str">
        <f t="shared" si="770"/>
        <v>天津市华迪汽车散热器有限公司</v>
      </c>
    </row>
    <row r="1601" spans="1:10">
      <c r="A1601" s="1" t="str">
        <f t="shared" si="769"/>
        <v>天津市华迪汽车散热器有限公司</v>
      </c>
      <c r="B1601" s="1" t="str">
        <f>"一种波浪式水室"</f>
        <v>一种波浪式水室</v>
      </c>
      <c r="C1601" s="1" t="str">
        <f t="shared" si="788"/>
        <v>实用新型</v>
      </c>
      <c r="D1601" s="1" t="str">
        <f t="shared" si="789"/>
        <v>未缴年费专利权终止</v>
      </c>
      <c r="E1601" s="1" t="str">
        <f>"CN201420844829.5"</f>
        <v>CN201420844829.5</v>
      </c>
      <c r="F1601" s="1" t="str">
        <f t="shared" si="792"/>
        <v>2014-12-26</v>
      </c>
      <c r="G1601" s="1" t="str">
        <f>"CN204511625U"</f>
        <v>CN204511625U</v>
      </c>
      <c r="H1601" s="1" t="str">
        <f>"2015-07-29"</f>
        <v>2015-07-29</v>
      </c>
      <c r="I1601" s="1" t="s">
        <v>5006</v>
      </c>
      <c r="J1601" s="1" t="str">
        <f t="shared" si="770"/>
        <v>天津市华迪汽车散热器有限公司</v>
      </c>
    </row>
    <row r="1602" spans="1:10">
      <c r="A1602" s="1" t="str">
        <f t="shared" si="769"/>
        <v>天津市华迪汽车散热器有限公司</v>
      </c>
      <c r="B1602" s="1" t="str">
        <f>"汽车散热器"</f>
        <v>汽车散热器</v>
      </c>
      <c r="C1602" s="1" t="str">
        <f t="shared" si="788"/>
        <v>实用新型</v>
      </c>
      <c r="D1602" s="1" t="str">
        <f t="shared" si="789"/>
        <v>未缴年费专利权终止</v>
      </c>
      <c r="E1602" s="1" t="str">
        <f>"CN201420849268.8"</f>
        <v>CN201420849268.8</v>
      </c>
      <c r="F1602" s="1" t="str">
        <f t="shared" si="792"/>
        <v>2014-12-26</v>
      </c>
      <c r="G1602" s="1" t="str">
        <f>"CN204511626U"</f>
        <v>CN204511626U</v>
      </c>
      <c r="H1602" s="1" t="str">
        <f>"2015-07-29"</f>
        <v>2015-07-29</v>
      </c>
      <c r="I1602" s="1" t="s">
        <v>5006</v>
      </c>
      <c r="J1602" s="1" t="str">
        <f t="shared" si="770"/>
        <v>天津市华迪汽车散热器有限公司</v>
      </c>
    </row>
    <row r="1603" spans="1:10">
      <c r="A1603" s="1" t="str">
        <f t="shared" si="769"/>
        <v>天津市华迪汽车散热器有限公司</v>
      </c>
      <c r="B1603" s="1" t="str">
        <f>"一种发动机散热器的下水装置"</f>
        <v>一种发动机散热器的下水装置</v>
      </c>
      <c r="C1603" s="1" t="str">
        <f t="shared" ref="C1603:C1607" si="793">"发明公布"</f>
        <v>发明公布</v>
      </c>
      <c r="D1603" s="1" t="str">
        <f t="shared" ref="D1603:D1606" si="794">"公布视为撤回"</f>
        <v>公布视为撤回</v>
      </c>
      <c r="E1603" s="1" t="str">
        <f>"CN201310756211.3"</f>
        <v>CN201310756211.3</v>
      </c>
      <c r="F1603" s="1" t="str">
        <f>"2013-12-27"</f>
        <v>2013-12-27</v>
      </c>
      <c r="G1603" s="1" t="str">
        <f>"CN104747270A"</f>
        <v>CN104747270A</v>
      </c>
      <c r="H1603" s="1" t="str">
        <f>"2015-07-01"</f>
        <v>2015-07-01</v>
      </c>
      <c r="I1603" s="1" t="s">
        <v>5003</v>
      </c>
      <c r="J1603" s="1" t="str">
        <f t="shared" si="770"/>
        <v>天津市华迪汽车散热器有限公司</v>
      </c>
    </row>
    <row r="1604" spans="1:10">
      <c r="A1604" s="1" t="str">
        <f t="shared" si="769"/>
        <v>天津市华迪汽车散热器有限公司</v>
      </c>
      <c r="B1604" s="1" t="str">
        <f>"一种管状泄气装置"</f>
        <v>一种管状泄气装置</v>
      </c>
      <c r="C1604" s="1" t="str">
        <f t="shared" si="793"/>
        <v>发明公布</v>
      </c>
      <c r="D1604" s="1" t="str">
        <f t="shared" si="794"/>
        <v>公布视为撤回</v>
      </c>
      <c r="E1604" s="1" t="str">
        <f>"CN201310756205.8"</f>
        <v>CN201310756205.8</v>
      </c>
      <c r="F1604" s="1" t="str">
        <f>"2013-12-27"</f>
        <v>2013-12-27</v>
      </c>
      <c r="G1604" s="1" t="str">
        <f>"CN104747269A"</f>
        <v>CN104747269A</v>
      </c>
      <c r="H1604" s="1" t="str">
        <f>"2015-07-01"</f>
        <v>2015-07-01</v>
      </c>
      <c r="I1604" s="1" t="s">
        <v>5003</v>
      </c>
      <c r="J1604" s="1" t="str">
        <f t="shared" si="770"/>
        <v>天津市华迪汽车散热器有限公司</v>
      </c>
    </row>
    <row r="1605" spans="1:10">
      <c r="A1605" s="1" t="str">
        <f t="shared" si="769"/>
        <v>天津市华迪汽车散热器有限公司</v>
      </c>
      <c r="B1605" s="1" t="str">
        <f>"一种螺母计数器"</f>
        <v>一种螺母计数器</v>
      </c>
      <c r="C1605" s="1" t="str">
        <f t="shared" si="793"/>
        <v>发明公布</v>
      </c>
      <c r="D1605" s="1" t="str">
        <f t="shared" si="794"/>
        <v>公布视为撤回</v>
      </c>
      <c r="E1605" s="1" t="str">
        <f>"CN201310716685.5"</f>
        <v>CN201310716685.5</v>
      </c>
      <c r="F1605" s="1" t="str">
        <f t="shared" ref="F1605:F1608" si="795">"2013-12-16"</f>
        <v>2013-12-16</v>
      </c>
      <c r="G1605" s="1" t="str">
        <f>"CN104715278A"</f>
        <v>CN104715278A</v>
      </c>
      <c r="H1605" s="1" t="str">
        <f>"2015-06-17"</f>
        <v>2015-06-17</v>
      </c>
      <c r="I1605" s="1" t="s">
        <v>5003</v>
      </c>
      <c r="J1605" s="1" t="str">
        <f t="shared" si="770"/>
        <v>天津市华迪汽车散热器有限公司</v>
      </c>
    </row>
    <row r="1606" spans="1:10">
      <c r="A1606" s="1" t="str">
        <f t="shared" si="769"/>
        <v>天津市华迪汽车散热器有限公司</v>
      </c>
      <c r="B1606" s="1" t="str">
        <f>"齿条退芯机构"</f>
        <v>齿条退芯机构</v>
      </c>
      <c r="C1606" s="1" t="str">
        <f t="shared" si="793"/>
        <v>发明公布</v>
      </c>
      <c r="D1606" s="1" t="str">
        <f t="shared" si="794"/>
        <v>公布视为撤回</v>
      </c>
      <c r="E1606" s="1" t="str">
        <f>"CN201310721641.1"</f>
        <v>CN201310721641.1</v>
      </c>
      <c r="F1606" s="1" t="str">
        <f t="shared" si="795"/>
        <v>2013-12-16</v>
      </c>
      <c r="G1606" s="1" t="str">
        <f>"CN104708744A"</f>
        <v>CN104708744A</v>
      </c>
      <c r="H1606" s="1" t="str">
        <f>"2015-06-17"</f>
        <v>2015-06-17</v>
      </c>
      <c r="I1606" s="1" t="s">
        <v>5003</v>
      </c>
      <c r="J1606" s="1" t="str">
        <f t="shared" si="770"/>
        <v>天津市华迪汽车散热器有限公司</v>
      </c>
    </row>
    <row r="1607" spans="1:10">
      <c r="A1607" s="1" t="str">
        <f t="shared" si="769"/>
        <v>天津市华迪汽车散热器有限公司</v>
      </c>
      <c r="B1607" s="1" t="str">
        <f>"一种悬梁筋水室生产模具"</f>
        <v>一种悬梁筋水室生产模具</v>
      </c>
      <c r="C1607" s="1" t="str">
        <f t="shared" si="793"/>
        <v>发明公布</v>
      </c>
      <c r="D1607" s="1" t="str">
        <f>"公布驳回"</f>
        <v>公布驳回</v>
      </c>
      <c r="E1607" s="1" t="str">
        <f>"CN201410826402.7"</f>
        <v>CN201410826402.7</v>
      </c>
      <c r="F1607" s="1" t="str">
        <f>"2014-12-26"</f>
        <v>2014-12-26</v>
      </c>
      <c r="G1607" s="1" t="str">
        <f>"CN104441499A"</f>
        <v>CN104441499A</v>
      </c>
      <c r="H1607" s="1" t="str">
        <f>"2015-03-25"</f>
        <v>2015-03-25</v>
      </c>
      <c r="I1607" s="1" t="s">
        <v>5006</v>
      </c>
      <c r="J1607" s="1" t="str">
        <f t="shared" si="770"/>
        <v>天津市华迪汽车散热器有限公司</v>
      </c>
    </row>
    <row r="1608" spans="1:10">
      <c r="A1608" s="1" t="str">
        <f t="shared" si="769"/>
        <v>天津市华迪汽车散热器有限公司</v>
      </c>
      <c r="B1608" s="1" t="str">
        <f>"齿条退芯机构"</f>
        <v>齿条退芯机构</v>
      </c>
      <c r="C1608" s="1" t="str">
        <f t="shared" ref="C1608:C1643" si="796">"实用新型"</f>
        <v>实用新型</v>
      </c>
      <c r="D1608" s="1" t="str">
        <f t="shared" ref="D1608:D1636" si="797">"未缴年费专利权终止"</f>
        <v>未缴年费专利权终止</v>
      </c>
      <c r="E1608" s="1" t="str">
        <f>"CN201320858284.9"</f>
        <v>CN201320858284.9</v>
      </c>
      <c r="F1608" s="1" t="str">
        <f t="shared" si="795"/>
        <v>2013-12-16</v>
      </c>
      <c r="G1608" s="1" t="str">
        <f>"CN203637053U"</f>
        <v>CN203637053U</v>
      </c>
      <c r="H1608" s="1" t="str">
        <f t="shared" ref="H1608:H1611" si="798">"2014-06-11"</f>
        <v>2014-06-11</v>
      </c>
      <c r="I1608" s="1" t="s">
        <v>5003</v>
      </c>
      <c r="J1608" s="1" t="str">
        <f t="shared" si="770"/>
        <v>天津市华迪汽车散热器有限公司</v>
      </c>
    </row>
    <row r="1609" spans="1:10">
      <c r="A1609" s="1" t="str">
        <f t="shared" si="769"/>
        <v>天津市华迪汽车散热器有限公司</v>
      </c>
      <c r="B1609" s="1" t="str">
        <f>"一种管状泄气装置"</f>
        <v>一种管状泄气装置</v>
      </c>
      <c r="C1609" s="1" t="str">
        <f t="shared" si="796"/>
        <v>实用新型</v>
      </c>
      <c r="D1609" s="1" t="str">
        <f t="shared" si="797"/>
        <v>未缴年费专利权终止</v>
      </c>
      <c r="E1609" s="1" t="str">
        <f>"CN201320895969.0"</f>
        <v>CN201320895969.0</v>
      </c>
      <c r="F1609" s="1" t="str">
        <f>"2013-12-27"</f>
        <v>2013-12-27</v>
      </c>
      <c r="G1609" s="1" t="str">
        <f>"CN203640825U"</f>
        <v>CN203640825U</v>
      </c>
      <c r="H1609" s="1" t="str">
        <f t="shared" si="798"/>
        <v>2014-06-11</v>
      </c>
      <c r="I1609" s="1" t="s">
        <v>5003</v>
      </c>
      <c r="J1609" s="1" t="str">
        <f t="shared" si="770"/>
        <v>天津市华迪汽车散热器有限公司</v>
      </c>
    </row>
    <row r="1610" spans="1:10">
      <c r="A1610" s="1" t="str">
        <f t="shared" si="769"/>
        <v>天津市华迪汽车散热器有限公司</v>
      </c>
      <c r="B1610" s="1" t="str">
        <f>"一种发动机散热器的下水装置"</f>
        <v>一种发动机散热器的下水装置</v>
      </c>
      <c r="C1610" s="1" t="str">
        <f t="shared" si="796"/>
        <v>实用新型</v>
      </c>
      <c r="D1610" s="1" t="str">
        <f t="shared" si="797"/>
        <v>未缴年费专利权终止</v>
      </c>
      <c r="E1610" s="1" t="str">
        <f>"CN201320895970.3"</f>
        <v>CN201320895970.3</v>
      </c>
      <c r="F1610" s="1" t="str">
        <f>"2013-12-27"</f>
        <v>2013-12-27</v>
      </c>
      <c r="G1610" s="1" t="str">
        <f>"CN203640826U"</f>
        <v>CN203640826U</v>
      </c>
      <c r="H1610" s="1" t="str">
        <f t="shared" si="798"/>
        <v>2014-06-11</v>
      </c>
      <c r="I1610" s="1" t="s">
        <v>5003</v>
      </c>
      <c r="J1610" s="1" t="str">
        <f t="shared" si="770"/>
        <v>天津市华迪汽车散热器有限公司</v>
      </c>
    </row>
    <row r="1611" spans="1:10">
      <c r="A1611" s="1" t="str">
        <f t="shared" si="769"/>
        <v>天津市华迪汽车散热器有限公司</v>
      </c>
      <c r="B1611" s="1" t="str">
        <f>"一种螺母计数器"</f>
        <v>一种螺母计数器</v>
      </c>
      <c r="C1611" s="1" t="str">
        <f t="shared" si="796"/>
        <v>实用新型</v>
      </c>
      <c r="D1611" s="1" t="str">
        <f t="shared" si="797"/>
        <v>未缴年费专利权终止</v>
      </c>
      <c r="E1611" s="1" t="str">
        <f>"CN201320858367.8"</f>
        <v>CN201320858367.8</v>
      </c>
      <c r="F1611" s="1" t="str">
        <f>"2013-12-16"</f>
        <v>2013-12-16</v>
      </c>
      <c r="G1611" s="1" t="str">
        <f>"CN203644066U"</f>
        <v>CN203644066U</v>
      </c>
      <c r="H1611" s="1" t="str">
        <f t="shared" si="798"/>
        <v>2014-06-11</v>
      </c>
      <c r="I1611" s="1" t="s">
        <v>5003</v>
      </c>
      <c r="J1611" s="1" t="str">
        <f t="shared" si="770"/>
        <v>天津市华迪汽车散热器有限公司</v>
      </c>
    </row>
    <row r="1612" spans="1:10">
      <c r="A1612" s="1" t="str">
        <f t="shared" si="769"/>
        <v>天津市华迪汽车散热器有限公司</v>
      </c>
      <c r="B1612" s="1" t="str">
        <f>"散热器放水阀胶圈与丝堵的专用工装"</f>
        <v>散热器放水阀胶圈与丝堵的专用工装</v>
      </c>
      <c r="C1612" s="1" t="str">
        <f t="shared" si="796"/>
        <v>实用新型</v>
      </c>
      <c r="D1612" s="1" t="str">
        <f t="shared" si="797"/>
        <v>未缴年费专利权终止</v>
      </c>
      <c r="E1612" s="1" t="str">
        <f>"CN201320443702.8"</f>
        <v>CN201320443702.8</v>
      </c>
      <c r="F1612" s="1" t="str">
        <f>"2013-07-24"</f>
        <v>2013-07-24</v>
      </c>
      <c r="G1612" s="1" t="str">
        <f>"CN203357377U"</f>
        <v>CN203357377U</v>
      </c>
      <c r="H1612" s="1" t="str">
        <f>"2013-12-25"</f>
        <v>2013-12-25</v>
      </c>
      <c r="I1612" s="1" t="str">
        <f t="shared" ref="I1612:I1621" si="799">"张群生"</f>
        <v>张群生</v>
      </c>
      <c r="J1612" s="1" t="str">
        <f t="shared" si="770"/>
        <v>天津市华迪汽车散热器有限公司</v>
      </c>
    </row>
    <row r="1613" spans="1:10">
      <c r="A1613" s="1" t="str">
        <f t="shared" si="769"/>
        <v>天津市华迪汽车散热器有限公司</v>
      </c>
      <c r="B1613" s="1" t="str">
        <f>"一种散热器水室与主板的密封结构"</f>
        <v>一种散热器水室与主板的密封结构</v>
      </c>
      <c r="C1613" s="1" t="str">
        <f t="shared" si="796"/>
        <v>实用新型</v>
      </c>
      <c r="D1613" s="1" t="str">
        <f t="shared" si="797"/>
        <v>未缴年费专利权终止</v>
      </c>
      <c r="E1613" s="1" t="str">
        <f>"CN201220610327.7"</f>
        <v>CN201220610327.7</v>
      </c>
      <c r="F1613" s="1" t="str">
        <f>"2012-11-16"</f>
        <v>2012-11-16</v>
      </c>
      <c r="G1613" s="1" t="str">
        <f>"CN202915812U"</f>
        <v>CN202915812U</v>
      </c>
      <c r="H1613" s="1" t="str">
        <f>"2013-05-01"</f>
        <v>2013-05-01</v>
      </c>
      <c r="I1613" s="1" t="str">
        <f t="shared" si="799"/>
        <v>张群生</v>
      </c>
      <c r="J1613" s="1" t="str">
        <f t="shared" si="770"/>
        <v>天津市华迪汽车散热器有限公司</v>
      </c>
    </row>
    <row r="1614" spans="1:10">
      <c r="A1614" s="1" t="str">
        <f t="shared" si="769"/>
        <v>天津市华迪汽车散热器有限公司</v>
      </c>
      <c r="B1614" s="1" t="str">
        <f>"一种散热器水室与主板的新型密封安装结构"</f>
        <v>一种散热器水室与主板的新型密封安装结构</v>
      </c>
      <c r="C1614" s="1" t="str">
        <f t="shared" si="796"/>
        <v>实用新型</v>
      </c>
      <c r="D1614" s="1" t="str">
        <f t="shared" si="797"/>
        <v>未缴年费专利权终止</v>
      </c>
      <c r="E1614" s="1" t="str">
        <f>"CN201220610059.9"</f>
        <v>CN201220610059.9</v>
      </c>
      <c r="F1614" s="1" t="str">
        <f>"2012-11-16"</f>
        <v>2012-11-16</v>
      </c>
      <c r="G1614" s="1" t="str">
        <f>"CN202915810U"</f>
        <v>CN202915810U</v>
      </c>
      <c r="H1614" s="1" t="str">
        <f>"2013-05-01"</f>
        <v>2013-05-01</v>
      </c>
      <c r="I1614" s="1" t="str">
        <f t="shared" si="799"/>
        <v>张群生</v>
      </c>
      <c r="J1614" s="1" t="str">
        <f t="shared" si="770"/>
        <v>天津市华迪汽车散热器有限公司</v>
      </c>
    </row>
    <row r="1615" spans="1:10">
      <c r="A1615" s="1" t="str">
        <f t="shared" si="769"/>
        <v>天津市华迪汽车散热器有限公司</v>
      </c>
      <c r="B1615" s="1" t="str">
        <f>"一种汽车散热器水室的液压定型冷却装置"</f>
        <v>一种汽车散热器水室的液压定型冷却装置</v>
      </c>
      <c r="C1615" s="1" t="str">
        <f t="shared" si="796"/>
        <v>实用新型</v>
      </c>
      <c r="D1615" s="1" t="str">
        <f t="shared" si="797"/>
        <v>未缴年费专利权终止</v>
      </c>
      <c r="E1615" s="1" t="str">
        <f>"CN201220122051.8"</f>
        <v>CN201220122051.8</v>
      </c>
      <c r="F1615" s="1" t="str">
        <f t="shared" ref="F1615:F1621" si="800">"2012-03-28"</f>
        <v>2012-03-28</v>
      </c>
      <c r="G1615" s="1" t="str">
        <f>"CN202491391U"</f>
        <v>CN202491391U</v>
      </c>
      <c r="H1615" s="1" t="str">
        <f>"2012-10-17"</f>
        <v>2012-10-17</v>
      </c>
      <c r="I1615" s="1" t="str">
        <f t="shared" si="799"/>
        <v>张群生</v>
      </c>
      <c r="J1615" s="1" t="str">
        <f t="shared" si="770"/>
        <v>天津市华迪汽车散热器有限公司</v>
      </c>
    </row>
    <row r="1616" spans="1:10">
      <c r="A1616" s="1" t="str">
        <f t="shared" si="769"/>
        <v>天津市华迪汽车散热器有限公司</v>
      </c>
      <c r="B1616" s="1" t="str">
        <f>"一种汽车散热器水室的鼠笼式定型冷却装置"</f>
        <v>一种汽车散热器水室的鼠笼式定型冷却装置</v>
      </c>
      <c r="C1616" s="1" t="str">
        <f t="shared" si="796"/>
        <v>实用新型</v>
      </c>
      <c r="D1616" s="1" t="str">
        <f t="shared" si="797"/>
        <v>未缴年费专利权终止</v>
      </c>
      <c r="E1616" s="1" t="str">
        <f>"CN201220122418.6"</f>
        <v>CN201220122418.6</v>
      </c>
      <c r="F1616" s="1" t="str">
        <f t="shared" si="800"/>
        <v>2012-03-28</v>
      </c>
      <c r="G1616" s="1" t="str">
        <f>"CN202491390U"</f>
        <v>CN202491390U</v>
      </c>
      <c r="H1616" s="1" t="str">
        <f>"2012-10-17"</f>
        <v>2012-10-17</v>
      </c>
      <c r="I1616" s="1" t="str">
        <f t="shared" si="799"/>
        <v>张群生</v>
      </c>
      <c r="J1616" s="1" t="str">
        <f t="shared" si="770"/>
        <v>天津市华迪汽车散热器有限公司</v>
      </c>
    </row>
    <row r="1617" spans="1:10">
      <c r="A1617" s="1" t="str">
        <f t="shared" si="769"/>
        <v>天津市华迪汽车散热器有限公司</v>
      </c>
      <c r="B1617" s="1" t="str">
        <f>"一种汽车散热器防变形塑料水室"</f>
        <v>一种汽车散热器防变形塑料水室</v>
      </c>
      <c r="C1617" s="1" t="str">
        <f t="shared" si="796"/>
        <v>实用新型</v>
      </c>
      <c r="D1617" s="1" t="str">
        <f t="shared" si="797"/>
        <v>未缴年费专利权终止</v>
      </c>
      <c r="E1617" s="1" t="str">
        <f>"CN201220122052.2"</f>
        <v>CN201220122052.2</v>
      </c>
      <c r="F1617" s="1" t="str">
        <f t="shared" si="800"/>
        <v>2012-03-28</v>
      </c>
      <c r="G1617" s="1" t="str">
        <f>"CN202483702U"</f>
        <v>CN202483702U</v>
      </c>
      <c r="H1617" s="1" t="str">
        <f t="shared" ref="H1617:H1621" si="801">"2012-10-10"</f>
        <v>2012-10-10</v>
      </c>
      <c r="I1617" s="1" t="str">
        <f t="shared" si="799"/>
        <v>张群生</v>
      </c>
      <c r="J1617" s="1" t="str">
        <f t="shared" si="770"/>
        <v>天津市华迪汽车散热器有限公司</v>
      </c>
    </row>
    <row r="1618" spans="1:10">
      <c r="A1618" s="1" t="str">
        <f t="shared" si="769"/>
        <v>天津市华迪汽车散热器有限公司</v>
      </c>
      <c r="B1618" s="1" t="str">
        <f>"一种汽车散热器水室的工艺孔封装丝堵"</f>
        <v>一种汽车散热器水室的工艺孔封装丝堵</v>
      </c>
      <c r="C1618" s="1" t="str">
        <f t="shared" si="796"/>
        <v>实用新型</v>
      </c>
      <c r="D1618" s="1" t="str">
        <f t="shared" si="797"/>
        <v>未缴年费专利权终止</v>
      </c>
      <c r="E1618" s="1" t="str">
        <f>"CN201220122053.7"</f>
        <v>CN201220122053.7</v>
      </c>
      <c r="F1618" s="1" t="str">
        <f t="shared" si="800"/>
        <v>2012-03-28</v>
      </c>
      <c r="G1618" s="1" t="str">
        <f>"CN202485535U"</f>
        <v>CN202485535U</v>
      </c>
      <c r="H1618" s="1" t="str">
        <f t="shared" si="801"/>
        <v>2012-10-10</v>
      </c>
      <c r="I1618" s="1" t="str">
        <f t="shared" si="799"/>
        <v>张群生</v>
      </c>
      <c r="J1618" s="1" t="str">
        <f t="shared" si="770"/>
        <v>天津市华迪汽车散热器有限公司</v>
      </c>
    </row>
    <row r="1619" spans="1:10">
      <c r="A1619" s="1" t="str">
        <f t="shared" si="769"/>
        <v>天津市华迪汽车散热器有限公司</v>
      </c>
      <c r="B1619" s="1" t="str">
        <f>"一种退芯专用扳手"</f>
        <v>一种退芯专用扳手</v>
      </c>
      <c r="C1619" s="1" t="str">
        <f t="shared" si="796"/>
        <v>实用新型</v>
      </c>
      <c r="D1619" s="1" t="str">
        <f t="shared" si="797"/>
        <v>未缴年费专利权终止</v>
      </c>
      <c r="E1619" s="1" t="str">
        <f>"CN201220121965.2"</f>
        <v>CN201220121965.2</v>
      </c>
      <c r="F1619" s="1" t="str">
        <f t="shared" si="800"/>
        <v>2012-03-28</v>
      </c>
      <c r="G1619" s="1" t="str">
        <f>"CN202480014U"</f>
        <v>CN202480014U</v>
      </c>
      <c r="H1619" s="1" t="str">
        <f t="shared" si="801"/>
        <v>2012-10-10</v>
      </c>
      <c r="I1619" s="1" t="str">
        <f t="shared" si="799"/>
        <v>张群生</v>
      </c>
      <c r="J1619" s="1" t="str">
        <f t="shared" si="770"/>
        <v>天津市华迪汽车散热器有限公司</v>
      </c>
    </row>
    <row r="1620" spans="1:10">
      <c r="A1620" s="1" t="str">
        <f t="shared" si="769"/>
        <v>天津市华迪汽车散热器有限公司</v>
      </c>
      <c r="B1620" s="1" t="str">
        <f>"一种汽车散热器水室的专用压力试验台"</f>
        <v>一种汽车散热器水室的专用压力试验台</v>
      </c>
      <c r="C1620" s="1" t="str">
        <f t="shared" si="796"/>
        <v>实用新型</v>
      </c>
      <c r="D1620" s="1" t="str">
        <f t="shared" si="797"/>
        <v>未缴年费专利权终止</v>
      </c>
      <c r="E1620" s="1" t="str">
        <f>"CN201220122417.1"</f>
        <v>CN201220122417.1</v>
      </c>
      <c r="F1620" s="1" t="str">
        <f t="shared" si="800"/>
        <v>2012-03-28</v>
      </c>
      <c r="G1620" s="1" t="str">
        <f>"CN202485870U"</f>
        <v>CN202485870U</v>
      </c>
      <c r="H1620" s="1" t="str">
        <f t="shared" si="801"/>
        <v>2012-10-10</v>
      </c>
      <c r="I1620" s="1" t="str">
        <f t="shared" si="799"/>
        <v>张群生</v>
      </c>
      <c r="J1620" s="1" t="str">
        <f t="shared" si="770"/>
        <v>天津市华迪汽车散热器有限公司</v>
      </c>
    </row>
    <row r="1621" spans="1:10">
      <c r="A1621" s="1" t="str">
        <f>"天津市华迪汽车散热器有限公司"</f>
        <v>天津市华迪汽车散热器有限公司</v>
      </c>
      <c r="B1621" s="1" t="str">
        <f>"防止密封胶圈脱落的专用扳手"</f>
        <v>防止密封胶圈脱落的专用扳手</v>
      </c>
      <c r="C1621" s="1" t="str">
        <f t="shared" si="796"/>
        <v>实用新型</v>
      </c>
      <c r="D1621" s="1" t="str">
        <f t="shared" si="797"/>
        <v>未缴年费专利权终止</v>
      </c>
      <c r="E1621" s="1" t="str">
        <f>"CN201220122419.0"</f>
        <v>CN201220122419.0</v>
      </c>
      <c r="F1621" s="1" t="str">
        <f t="shared" si="800"/>
        <v>2012-03-28</v>
      </c>
      <c r="G1621" s="1" t="str">
        <f>"CN202480015U"</f>
        <v>CN202480015U</v>
      </c>
      <c r="H1621" s="1" t="str">
        <f t="shared" si="801"/>
        <v>2012-10-10</v>
      </c>
      <c r="I1621" s="1" t="str">
        <f t="shared" si="799"/>
        <v>张群生</v>
      </c>
      <c r="J1621" s="1" t="str">
        <f>"天津市华迪汽车散热器有限公司"</f>
        <v>天津市华迪汽车散热器有限公司</v>
      </c>
    </row>
    <row r="1622" spans="1:10">
      <c r="A1622" s="1" t="str">
        <f t="shared" ref="A1622:A1624" si="802">"天津市津田汽车部件有限公司"</f>
        <v>天津市津田汽车部件有限公司</v>
      </c>
      <c r="B1622" s="1" t="str">
        <f>"一种汽车用无耳无极防脱弹性卡箍"</f>
        <v>一种汽车用无耳无极防脱弹性卡箍</v>
      </c>
      <c r="C1622" s="1" t="str">
        <f t="shared" si="796"/>
        <v>实用新型</v>
      </c>
      <c r="D1622" s="1" t="str">
        <f t="shared" si="797"/>
        <v>未缴年费专利权终止</v>
      </c>
      <c r="E1622" s="1" t="str">
        <f>"CN201921049892.9"</f>
        <v>CN201921049892.9</v>
      </c>
      <c r="F1622" s="1" t="str">
        <f>"2019-07-08"</f>
        <v>2019-07-08</v>
      </c>
      <c r="G1622" s="1" t="str">
        <f>"CN211039938U"</f>
        <v>CN211039938U</v>
      </c>
      <c r="H1622" s="1" t="str">
        <f>"2020-07-17"</f>
        <v>2020-07-17</v>
      </c>
      <c r="I1622" s="1" t="str">
        <f t="shared" ref="I1622:I1624" si="803">"田凤鸣"</f>
        <v>田凤鸣</v>
      </c>
      <c r="J1622" s="1" t="str">
        <f t="shared" ref="J1622:J1624" si="804">"天津市津田汽车部件有限公司"</f>
        <v>天津市津田汽车部件有限公司</v>
      </c>
    </row>
    <row r="1623" spans="1:10">
      <c r="A1623" s="1" t="str">
        <f t="shared" si="802"/>
        <v>天津市津田汽车部件有限公司</v>
      </c>
      <c r="B1623" s="1" t="str">
        <f>"软管卡箍"</f>
        <v>软管卡箍</v>
      </c>
      <c r="C1623" s="1" t="str">
        <f t="shared" si="796"/>
        <v>实用新型</v>
      </c>
      <c r="D1623" s="1" t="str">
        <f t="shared" si="797"/>
        <v>未缴年费专利权终止</v>
      </c>
      <c r="E1623" s="1" t="str">
        <f>"CN201120159801.4"</f>
        <v>CN201120159801.4</v>
      </c>
      <c r="F1623" s="1" t="str">
        <f>"2011-05-18"</f>
        <v>2011-05-18</v>
      </c>
      <c r="G1623" s="1" t="str">
        <f>"CN202118412U"</f>
        <v>CN202118412U</v>
      </c>
      <c r="H1623" s="1" t="str">
        <f>"2012-01-18"</f>
        <v>2012-01-18</v>
      </c>
      <c r="I1623" s="1" t="str">
        <f t="shared" si="803"/>
        <v>田凤鸣</v>
      </c>
      <c r="J1623" s="1" t="str">
        <f t="shared" si="804"/>
        <v>天津市津田汽车部件有限公司</v>
      </c>
    </row>
    <row r="1624" spans="1:10">
      <c r="A1624" s="1" t="str">
        <f t="shared" si="802"/>
        <v>天津市津田汽车部件有限公司</v>
      </c>
      <c r="B1624" s="1" t="str">
        <f>"新型无耳紧固卡箍"</f>
        <v>新型无耳紧固卡箍</v>
      </c>
      <c r="C1624" s="1" t="str">
        <f t="shared" si="796"/>
        <v>实用新型</v>
      </c>
      <c r="D1624" s="1" t="str">
        <f t="shared" si="797"/>
        <v>未缴年费专利权终止</v>
      </c>
      <c r="E1624" s="1" t="str">
        <f>"CN201020579365.1"</f>
        <v>CN201020579365.1</v>
      </c>
      <c r="F1624" s="1" t="str">
        <f>"2010-10-27"</f>
        <v>2010-10-27</v>
      </c>
      <c r="G1624" s="1" t="str">
        <f>"CN201836159U"</f>
        <v>CN201836159U</v>
      </c>
      <c r="H1624" s="1" t="str">
        <f>"2011-05-18"</f>
        <v>2011-05-18</v>
      </c>
      <c r="I1624" s="1" t="str">
        <f t="shared" si="803"/>
        <v>田凤鸣</v>
      </c>
      <c r="J1624" s="1" t="str">
        <f t="shared" si="804"/>
        <v>天津市津田汽车部件有限公司</v>
      </c>
    </row>
    <row r="1625" spans="1:10">
      <c r="A1625" s="1" t="str">
        <f t="shared" ref="A1625:A1636" si="805">"天津大韩汽车配件有限公司"</f>
        <v>天津大韩汽车配件有限公司</v>
      </c>
      <c r="B1625" s="1" t="str">
        <f>"一种防锈球销套"</f>
        <v>一种防锈球销套</v>
      </c>
      <c r="C1625" s="1" t="str">
        <f t="shared" si="796"/>
        <v>实用新型</v>
      </c>
      <c r="D1625" s="1" t="str">
        <f t="shared" si="797"/>
        <v>未缴年费专利权终止</v>
      </c>
      <c r="E1625" s="1" t="str">
        <f>"CN202022800831.0"</f>
        <v>CN202022800831.0</v>
      </c>
      <c r="F1625" s="1" t="str">
        <f>"2020-11-28"</f>
        <v>2020-11-28</v>
      </c>
      <c r="G1625" s="1" t="str">
        <f>"CN215333948U"</f>
        <v>CN215333948U</v>
      </c>
      <c r="H1625" s="1" t="str">
        <f>"2021-12-28"</f>
        <v>2021-12-28</v>
      </c>
      <c r="I1625" s="1" t="str">
        <f t="shared" ref="I1625:I1636" si="806">"王家升"</f>
        <v>王家升</v>
      </c>
      <c r="J1625" s="1" t="str">
        <f t="shared" ref="J1625:J1636" si="807">"天津大韩汽车配件有限公司"</f>
        <v>天津大韩汽车配件有限公司</v>
      </c>
    </row>
    <row r="1626" spans="1:10">
      <c r="A1626" s="1" t="str">
        <f t="shared" si="805"/>
        <v>天津大韩汽车配件有限公司</v>
      </c>
      <c r="B1626" s="1" t="str">
        <f>"一种球销加工送料装置"</f>
        <v>一种球销加工送料装置</v>
      </c>
      <c r="C1626" s="1" t="str">
        <f t="shared" si="796"/>
        <v>实用新型</v>
      </c>
      <c r="D1626" s="1" t="str">
        <f t="shared" si="797"/>
        <v>未缴年费专利权终止</v>
      </c>
      <c r="E1626" s="1" t="str">
        <f>"CN202022826972.X"</f>
        <v>CN202022826972.X</v>
      </c>
      <c r="F1626" s="1" t="str">
        <f t="shared" ref="F1626:F1631" si="808">"2020-11-30"</f>
        <v>2020-11-30</v>
      </c>
      <c r="G1626" s="1" t="str">
        <f>"CN214979182U"</f>
        <v>CN214979182U</v>
      </c>
      <c r="H1626" s="1" t="str">
        <f>"2021-12-03"</f>
        <v>2021-12-03</v>
      </c>
      <c r="I1626" s="1" t="str">
        <f t="shared" si="806"/>
        <v>王家升</v>
      </c>
      <c r="J1626" s="1" t="str">
        <f t="shared" si="807"/>
        <v>天津大韩汽车配件有限公司</v>
      </c>
    </row>
    <row r="1627" spans="1:10">
      <c r="A1627" s="1" t="str">
        <f t="shared" si="805"/>
        <v>天津大韩汽车配件有限公司</v>
      </c>
      <c r="B1627" s="1" t="str">
        <f>"一种汽车悬臂球头缓冲装置"</f>
        <v>一种汽车悬臂球头缓冲装置</v>
      </c>
      <c r="C1627" s="1" t="str">
        <f t="shared" si="796"/>
        <v>实用新型</v>
      </c>
      <c r="D1627" s="1" t="str">
        <f t="shared" si="797"/>
        <v>未缴年费专利权终止</v>
      </c>
      <c r="E1627" s="1" t="str">
        <f>"CN202022796443.X"</f>
        <v>CN202022796443.X</v>
      </c>
      <c r="F1627" s="1" t="str">
        <f t="shared" ref="F1627:F1630" si="809">"2020-11-27"</f>
        <v>2020-11-27</v>
      </c>
      <c r="G1627" s="1" t="str">
        <f>"CN214984689U"</f>
        <v>CN214984689U</v>
      </c>
      <c r="H1627" s="1" t="str">
        <f>"2021-12-03"</f>
        <v>2021-12-03</v>
      </c>
      <c r="I1627" s="1" t="str">
        <f t="shared" si="806"/>
        <v>王家升</v>
      </c>
      <c r="J1627" s="1" t="str">
        <f t="shared" si="807"/>
        <v>天津大韩汽车配件有限公司</v>
      </c>
    </row>
    <row r="1628" spans="1:10">
      <c r="A1628" s="1" t="str">
        <f t="shared" si="805"/>
        <v>天津大韩汽车配件有限公司</v>
      </c>
      <c r="B1628" s="1" t="str">
        <f>"一种球销座注塑成型式稳定连接杆"</f>
        <v>一种球销座注塑成型式稳定连接杆</v>
      </c>
      <c r="C1628" s="1" t="str">
        <f t="shared" si="796"/>
        <v>实用新型</v>
      </c>
      <c r="D1628" s="1" t="str">
        <f t="shared" si="797"/>
        <v>未缴年费专利权终止</v>
      </c>
      <c r="E1628" s="1" t="str">
        <f>"CN202022802464.8"</f>
        <v>CN202022802464.8</v>
      </c>
      <c r="F1628" s="1" t="str">
        <f t="shared" si="809"/>
        <v>2020-11-27</v>
      </c>
      <c r="G1628" s="1" t="str">
        <f>"CN214945713U"</f>
        <v>CN214945713U</v>
      </c>
      <c r="H1628" s="1" t="str">
        <f t="shared" ref="H1628:H1630" si="810">"2021-11-30"</f>
        <v>2021-11-30</v>
      </c>
      <c r="I1628" s="1" t="str">
        <f t="shared" si="806"/>
        <v>王家升</v>
      </c>
      <c r="J1628" s="1" t="str">
        <f t="shared" si="807"/>
        <v>天津大韩汽车配件有限公司</v>
      </c>
    </row>
    <row r="1629" spans="1:10">
      <c r="A1629" s="1" t="str">
        <f t="shared" si="805"/>
        <v>天津大韩汽车配件有限公司</v>
      </c>
      <c r="B1629" s="1" t="str">
        <f>"一种球销加工装置"</f>
        <v>一种球销加工装置</v>
      </c>
      <c r="C1629" s="1" t="str">
        <f t="shared" si="796"/>
        <v>实用新型</v>
      </c>
      <c r="D1629" s="1" t="str">
        <f t="shared" si="797"/>
        <v>未缴年费专利权终止</v>
      </c>
      <c r="E1629" s="1" t="str">
        <f>"CN202022825332.7"</f>
        <v>CN202022825332.7</v>
      </c>
      <c r="F1629" s="1" t="str">
        <f t="shared" si="808"/>
        <v>2020-11-30</v>
      </c>
      <c r="G1629" s="1" t="str">
        <f>"CN214922187U"</f>
        <v>CN214922187U</v>
      </c>
      <c r="H1629" s="1" t="str">
        <f t="shared" si="810"/>
        <v>2021-11-30</v>
      </c>
      <c r="I1629" s="1" t="str">
        <f t="shared" si="806"/>
        <v>王家升</v>
      </c>
      <c r="J1629" s="1" t="str">
        <f t="shared" si="807"/>
        <v>天津大韩汽车配件有限公司</v>
      </c>
    </row>
    <row r="1630" spans="1:10">
      <c r="A1630" s="1" t="str">
        <f t="shared" si="805"/>
        <v>天津大韩汽车配件有限公司</v>
      </c>
      <c r="B1630" s="1" t="str">
        <f>"一种汽车前控制臂球销座机加工用夹具"</f>
        <v>一种汽车前控制臂球销座机加工用夹具</v>
      </c>
      <c r="C1630" s="1" t="str">
        <f t="shared" si="796"/>
        <v>实用新型</v>
      </c>
      <c r="D1630" s="1" t="str">
        <f t="shared" si="797"/>
        <v>未缴年费专利权终止</v>
      </c>
      <c r="E1630" s="1" t="str">
        <f>"CN202022796445.9"</f>
        <v>CN202022796445.9</v>
      </c>
      <c r="F1630" s="1" t="str">
        <f t="shared" si="809"/>
        <v>2020-11-27</v>
      </c>
      <c r="G1630" s="1" t="str">
        <f>"CN214922622U"</f>
        <v>CN214922622U</v>
      </c>
      <c r="H1630" s="1" t="str">
        <f t="shared" si="810"/>
        <v>2021-11-30</v>
      </c>
      <c r="I1630" s="1" t="str">
        <f t="shared" si="806"/>
        <v>王家升</v>
      </c>
      <c r="J1630" s="1" t="str">
        <f t="shared" si="807"/>
        <v>天津大韩汽车配件有限公司</v>
      </c>
    </row>
    <row r="1631" spans="1:10">
      <c r="A1631" s="1" t="str">
        <f t="shared" si="805"/>
        <v>天津大韩汽车配件有限公司</v>
      </c>
      <c r="B1631" s="1" t="str">
        <f>"一种用于加工球面的车削装置"</f>
        <v>一种用于加工球面的车削装置</v>
      </c>
      <c r="C1631" s="1" t="str">
        <f t="shared" si="796"/>
        <v>实用新型</v>
      </c>
      <c r="D1631" s="1" t="str">
        <f t="shared" si="797"/>
        <v>未缴年费专利权终止</v>
      </c>
      <c r="E1631" s="1" t="str">
        <f>"CN202022825297.9"</f>
        <v>CN202022825297.9</v>
      </c>
      <c r="F1631" s="1" t="str">
        <f t="shared" si="808"/>
        <v>2020-11-30</v>
      </c>
      <c r="G1631" s="1" t="str">
        <f>"CN214349628U"</f>
        <v>CN214349628U</v>
      </c>
      <c r="H1631" s="1" t="str">
        <f>"2021-10-08"</f>
        <v>2021-10-08</v>
      </c>
      <c r="I1631" s="1" t="str">
        <f t="shared" si="806"/>
        <v>王家升</v>
      </c>
      <c r="J1631" s="1" t="str">
        <f t="shared" si="807"/>
        <v>天津大韩汽车配件有限公司</v>
      </c>
    </row>
    <row r="1632" spans="1:10">
      <c r="A1632" s="1" t="str">
        <f t="shared" si="805"/>
        <v>天津大韩汽车配件有限公司</v>
      </c>
      <c r="B1632" s="1" t="str">
        <f>"球壳锻件打磨装置"</f>
        <v>球壳锻件打磨装置</v>
      </c>
      <c r="C1632" s="1" t="str">
        <f t="shared" si="796"/>
        <v>实用新型</v>
      </c>
      <c r="D1632" s="1" t="str">
        <f t="shared" si="797"/>
        <v>未缴年费专利权终止</v>
      </c>
      <c r="E1632" s="1" t="str">
        <f>"CN202022810491.X"</f>
        <v>CN202022810491.X</v>
      </c>
      <c r="F1632" s="1" t="str">
        <f>"2020-11-27"</f>
        <v>2020-11-27</v>
      </c>
      <c r="G1632" s="1" t="str">
        <f>"CN214351419U"</f>
        <v>CN214351419U</v>
      </c>
      <c r="H1632" s="1" t="str">
        <f>"2021-10-08"</f>
        <v>2021-10-08</v>
      </c>
      <c r="I1632" s="1" t="str">
        <f t="shared" si="806"/>
        <v>王家升</v>
      </c>
      <c r="J1632" s="1" t="str">
        <f t="shared" si="807"/>
        <v>天津大韩汽车配件有限公司</v>
      </c>
    </row>
    <row r="1633" spans="1:10">
      <c r="A1633" s="1" t="str">
        <f t="shared" si="805"/>
        <v>天津大韩汽车配件有限公司</v>
      </c>
      <c r="B1633" s="1" t="str">
        <f>"一种自密封球销座"</f>
        <v>一种自密封球销座</v>
      </c>
      <c r="C1633" s="1" t="str">
        <f t="shared" si="796"/>
        <v>实用新型</v>
      </c>
      <c r="D1633" s="1" t="str">
        <f t="shared" si="797"/>
        <v>未缴年费专利权终止</v>
      </c>
      <c r="E1633" s="1" t="str">
        <f>"CN202022807484.4"</f>
        <v>CN202022807484.4</v>
      </c>
      <c r="F1633" s="1" t="str">
        <f t="shared" ref="F1633:F1636" si="811">"2020-11-28"</f>
        <v>2020-11-28</v>
      </c>
      <c r="G1633" s="1" t="str">
        <f>"CN214331178U"</f>
        <v>CN214331178U</v>
      </c>
      <c r="H1633" s="1" t="str">
        <f>"2021-10-01"</f>
        <v>2021-10-01</v>
      </c>
      <c r="I1633" s="1" t="str">
        <f t="shared" si="806"/>
        <v>王家升</v>
      </c>
      <c r="J1633" s="1" t="str">
        <f t="shared" si="807"/>
        <v>天津大韩汽车配件有限公司</v>
      </c>
    </row>
    <row r="1634" spans="1:10">
      <c r="A1634" s="1" t="str">
        <f t="shared" si="805"/>
        <v>天津大韩汽车配件有限公司</v>
      </c>
      <c r="B1634" s="1" t="str">
        <f>"一种新型球销运送架"</f>
        <v>一种新型球销运送架</v>
      </c>
      <c r="C1634" s="1" t="str">
        <f t="shared" si="796"/>
        <v>实用新型</v>
      </c>
      <c r="D1634" s="1" t="str">
        <f t="shared" si="797"/>
        <v>未缴年费专利权终止</v>
      </c>
      <c r="E1634" s="1" t="str">
        <f>"CN202022800832.5"</f>
        <v>CN202022800832.5</v>
      </c>
      <c r="F1634" s="1" t="str">
        <f t="shared" si="811"/>
        <v>2020-11-28</v>
      </c>
      <c r="G1634" s="1" t="str">
        <f>"CN214295987U"</f>
        <v>CN214295987U</v>
      </c>
      <c r="H1634" s="1" t="str">
        <f>"2021-09-28"</f>
        <v>2021-09-28</v>
      </c>
      <c r="I1634" s="1" t="str">
        <f t="shared" si="806"/>
        <v>王家升</v>
      </c>
      <c r="J1634" s="1" t="str">
        <f t="shared" si="807"/>
        <v>天津大韩汽车配件有限公司</v>
      </c>
    </row>
    <row r="1635" spans="1:10">
      <c r="A1635" s="1" t="str">
        <f t="shared" si="805"/>
        <v>天津大韩汽车配件有限公司</v>
      </c>
      <c r="B1635" s="1" t="str">
        <f>"一种新型球销防尘罩"</f>
        <v>一种新型球销防尘罩</v>
      </c>
      <c r="C1635" s="1" t="str">
        <f t="shared" si="796"/>
        <v>实用新型</v>
      </c>
      <c r="D1635" s="1" t="str">
        <f t="shared" si="797"/>
        <v>未缴年费专利权终止</v>
      </c>
      <c r="E1635" s="1" t="str">
        <f>"CN202022796488.7"</f>
        <v>CN202022796488.7</v>
      </c>
      <c r="F1635" s="1" t="str">
        <f>"2020-11-27"</f>
        <v>2020-11-27</v>
      </c>
      <c r="G1635" s="1" t="str">
        <f>"CN214295449U"</f>
        <v>CN214295449U</v>
      </c>
      <c r="H1635" s="1" t="str">
        <f>"2021-09-28"</f>
        <v>2021-09-28</v>
      </c>
      <c r="I1635" s="1" t="str">
        <f t="shared" si="806"/>
        <v>王家升</v>
      </c>
      <c r="J1635" s="1" t="str">
        <f t="shared" si="807"/>
        <v>天津大韩汽车配件有限公司</v>
      </c>
    </row>
    <row r="1636" spans="1:10">
      <c r="A1636" s="1" t="str">
        <f t="shared" si="805"/>
        <v>天津大韩汽车配件有限公司</v>
      </c>
      <c r="B1636" s="1" t="str">
        <f>"一种球销圆度检测固定装置"</f>
        <v>一种球销圆度检测固定装置</v>
      </c>
      <c r="C1636" s="1" t="str">
        <f t="shared" si="796"/>
        <v>实用新型</v>
      </c>
      <c r="D1636" s="1" t="str">
        <f t="shared" si="797"/>
        <v>未缴年费专利权终止</v>
      </c>
      <c r="E1636" s="1" t="str">
        <f>"CN202022803524.8"</f>
        <v>CN202022803524.8</v>
      </c>
      <c r="F1636" s="1" t="str">
        <f t="shared" si="811"/>
        <v>2020-11-28</v>
      </c>
      <c r="G1636" s="1" t="str">
        <f>"CN213985021U"</f>
        <v>CN213985021U</v>
      </c>
      <c r="H1636" s="1" t="str">
        <f>"2021-08-17"</f>
        <v>2021-08-17</v>
      </c>
      <c r="I1636" s="1" t="str">
        <f t="shared" si="806"/>
        <v>王家升</v>
      </c>
      <c r="J1636" s="1" t="str">
        <f t="shared" si="807"/>
        <v>天津大韩汽车配件有限公司</v>
      </c>
    </row>
    <row r="1637" spans="1:10">
      <c r="A1637" s="1" t="str">
        <f t="shared" ref="A1637:A1672" si="812">"天津信诺达汽车线束有限公司"</f>
        <v>天津信诺达汽车线束有限公司</v>
      </c>
      <c r="B1637" s="1" t="str">
        <f>"一种汽车线束的检测座"</f>
        <v>一种汽车线束的检测座</v>
      </c>
      <c r="C1637" s="1" t="str">
        <f t="shared" si="796"/>
        <v>实用新型</v>
      </c>
      <c r="D1637" s="1" t="str">
        <f t="shared" ref="D1637:D1643" si="813">"授权"</f>
        <v>授权</v>
      </c>
      <c r="E1637" s="1" t="str">
        <f>"CN202421141848.1"</f>
        <v>CN202421141848.1</v>
      </c>
      <c r="F1637" s="1" t="str">
        <f>"2024-05-23"</f>
        <v>2024-05-23</v>
      </c>
      <c r="G1637" s="1" t="str">
        <f>"CN222994507U"</f>
        <v>CN222994507U</v>
      </c>
      <c r="H1637" s="1" t="str">
        <f>"2025-06-17"</f>
        <v>2025-06-17</v>
      </c>
      <c r="I1637" s="1" t="s">
        <v>5008</v>
      </c>
      <c r="J1637" s="1" t="str">
        <f t="shared" ref="J1637:J1672" si="814">"天津信诺达汽车线束有限公司"</f>
        <v>天津信诺达汽车线束有限公司</v>
      </c>
    </row>
    <row r="1638" spans="1:10">
      <c r="A1638" s="1" t="str">
        <f t="shared" si="812"/>
        <v>天津信诺达汽车线束有限公司</v>
      </c>
      <c r="B1638" s="1" t="str">
        <f>"汽车线束管的定位机构"</f>
        <v>汽车线束管的定位机构</v>
      </c>
      <c r="C1638" s="1" t="str">
        <f t="shared" si="796"/>
        <v>实用新型</v>
      </c>
      <c r="D1638" s="1" t="str">
        <f t="shared" si="813"/>
        <v>授权</v>
      </c>
      <c r="E1638" s="1" t="str">
        <f>"CN202421016156.4"</f>
        <v>CN202421016156.4</v>
      </c>
      <c r="F1638" s="1" t="str">
        <f>"2024-05-11"</f>
        <v>2024-05-11</v>
      </c>
      <c r="G1638" s="1" t="str">
        <f>"CN222891089U"</f>
        <v>CN222891089U</v>
      </c>
      <c r="H1638" s="1" t="str">
        <f>"2025-05-23"</f>
        <v>2025-05-23</v>
      </c>
      <c r="I1638" s="1" t="s">
        <v>5008</v>
      </c>
      <c r="J1638" s="1" t="str">
        <f t="shared" si="814"/>
        <v>天津信诺达汽车线束有限公司</v>
      </c>
    </row>
    <row r="1639" spans="1:10">
      <c r="A1639" s="1" t="str">
        <f t="shared" si="812"/>
        <v>天津信诺达汽车线束有限公司</v>
      </c>
      <c r="B1639" s="1" t="str">
        <f>"一种用于对汽车线束处理的线束缠绕设备"</f>
        <v>一种用于对汽车线束处理的线束缠绕设备</v>
      </c>
      <c r="C1639" s="1" t="str">
        <f t="shared" si="796"/>
        <v>实用新型</v>
      </c>
      <c r="D1639" s="1" t="str">
        <f t="shared" si="813"/>
        <v>授权</v>
      </c>
      <c r="E1639" s="1" t="str">
        <f>"CN202421284179.3"</f>
        <v>CN202421284179.3</v>
      </c>
      <c r="F1639" s="1" t="str">
        <f>"2024-06-06"</f>
        <v>2024-06-06</v>
      </c>
      <c r="G1639" s="1" t="str">
        <f>"CN222762714U"</f>
        <v>CN222762714U</v>
      </c>
      <c r="H1639" s="1" t="str">
        <f>"2025-04-15"</f>
        <v>2025-04-15</v>
      </c>
      <c r="I1639" s="1" t="s">
        <v>5008</v>
      </c>
      <c r="J1639" s="1" t="str">
        <f t="shared" si="814"/>
        <v>天津信诺达汽车线束有限公司</v>
      </c>
    </row>
    <row r="1640" spans="1:10">
      <c r="A1640" s="1" t="str">
        <f t="shared" si="812"/>
        <v>天津信诺达汽车线束有限公司</v>
      </c>
      <c r="B1640" s="1" t="str">
        <f>"一种用于汽车线束加工的送线装置"</f>
        <v>一种用于汽车线束加工的送线装置</v>
      </c>
      <c r="C1640" s="1" t="str">
        <f t="shared" si="796"/>
        <v>实用新型</v>
      </c>
      <c r="D1640" s="1" t="str">
        <f t="shared" si="813"/>
        <v>授权</v>
      </c>
      <c r="E1640" s="1" t="str">
        <f>"CN202420864916.0"</f>
        <v>CN202420864916.0</v>
      </c>
      <c r="F1640" s="1" t="str">
        <f>"2024-04-24"</f>
        <v>2024-04-24</v>
      </c>
      <c r="G1640" s="1" t="str">
        <f>"CN222714438U"</f>
        <v>CN222714438U</v>
      </c>
      <c r="H1640" s="1" t="str">
        <f>"2025-04-04"</f>
        <v>2025-04-04</v>
      </c>
      <c r="I1640" s="1" t="s">
        <v>5008</v>
      </c>
      <c r="J1640" s="1" t="str">
        <f t="shared" si="814"/>
        <v>天津信诺达汽车线束有限公司</v>
      </c>
    </row>
    <row r="1641" spans="1:10">
      <c r="A1641" s="1" t="str">
        <f t="shared" si="812"/>
        <v>天津信诺达汽车线束有限公司</v>
      </c>
      <c r="B1641" s="1" t="str">
        <f>"一种汽车线束加工用环切装置"</f>
        <v>一种汽车线束加工用环切装置</v>
      </c>
      <c r="C1641" s="1" t="str">
        <f t="shared" si="796"/>
        <v>实用新型</v>
      </c>
      <c r="D1641" s="1" t="str">
        <f t="shared" si="813"/>
        <v>授权</v>
      </c>
      <c r="E1641" s="1" t="str">
        <f>"CN202420731362.7"</f>
        <v>CN202420731362.7</v>
      </c>
      <c r="F1641" s="1" t="str">
        <f>"2024-04-10"</f>
        <v>2024-04-10</v>
      </c>
      <c r="G1641" s="1" t="str">
        <f>"CN222679414U"</f>
        <v>CN222679414U</v>
      </c>
      <c r="H1641" s="1" t="str">
        <f>"2025-03-28"</f>
        <v>2025-03-28</v>
      </c>
      <c r="I1641" s="1" t="s">
        <v>5008</v>
      </c>
      <c r="J1641" s="1" t="str">
        <f t="shared" si="814"/>
        <v>天津信诺达汽车线束有限公司</v>
      </c>
    </row>
    <row r="1642" spans="1:10">
      <c r="A1642" s="1" t="str">
        <f t="shared" si="812"/>
        <v>天津信诺达汽车线束有限公司</v>
      </c>
      <c r="B1642" s="1" t="str">
        <f>"一种用于汽车线束生产的鼓风干燥设备"</f>
        <v>一种用于汽车线束生产的鼓风干燥设备</v>
      </c>
      <c r="C1642" s="1" t="str">
        <f t="shared" si="796"/>
        <v>实用新型</v>
      </c>
      <c r="D1642" s="1" t="str">
        <f t="shared" si="813"/>
        <v>授权</v>
      </c>
      <c r="E1642" s="1" t="str">
        <f>"CN202421284177.4"</f>
        <v>CN202421284177.4</v>
      </c>
      <c r="F1642" s="1" t="str">
        <f>"2024-06-06"</f>
        <v>2024-06-06</v>
      </c>
      <c r="G1642" s="1" t="str">
        <f>"CN222635071U"</f>
        <v>CN222635071U</v>
      </c>
      <c r="H1642" s="1" t="str">
        <f>"2025-03-18"</f>
        <v>2025-03-18</v>
      </c>
      <c r="I1642" s="1" t="s">
        <v>5008</v>
      </c>
      <c r="J1642" s="1" t="str">
        <f t="shared" si="814"/>
        <v>天津信诺达汽车线束有限公司</v>
      </c>
    </row>
    <row r="1643" spans="1:10">
      <c r="A1643" s="1" t="str">
        <f t="shared" si="812"/>
        <v>天津信诺达汽车线束有限公司</v>
      </c>
      <c r="B1643" s="1" t="str">
        <f>"一种汽车线束接头去皮装置"</f>
        <v>一种汽车线束接头去皮装置</v>
      </c>
      <c r="C1643" s="1" t="str">
        <f t="shared" si="796"/>
        <v>实用新型</v>
      </c>
      <c r="D1643" s="1" t="str">
        <f t="shared" si="813"/>
        <v>授权</v>
      </c>
      <c r="E1643" s="1" t="str">
        <f>"CN202323450978.1"</f>
        <v>CN202323450978.1</v>
      </c>
      <c r="F1643" s="1" t="str">
        <f>"2023-12-18"</f>
        <v>2023-12-18</v>
      </c>
      <c r="G1643" s="1" t="str">
        <f>"CN222581909U"</f>
        <v>CN222581909U</v>
      </c>
      <c r="H1643" s="1" t="str">
        <f>"2025-03-07"</f>
        <v>2025-03-07</v>
      </c>
      <c r="I1643" s="1" t="s">
        <v>5009</v>
      </c>
      <c r="J1643" s="1" t="str">
        <f t="shared" si="814"/>
        <v>天津信诺达汽车线束有限公司</v>
      </c>
    </row>
    <row r="1644" spans="1:10">
      <c r="A1644" s="1" t="str">
        <f t="shared" si="812"/>
        <v>天津信诺达汽车线束有限公司</v>
      </c>
      <c r="B1644" s="1" t="str">
        <f>"汽车线束拉伸测试工装及测试方法"</f>
        <v>汽车线束拉伸测试工装及测试方法</v>
      </c>
      <c r="C1644" s="1" t="str">
        <f t="shared" ref="C1644:C1646" si="815">"发明公布"</f>
        <v>发明公布</v>
      </c>
      <c r="D1644" s="1" t="str">
        <f t="shared" ref="D1644:D1646" si="816">"实质审查"</f>
        <v>实质审查</v>
      </c>
      <c r="E1644" s="1" t="str">
        <f>"CN202211566059.8"</f>
        <v>CN202211566059.8</v>
      </c>
      <c r="F1644" s="1" t="str">
        <f>"2022-12-07"</f>
        <v>2022-12-07</v>
      </c>
      <c r="G1644" s="1" t="str">
        <f>"CN115876594A"</f>
        <v>CN115876594A</v>
      </c>
      <c r="H1644" s="1" t="str">
        <f>"2023-03-31"</f>
        <v>2023-03-31</v>
      </c>
      <c r="I1644" s="1" t="s">
        <v>5010</v>
      </c>
      <c r="J1644" s="1" t="str">
        <f t="shared" si="814"/>
        <v>天津信诺达汽车线束有限公司</v>
      </c>
    </row>
    <row r="1645" spans="1:10">
      <c r="A1645" s="1" t="str">
        <f t="shared" si="812"/>
        <v>天津信诺达汽车线束有限公司</v>
      </c>
      <c r="B1645" s="1" t="str">
        <f>"方便安装的汽车线束支架及其制造方法"</f>
        <v>方便安装的汽车线束支架及其制造方法</v>
      </c>
      <c r="C1645" s="1" t="str">
        <f t="shared" si="815"/>
        <v>发明公布</v>
      </c>
      <c r="D1645" s="1" t="str">
        <f t="shared" si="816"/>
        <v>实质审查</v>
      </c>
      <c r="E1645" s="1" t="str">
        <f>"CN202211562876.6"</f>
        <v>CN202211562876.6</v>
      </c>
      <c r="F1645" s="1" t="str">
        <f>"2022-12-07"</f>
        <v>2022-12-07</v>
      </c>
      <c r="G1645" s="1" t="str">
        <f>"CN115864240A"</f>
        <v>CN115864240A</v>
      </c>
      <c r="H1645" s="1" t="str">
        <f>"2023-03-28"</f>
        <v>2023-03-28</v>
      </c>
      <c r="I1645" s="1" t="s">
        <v>5010</v>
      </c>
      <c r="J1645" s="1" t="str">
        <f t="shared" si="814"/>
        <v>天津信诺达汽车线束有限公司</v>
      </c>
    </row>
    <row r="1646" spans="1:10">
      <c r="A1646" s="1" t="str">
        <f t="shared" si="812"/>
        <v>天津信诺达汽车线束有限公司</v>
      </c>
      <c r="B1646" s="1" t="str">
        <f>"新能源汽车线束性能检测设备及方法"</f>
        <v>新能源汽车线束性能检测设备及方法</v>
      </c>
      <c r="C1646" s="1" t="str">
        <f t="shared" si="815"/>
        <v>发明公布</v>
      </c>
      <c r="D1646" s="1" t="str">
        <f t="shared" si="816"/>
        <v>实质审查</v>
      </c>
      <c r="E1646" s="1" t="str">
        <f>"CN202211583116.3"</f>
        <v>CN202211583116.3</v>
      </c>
      <c r="F1646" s="1" t="str">
        <f>"2022-12-09"</f>
        <v>2022-12-09</v>
      </c>
      <c r="G1646" s="1" t="str">
        <f>"CN115790992A"</f>
        <v>CN115790992A</v>
      </c>
      <c r="H1646" s="1" t="str">
        <f>"2023-03-14"</f>
        <v>2023-03-14</v>
      </c>
      <c r="I1646" s="1" t="s">
        <v>5010</v>
      </c>
      <c r="J1646" s="1" t="str">
        <f t="shared" si="814"/>
        <v>天津信诺达汽车线束有限公司</v>
      </c>
    </row>
    <row r="1647" spans="1:10">
      <c r="A1647" s="1" t="str">
        <f t="shared" si="812"/>
        <v>天津信诺达汽车线束有限公司</v>
      </c>
      <c r="B1647" s="1" t="str">
        <f>"一种线束悬挂放置架"</f>
        <v>一种线束悬挂放置架</v>
      </c>
      <c r="C1647" s="1" t="str">
        <f t="shared" ref="C1647:C1672" si="817">"实用新型"</f>
        <v>实用新型</v>
      </c>
      <c r="D1647" s="1" t="str">
        <f t="shared" ref="D1647:D1651" si="818">"未缴年费专利权终止"</f>
        <v>未缴年费专利权终止</v>
      </c>
      <c r="E1647" s="1" t="str">
        <f>"CN202221202013.3"</f>
        <v>CN202221202013.3</v>
      </c>
      <c r="F1647" s="1" t="str">
        <f>"2022-05-19"</f>
        <v>2022-05-19</v>
      </c>
      <c r="G1647" s="1" t="str">
        <f>"CN217801641U"</f>
        <v>CN217801641U</v>
      </c>
      <c r="H1647" s="1" t="str">
        <f t="shared" ref="H1647:H1650" si="819">"2022-11-15"</f>
        <v>2022-11-15</v>
      </c>
      <c r="I1647" s="1" t="s">
        <v>5011</v>
      </c>
      <c r="J1647" s="1" t="str">
        <f t="shared" si="814"/>
        <v>天津信诺达汽车线束有限公司</v>
      </c>
    </row>
    <row r="1648" spans="1:10">
      <c r="A1648" s="1" t="str">
        <f t="shared" si="812"/>
        <v>天津信诺达汽车线束有限公司</v>
      </c>
      <c r="B1648" s="1" t="str">
        <f>"一种汽车线束生产用自动夹线扭线机"</f>
        <v>一种汽车线束生产用自动夹线扭线机</v>
      </c>
      <c r="C1648" s="1" t="str">
        <f t="shared" si="817"/>
        <v>实用新型</v>
      </c>
      <c r="D1648" s="1" t="str">
        <f t="shared" si="818"/>
        <v>未缴年费专利权终止</v>
      </c>
      <c r="E1648" s="1" t="str">
        <f>"CN202221076908.7"</f>
        <v>CN202221076908.7</v>
      </c>
      <c r="F1648" s="1" t="str">
        <f>"2022-05-07"</f>
        <v>2022-05-07</v>
      </c>
      <c r="G1648" s="1" t="str">
        <f>"CN217822206U"</f>
        <v>CN217822206U</v>
      </c>
      <c r="H1648" s="1" t="str">
        <f t="shared" si="819"/>
        <v>2022-11-15</v>
      </c>
      <c r="I1648" s="1" t="s">
        <v>5011</v>
      </c>
      <c r="J1648" s="1" t="str">
        <f t="shared" si="814"/>
        <v>天津信诺达汽车线束有限公司</v>
      </c>
    </row>
    <row r="1649" spans="1:10">
      <c r="A1649" s="1" t="str">
        <f t="shared" si="812"/>
        <v>天津信诺达汽车线束有限公司</v>
      </c>
      <c r="B1649" s="1" t="str">
        <f>"一种用于汽车线束橡胶件的扩张工装"</f>
        <v>一种用于汽车线束橡胶件的扩张工装</v>
      </c>
      <c r="C1649" s="1" t="str">
        <f t="shared" si="817"/>
        <v>实用新型</v>
      </c>
      <c r="D1649" s="1" t="str">
        <f t="shared" si="818"/>
        <v>未缴年费专利权终止</v>
      </c>
      <c r="E1649" s="1" t="str">
        <f>"CN202221336509.X"</f>
        <v>CN202221336509.X</v>
      </c>
      <c r="F1649" s="1" t="str">
        <f>"2022-05-31"</f>
        <v>2022-05-31</v>
      </c>
      <c r="G1649" s="1" t="str">
        <f>"CN217803438U"</f>
        <v>CN217803438U</v>
      </c>
      <c r="H1649" s="1" t="str">
        <f t="shared" si="819"/>
        <v>2022-11-15</v>
      </c>
      <c r="I1649" s="1" t="s">
        <v>5011</v>
      </c>
      <c r="J1649" s="1" t="str">
        <f t="shared" si="814"/>
        <v>天津信诺达汽车线束有限公司</v>
      </c>
    </row>
    <row r="1650" spans="1:10">
      <c r="A1650" s="1" t="str">
        <f t="shared" si="812"/>
        <v>天津信诺达汽车线束有限公司</v>
      </c>
      <c r="B1650" s="1" t="str">
        <f>"一种用于线束组装工作台"</f>
        <v>一种用于线束组装工作台</v>
      </c>
      <c r="C1650" s="1" t="str">
        <f t="shared" si="817"/>
        <v>实用新型</v>
      </c>
      <c r="D1650" s="1" t="str">
        <f t="shared" si="818"/>
        <v>未缴年费专利权终止</v>
      </c>
      <c r="E1650" s="1" t="str">
        <f>"CN202221271263.2"</f>
        <v>CN202221271263.2</v>
      </c>
      <c r="F1650" s="1" t="str">
        <f>"2022-05-25"</f>
        <v>2022-05-25</v>
      </c>
      <c r="G1650" s="1" t="str">
        <f>"CN217822204U"</f>
        <v>CN217822204U</v>
      </c>
      <c r="H1650" s="1" t="str">
        <f t="shared" si="819"/>
        <v>2022-11-15</v>
      </c>
      <c r="I1650" s="1" t="s">
        <v>5011</v>
      </c>
      <c r="J1650" s="1" t="str">
        <f t="shared" si="814"/>
        <v>天津信诺达汽车线束有限公司</v>
      </c>
    </row>
    <row r="1651" spans="1:10">
      <c r="A1651" s="1" t="str">
        <f t="shared" si="812"/>
        <v>天津信诺达汽车线束有限公司</v>
      </c>
      <c r="B1651" s="1" t="str">
        <f>"一种线束用到卷线装置"</f>
        <v>一种线束用到卷线装置</v>
      </c>
      <c r="C1651" s="1" t="str">
        <f t="shared" si="817"/>
        <v>实用新型</v>
      </c>
      <c r="D1651" s="1" t="str">
        <f t="shared" si="818"/>
        <v>未缴年费专利权终止</v>
      </c>
      <c r="E1651" s="1" t="str">
        <f>"CN202221166931.5"</f>
        <v>CN202221166931.5</v>
      </c>
      <c r="F1651" s="1" t="str">
        <f>"2022-05-16"</f>
        <v>2022-05-16</v>
      </c>
      <c r="G1651" s="1" t="str">
        <f>"CN217780357U"</f>
        <v>CN217780357U</v>
      </c>
      <c r="H1651" s="1" t="str">
        <f>"2022-11-11"</f>
        <v>2022-11-11</v>
      </c>
      <c r="I1651" s="1" t="s">
        <v>5011</v>
      </c>
      <c r="J1651" s="1" t="str">
        <f t="shared" si="814"/>
        <v>天津信诺达汽车线束有限公司</v>
      </c>
    </row>
    <row r="1652" spans="1:10">
      <c r="A1652" s="1" t="str">
        <f t="shared" si="812"/>
        <v>天津信诺达汽车线束有限公司</v>
      </c>
      <c r="B1652" s="1" t="str">
        <f>"一种汽车线束接头去皮装置"</f>
        <v>一种汽车线束接头去皮装置</v>
      </c>
      <c r="C1652" s="1" t="str">
        <f t="shared" si="817"/>
        <v>实用新型</v>
      </c>
      <c r="D1652" s="1" t="str">
        <f>"授权"</f>
        <v>授权</v>
      </c>
      <c r="E1652" s="1" t="str">
        <f>"CN202220455696.7"</f>
        <v>CN202220455696.7</v>
      </c>
      <c r="F1652" s="1" t="str">
        <f>"2022-03-04"</f>
        <v>2022-03-04</v>
      </c>
      <c r="G1652" s="1" t="str">
        <f>"CN217485913U"</f>
        <v>CN217485913U</v>
      </c>
      <c r="H1652" s="1" t="str">
        <f>"2022-09-23"</f>
        <v>2022-09-23</v>
      </c>
      <c r="I1652" s="1" t="s">
        <v>5011</v>
      </c>
      <c r="J1652" s="1" t="str">
        <f t="shared" si="814"/>
        <v>天津信诺达汽车线束有限公司</v>
      </c>
    </row>
    <row r="1653" spans="1:10">
      <c r="A1653" s="1" t="str">
        <f t="shared" si="812"/>
        <v>天津信诺达汽车线束有限公司</v>
      </c>
      <c r="B1653" s="1" t="str">
        <f>"一种线束导通性测试的标记装置"</f>
        <v>一种线束导通性测试的标记装置</v>
      </c>
      <c r="C1653" s="1" t="str">
        <f t="shared" si="817"/>
        <v>实用新型</v>
      </c>
      <c r="D1653" s="1" t="str">
        <f t="shared" ref="D1653:D1658" si="820">"未缴年费专利权终止"</f>
        <v>未缴年费专利权终止</v>
      </c>
      <c r="E1653" s="1" t="str">
        <f>"CN202220971600.2"</f>
        <v>CN202220971600.2</v>
      </c>
      <c r="F1653" s="1" t="str">
        <f>"2022-04-26"</f>
        <v>2022-04-26</v>
      </c>
      <c r="G1653" s="1" t="str">
        <f>"CN217332514U"</f>
        <v>CN217332514U</v>
      </c>
      <c r="H1653" s="1" t="str">
        <f>"2022-08-30"</f>
        <v>2022-08-30</v>
      </c>
      <c r="I1653" s="1" t="s">
        <v>5011</v>
      </c>
      <c r="J1653" s="1" t="str">
        <f t="shared" si="814"/>
        <v>天津信诺达汽车线束有限公司</v>
      </c>
    </row>
    <row r="1654" spans="1:10">
      <c r="A1654" s="1" t="str">
        <f t="shared" si="812"/>
        <v>天津信诺达汽车线束有限公司</v>
      </c>
      <c r="B1654" s="1" t="str">
        <f>"一种线束导通仪"</f>
        <v>一种线束导通仪</v>
      </c>
      <c r="C1654" s="1" t="str">
        <f t="shared" si="817"/>
        <v>实用新型</v>
      </c>
      <c r="D1654" s="1" t="str">
        <f t="shared" si="820"/>
        <v>未缴年费专利权终止</v>
      </c>
      <c r="E1654" s="1" t="str">
        <f>"CN202221011920.X"</f>
        <v>CN202221011920.X</v>
      </c>
      <c r="F1654" s="1" t="str">
        <f>"2022-04-29"</f>
        <v>2022-04-29</v>
      </c>
      <c r="G1654" s="1" t="str">
        <f>"CN217332691U"</f>
        <v>CN217332691U</v>
      </c>
      <c r="H1654" s="1" t="str">
        <f>"2022-08-30"</f>
        <v>2022-08-30</v>
      </c>
      <c r="I1654" s="1" t="s">
        <v>5011</v>
      </c>
      <c r="J1654" s="1" t="str">
        <f t="shared" si="814"/>
        <v>天津信诺达汽车线束有限公司</v>
      </c>
    </row>
    <row r="1655" spans="1:10">
      <c r="A1655" s="1" t="str">
        <f t="shared" si="812"/>
        <v>天津信诺达汽车线束有限公司</v>
      </c>
      <c r="B1655" s="1" t="str">
        <f>"一种可调式线束放置架"</f>
        <v>一种可调式线束放置架</v>
      </c>
      <c r="C1655" s="1" t="str">
        <f t="shared" si="817"/>
        <v>实用新型</v>
      </c>
      <c r="D1655" s="1" t="str">
        <f t="shared" ref="D1655:D1660" si="821">"授权"</f>
        <v>授权</v>
      </c>
      <c r="E1655" s="1" t="str">
        <f>"CN202220433226.0"</f>
        <v>CN202220433226.0</v>
      </c>
      <c r="F1655" s="1" t="str">
        <f>"2022-03-02"</f>
        <v>2022-03-02</v>
      </c>
      <c r="G1655" s="1" t="str">
        <f>"CN217256241U"</f>
        <v>CN217256241U</v>
      </c>
      <c r="H1655" s="1" t="str">
        <f>"2022-08-23"</f>
        <v>2022-08-23</v>
      </c>
      <c r="I1655" s="1" t="s">
        <v>5011</v>
      </c>
      <c r="J1655" s="1" t="str">
        <f t="shared" si="814"/>
        <v>天津信诺达汽车线束有限公司</v>
      </c>
    </row>
    <row r="1656" spans="1:10">
      <c r="A1656" s="1" t="str">
        <f t="shared" si="812"/>
        <v>天津信诺达汽车线束有限公司</v>
      </c>
      <c r="B1656" s="1" t="str">
        <f>"一种节能裁线分割机"</f>
        <v>一种节能裁线分割机</v>
      </c>
      <c r="C1656" s="1" t="str">
        <f t="shared" si="817"/>
        <v>实用新型</v>
      </c>
      <c r="D1656" s="1" t="str">
        <f t="shared" si="820"/>
        <v>未缴年费专利权终止</v>
      </c>
      <c r="E1656" s="1" t="str">
        <f>"CN202220835767.6"</f>
        <v>CN202220835767.6</v>
      </c>
      <c r="F1656" s="1" t="str">
        <f>"2022-04-12"</f>
        <v>2022-04-12</v>
      </c>
      <c r="G1656" s="1" t="str">
        <f>"CN217168659U"</f>
        <v>CN217168659U</v>
      </c>
      <c r="H1656" s="1" t="str">
        <f>"2022-08-12"</f>
        <v>2022-08-12</v>
      </c>
      <c r="I1656" s="1" t="s">
        <v>5012</v>
      </c>
      <c r="J1656" s="1" t="str">
        <f t="shared" si="814"/>
        <v>天津信诺达汽车线束有限公司</v>
      </c>
    </row>
    <row r="1657" spans="1:10">
      <c r="A1657" s="1" t="str">
        <f t="shared" si="812"/>
        <v>天津信诺达汽车线束有限公司</v>
      </c>
      <c r="B1657" s="1" t="str">
        <f>"一种汽车线束制造用工装治具"</f>
        <v>一种汽车线束制造用工装治具</v>
      </c>
      <c r="C1657" s="1" t="str">
        <f t="shared" si="817"/>
        <v>实用新型</v>
      </c>
      <c r="D1657" s="1" t="str">
        <f t="shared" si="820"/>
        <v>未缴年费专利权终止</v>
      </c>
      <c r="E1657" s="1" t="str">
        <f>"CN202220871376.X"</f>
        <v>CN202220871376.X</v>
      </c>
      <c r="F1657" s="1" t="str">
        <f>"2022-04-15"</f>
        <v>2022-04-15</v>
      </c>
      <c r="G1657" s="1" t="str">
        <f>"CN217158929U"</f>
        <v>CN217158929U</v>
      </c>
      <c r="H1657" s="1" t="str">
        <f>"2022-08-09"</f>
        <v>2022-08-09</v>
      </c>
      <c r="I1657" s="1" t="s">
        <v>5013</v>
      </c>
      <c r="J1657" s="1" t="str">
        <f t="shared" si="814"/>
        <v>天津信诺达汽车线束有限公司</v>
      </c>
    </row>
    <row r="1658" spans="1:10">
      <c r="A1658" s="1" t="str">
        <f t="shared" si="812"/>
        <v>天津信诺达汽车线束有限公司</v>
      </c>
      <c r="B1658" s="1" t="str">
        <f>"一种汽车线束生产用的压力床"</f>
        <v>一种汽车线束生产用的压力床</v>
      </c>
      <c r="C1658" s="1" t="str">
        <f t="shared" si="817"/>
        <v>实用新型</v>
      </c>
      <c r="D1658" s="1" t="str">
        <f t="shared" si="820"/>
        <v>未缴年费专利权终止</v>
      </c>
      <c r="E1658" s="1" t="str">
        <f>"CN202220915328.6"</f>
        <v>CN202220915328.6</v>
      </c>
      <c r="F1658" s="1" t="str">
        <f>"2022-04-20"</f>
        <v>2022-04-20</v>
      </c>
      <c r="G1658" s="1" t="str">
        <f>"CN217158911U"</f>
        <v>CN217158911U</v>
      </c>
      <c r="H1658" s="1" t="str">
        <f>"2022-08-09"</f>
        <v>2022-08-09</v>
      </c>
      <c r="I1658" s="1" t="s">
        <v>5011</v>
      </c>
      <c r="J1658" s="1" t="str">
        <f t="shared" si="814"/>
        <v>天津信诺达汽车线束有限公司</v>
      </c>
    </row>
    <row r="1659" spans="1:10">
      <c r="A1659" s="1" t="str">
        <f t="shared" si="812"/>
        <v>天津信诺达汽车线束有限公司</v>
      </c>
      <c r="B1659" s="1" t="str">
        <f>"一种具有固定结构的汽车线束生产用的切管设备"</f>
        <v>一种具有固定结构的汽车线束生产用的切管设备</v>
      </c>
      <c r="C1659" s="1" t="str">
        <f t="shared" si="817"/>
        <v>实用新型</v>
      </c>
      <c r="D1659" s="1" t="str">
        <f t="shared" si="821"/>
        <v>授权</v>
      </c>
      <c r="E1659" s="1" t="str">
        <f>"CN202220433077.8"</f>
        <v>CN202220433077.8</v>
      </c>
      <c r="F1659" s="1" t="str">
        <f>"2022-03-02"</f>
        <v>2022-03-02</v>
      </c>
      <c r="G1659" s="1" t="str">
        <f>"CN216912300U"</f>
        <v>CN216912300U</v>
      </c>
      <c r="H1659" s="1" t="str">
        <f>"2022-07-08"</f>
        <v>2022-07-08</v>
      </c>
      <c r="I1659" s="1" t="s">
        <v>5011</v>
      </c>
      <c r="J1659" s="1" t="str">
        <f t="shared" si="814"/>
        <v>天津信诺达汽车线束有限公司</v>
      </c>
    </row>
    <row r="1660" spans="1:10">
      <c r="A1660" s="1" t="str">
        <f t="shared" si="812"/>
        <v>天津信诺达汽车线束有限公司</v>
      </c>
      <c r="B1660" s="1" t="str">
        <f>"一种汽车线束剥皮装置"</f>
        <v>一种汽车线束剥皮装置</v>
      </c>
      <c r="C1660" s="1" t="str">
        <f t="shared" si="817"/>
        <v>实用新型</v>
      </c>
      <c r="D1660" s="1" t="str">
        <f t="shared" si="821"/>
        <v>授权</v>
      </c>
      <c r="E1660" s="1" t="str">
        <f>"CN202220455709.0"</f>
        <v>CN202220455709.0</v>
      </c>
      <c r="F1660" s="1" t="str">
        <f>"2022-03-04"</f>
        <v>2022-03-04</v>
      </c>
      <c r="G1660" s="1" t="str">
        <f>"CN216929442U"</f>
        <v>CN216929442U</v>
      </c>
      <c r="H1660" s="1" t="str">
        <f>"2022-07-08"</f>
        <v>2022-07-08</v>
      </c>
      <c r="I1660" s="1" t="s">
        <v>5011</v>
      </c>
      <c r="J1660" s="1" t="str">
        <f t="shared" si="814"/>
        <v>天津信诺达汽车线束有限公司</v>
      </c>
    </row>
    <row r="1661" spans="1:10">
      <c r="A1661" s="1" t="str">
        <f t="shared" si="812"/>
        <v>天津信诺达汽车线束有限公司</v>
      </c>
      <c r="B1661" s="1" t="str">
        <f>"一种线束导通时防人为误操作的装置"</f>
        <v>一种线束导通时防人为误操作的装置</v>
      </c>
      <c r="C1661" s="1" t="str">
        <f t="shared" si="817"/>
        <v>实用新型</v>
      </c>
      <c r="D1661" s="1" t="str">
        <f t="shared" ref="D1661:D1672" si="822">"未缴年费专利权终止"</f>
        <v>未缴年费专利权终止</v>
      </c>
      <c r="E1661" s="1" t="str">
        <f>"CN201920874932.7"</f>
        <v>CN201920874932.7</v>
      </c>
      <c r="F1661" s="1" t="str">
        <f t="shared" ref="F1661:F1666" si="823">"2019-06-12"</f>
        <v>2019-06-12</v>
      </c>
      <c r="G1661" s="1" t="str">
        <f>"CN210639266U"</f>
        <v>CN210639266U</v>
      </c>
      <c r="H1661" s="1" t="str">
        <f>"2020-05-29"</f>
        <v>2020-05-29</v>
      </c>
      <c r="I1661" s="1" t="s">
        <v>5014</v>
      </c>
      <c r="J1661" s="1" t="str">
        <f t="shared" si="814"/>
        <v>天津信诺达汽车线束有限公司</v>
      </c>
    </row>
    <row r="1662" spans="1:10">
      <c r="A1662" s="1" t="str">
        <f t="shared" si="812"/>
        <v>天津信诺达汽车线束有限公司</v>
      </c>
      <c r="B1662" s="1" t="str">
        <f>"一种带滤波器线束的导通台"</f>
        <v>一种带滤波器线束的导通台</v>
      </c>
      <c r="C1662" s="1" t="str">
        <f t="shared" si="817"/>
        <v>实用新型</v>
      </c>
      <c r="D1662" s="1" t="str">
        <f t="shared" si="822"/>
        <v>未缴年费专利权终止</v>
      </c>
      <c r="E1662" s="1" t="str">
        <f>"CN201920875043.2"</f>
        <v>CN201920875043.2</v>
      </c>
      <c r="F1662" s="1" t="str">
        <f t="shared" si="823"/>
        <v>2019-06-12</v>
      </c>
      <c r="G1662" s="1" t="str">
        <f>"CN210376652U"</f>
        <v>CN210376652U</v>
      </c>
      <c r="H1662" s="1" t="str">
        <f>"2020-04-21"</f>
        <v>2020-04-21</v>
      </c>
      <c r="I1662" s="1" t="s">
        <v>5014</v>
      </c>
      <c r="J1662" s="1" t="str">
        <f t="shared" si="814"/>
        <v>天津信诺达汽车线束有限公司</v>
      </c>
    </row>
    <row r="1663" spans="1:10">
      <c r="A1663" s="1" t="str">
        <f t="shared" si="812"/>
        <v>天津信诺达汽车线束有限公司</v>
      </c>
      <c r="B1663" s="1" t="str">
        <f>"一种组立时物料放置架"</f>
        <v>一种组立时物料放置架</v>
      </c>
      <c r="C1663" s="1" t="str">
        <f t="shared" si="817"/>
        <v>实用新型</v>
      </c>
      <c r="D1663" s="1" t="str">
        <f t="shared" si="822"/>
        <v>未缴年费专利权终止</v>
      </c>
      <c r="E1663" s="1" t="str">
        <f>"CN201920874897.9"</f>
        <v>CN201920874897.9</v>
      </c>
      <c r="F1663" s="1" t="str">
        <f t="shared" si="823"/>
        <v>2019-06-12</v>
      </c>
      <c r="G1663" s="1" t="str">
        <f>"CN210365438U"</f>
        <v>CN210365438U</v>
      </c>
      <c r="H1663" s="1" t="str">
        <f>"2020-04-21"</f>
        <v>2020-04-21</v>
      </c>
      <c r="I1663" s="1" t="s">
        <v>5014</v>
      </c>
      <c r="J1663" s="1" t="str">
        <f t="shared" si="814"/>
        <v>天津信诺达汽车线束有限公司</v>
      </c>
    </row>
    <row r="1664" spans="1:10">
      <c r="A1664" s="1" t="str">
        <f t="shared" si="812"/>
        <v>天津信诺达汽车线束有限公司</v>
      </c>
      <c r="B1664" s="1" t="str">
        <f>"一种线束组立板集合放置架"</f>
        <v>一种线束组立板集合放置架</v>
      </c>
      <c r="C1664" s="1" t="str">
        <f t="shared" si="817"/>
        <v>实用新型</v>
      </c>
      <c r="D1664" s="1" t="str">
        <f t="shared" si="822"/>
        <v>未缴年费专利权终止</v>
      </c>
      <c r="E1664" s="1" t="str">
        <f>"CN201920874896.4"</f>
        <v>CN201920874896.4</v>
      </c>
      <c r="F1664" s="1" t="str">
        <f t="shared" si="823"/>
        <v>2019-06-12</v>
      </c>
      <c r="G1664" s="1" t="str">
        <f>"CN210081703U"</f>
        <v>CN210081703U</v>
      </c>
      <c r="H1664" s="1" t="str">
        <f t="shared" ref="H1664:H1666" si="824">"2020-02-18"</f>
        <v>2020-02-18</v>
      </c>
      <c r="I1664" s="1" t="s">
        <v>5014</v>
      </c>
      <c r="J1664" s="1" t="str">
        <f t="shared" si="814"/>
        <v>天津信诺达汽车线束有限公司</v>
      </c>
    </row>
    <row r="1665" spans="1:10">
      <c r="A1665" s="1" t="str">
        <f t="shared" si="812"/>
        <v>天津信诺达汽车线束有限公司</v>
      </c>
      <c r="B1665" s="1" t="str">
        <f>"一种气密测试工装"</f>
        <v>一种气密测试工装</v>
      </c>
      <c r="C1665" s="1" t="str">
        <f t="shared" si="817"/>
        <v>实用新型</v>
      </c>
      <c r="D1665" s="1" t="str">
        <f t="shared" si="822"/>
        <v>未缴年费专利权终止</v>
      </c>
      <c r="E1665" s="1" t="str">
        <f>"CN201920874931.2"</f>
        <v>CN201920874931.2</v>
      </c>
      <c r="F1665" s="1" t="str">
        <f t="shared" si="823"/>
        <v>2019-06-12</v>
      </c>
      <c r="G1665" s="1" t="str">
        <f>"CN210089933U"</f>
        <v>CN210089933U</v>
      </c>
      <c r="H1665" s="1" t="str">
        <f t="shared" si="824"/>
        <v>2020-02-18</v>
      </c>
      <c r="I1665" s="1" t="s">
        <v>5014</v>
      </c>
      <c r="J1665" s="1" t="str">
        <f t="shared" si="814"/>
        <v>天津信诺达汽车线束有限公司</v>
      </c>
    </row>
    <row r="1666" spans="1:10">
      <c r="A1666" s="1" t="str">
        <f t="shared" si="812"/>
        <v>天津信诺达汽车线束有限公司</v>
      </c>
      <c r="B1666" s="1" t="str">
        <f>"一种裁线时防伸拉过紧的放线架"</f>
        <v>一种裁线时防伸拉过紧的放线架</v>
      </c>
      <c r="C1666" s="1" t="str">
        <f t="shared" si="817"/>
        <v>实用新型</v>
      </c>
      <c r="D1666" s="1" t="str">
        <f t="shared" si="822"/>
        <v>未缴年费专利权终止</v>
      </c>
      <c r="E1666" s="1" t="str">
        <f>"CN201920875044.7"</f>
        <v>CN201920875044.7</v>
      </c>
      <c r="F1666" s="1" t="str">
        <f t="shared" si="823"/>
        <v>2019-06-12</v>
      </c>
      <c r="G1666" s="1" t="str">
        <f>"CN210084610U"</f>
        <v>CN210084610U</v>
      </c>
      <c r="H1666" s="1" t="str">
        <f t="shared" si="824"/>
        <v>2020-02-18</v>
      </c>
      <c r="I1666" s="1" t="s">
        <v>5014</v>
      </c>
      <c r="J1666" s="1" t="str">
        <f t="shared" si="814"/>
        <v>天津信诺达汽车线束有限公司</v>
      </c>
    </row>
    <row r="1667" spans="1:10">
      <c r="A1667" s="1" t="str">
        <f t="shared" si="812"/>
        <v>天津信诺达汽车线束有限公司</v>
      </c>
      <c r="B1667" s="1" t="str">
        <f>"一种便于对插针进行计数的插针剪断装置"</f>
        <v>一种便于对插针进行计数的插针剪断装置</v>
      </c>
      <c r="C1667" s="1" t="str">
        <f t="shared" si="817"/>
        <v>实用新型</v>
      </c>
      <c r="D1667" s="1" t="str">
        <f t="shared" si="822"/>
        <v>未缴年费专利权终止</v>
      </c>
      <c r="E1667" s="1" t="str">
        <f>"CN201821459378.8"</f>
        <v>CN201821459378.8</v>
      </c>
      <c r="F1667" s="1" t="str">
        <f>"2018-09-07"</f>
        <v>2018-09-07</v>
      </c>
      <c r="G1667" s="1" t="str">
        <f>"CN208696176U"</f>
        <v>CN208696176U</v>
      </c>
      <c r="H1667" s="1" t="str">
        <f t="shared" ref="H1667:H1672" si="825">"2019-04-05"</f>
        <v>2019-04-05</v>
      </c>
      <c r="I1667" s="1" t="s">
        <v>5015</v>
      </c>
      <c r="J1667" s="1" t="str">
        <f t="shared" si="814"/>
        <v>天津信诺达汽车线束有限公司</v>
      </c>
    </row>
    <row r="1668" spans="1:10">
      <c r="A1668" s="1" t="str">
        <f t="shared" si="812"/>
        <v>天津信诺达汽车线束有限公司</v>
      </c>
      <c r="B1668" s="1" t="str">
        <f>"一种接插件组装工作台"</f>
        <v>一种接插件组装工作台</v>
      </c>
      <c r="C1668" s="1" t="str">
        <f t="shared" si="817"/>
        <v>实用新型</v>
      </c>
      <c r="D1668" s="1" t="str">
        <f t="shared" si="822"/>
        <v>未缴年费专利权终止</v>
      </c>
      <c r="E1668" s="1" t="str">
        <f>"CN201821466281.X"</f>
        <v>CN201821466281.X</v>
      </c>
      <c r="F1668" s="1" t="str">
        <f>"2018-09-08"</f>
        <v>2018-09-08</v>
      </c>
      <c r="G1668" s="1" t="str">
        <f>"CN208697381U"</f>
        <v>CN208697381U</v>
      </c>
      <c r="H1668" s="1" t="str">
        <f t="shared" si="825"/>
        <v>2019-04-05</v>
      </c>
      <c r="I1668" s="1" t="s">
        <v>5015</v>
      </c>
      <c r="J1668" s="1" t="str">
        <f t="shared" si="814"/>
        <v>天津信诺达汽车线束有限公司</v>
      </c>
    </row>
    <row r="1669" spans="1:10">
      <c r="A1669" s="1" t="str">
        <f t="shared" si="812"/>
        <v>天津信诺达汽车线束有限公司</v>
      </c>
      <c r="B1669" s="1" t="str">
        <f>"一种可滑动线束组装工作台"</f>
        <v>一种可滑动线束组装工作台</v>
      </c>
      <c r="C1669" s="1" t="str">
        <f t="shared" si="817"/>
        <v>实用新型</v>
      </c>
      <c r="D1669" s="1" t="str">
        <f t="shared" si="822"/>
        <v>未缴年费专利权终止</v>
      </c>
      <c r="E1669" s="1" t="str">
        <f>"CN201821466273.5"</f>
        <v>CN201821466273.5</v>
      </c>
      <c r="F1669" s="1" t="str">
        <f>"2018-09-08"</f>
        <v>2018-09-08</v>
      </c>
      <c r="G1669" s="1" t="str">
        <f>"CN208697357U"</f>
        <v>CN208697357U</v>
      </c>
      <c r="H1669" s="1" t="str">
        <f t="shared" si="825"/>
        <v>2019-04-05</v>
      </c>
      <c r="I1669" s="1" t="s">
        <v>5015</v>
      </c>
      <c r="J1669" s="1" t="str">
        <f t="shared" si="814"/>
        <v>天津信诺达汽车线束有限公司</v>
      </c>
    </row>
    <row r="1670" spans="1:10">
      <c r="A1670" s="1" t="str">
        <f t="shared" si="812"/>
        <v>天津信诺达汽车线束有限公司</v>
      </c>
      <c r="B1670" s="1" t="str">
        <f>"一种方便对不同线束进行找寻的线束产品挂线车"</f>
        <v>一种方便对不同线束进行找寻的线束产品挂线车</v>
      </c>
      <c r="C1670" s="1" t="str">
        <f t="shared" si="817"/>
        <v>实用新型</v>
      </c>
      <c r="D1670" s="1" t="str">
        <f t="shared" si="822"/>
        <v>未缴年费专利权终止</v>
      </c>
      <c r="E1670" s="1" t="str">
        <f>"CN201821459560.3"</f>
        <v>CN201821459560.3</v>
      </c>
      <c r="F1670" s="1" t="str">
        <f>"2018-09-07"</f>
        <v>2018-09-07</v>
      </c>
      <c r="G1670" s="1" t="str">
        <f>"CN208697416U"</f>
        <v>CN208697416U</v>
      </c>
      <c r="H1670" s="1" t="str">
        <f t="shared" si="825"/>
        <v>2019-04-05</v>
      </c>
      <c r="I1670" s="1" t="s">
        <v>5015</v>
      </c>
      <c r="J1670" s="1" t="str">
        <f t="shared" si="814"/>
        <v>天津信诺达汽车线束有限公司</v>
      </c>
    </row>
    <row r="1671" spans="1:10">
      <c r="A1671" s="1" t="str">
        <f t="shared" si="812"/>
        <v>天津信诺达汽车线束有限公司</v>
      </c>
      <c r="B1671" s="1" t="str">
        <f>"一种胶带缠绕机"</f>
        <v>一种胶带缠绕机</v>
      </c>
      <c r="C1671" s="1" t="str">
        <f t="shared" si="817"/>
        <v>实用新型</v>
      </c>
      <c r="D1671" s="1" t="str">
        <f t="shared" si="822"/>
        <v>未缴年费专利权终止</v>
      </c>
      <c r="E1671" s="1" t="str">
        <f>"CN201821457994.X"</f>
        <v>CN201821457994.X</v>
      </c>
      <c r="F1671" s="1" t="str">
        <f>"2018-09-06"</f>
        <v>2018-09-06</v>
      </c>
      <c r="G1671" s="1" t="str">
        <f>"CN208700174U"</f>
        <v>CN208700174U</v>
      </c>
      <c r="H1671" s="1" t="str">
        <f t="shared" si="825"/>
        <v>2019-04-05</v>
      </c>
      <c r="I1671" s="1" t="s">
        <v>5015</v>
      </c>
      <c r="J1671" s="1" t="str">
        <f t="shared" si="814"/>
        <v>天津信诺达汽车线束有限公司</v>
      </c>
    </row>
    <row r="1672" spans="1:10">
      <c r="A1672" s="1" t="str">
        <f t="shared" si="812"/>
        <v>天津信诺达汽车线束有限公司</v>
      </c>
      <c r="B1672" s="1" t="str">
        <f>"一种皮管切断及剖单边一体高速切管机"</f>
        <v>一种皮管切断及剖单边一体高速切管机</v>
      </c>
      <c r="C1672" s="1" t="str">
        <f t="shared" si="817"/>
        <v>实用新型</v>
      </c>
      <c r="D1672" s="1" t="str">
        <f t="shared" si="822"/>
        <v>未缴年费专利权终止</v>
      </c>
      <c r="E1672" s="1" t="str">
        <f>"CN201821458420.4"</f>
        <v>CN201821458420.4</v>
      </c>
      <c r="F1672" s="1" t="str">
        <f>"2018-09-06"</f>
        <v>2018-09-06</v>
      </c>
      <c r="G1672" s="1" t="str">
        <f>"CN208697605U"</f>
        <v>CN208697605U</v>
      </c>
      <c r="H1672" s="1" t="str">
        <f t="shared" si="825"/>
        <v>2019-04-05</v>
      </c>
      <c r="I1672" s="1" t="s">
        <v>5015</v>
      </c>
      <c r="J1672" s="1" t="str">
        <f t="shared" si="814"/>
        <v>天津信诺达汽车线束有限公司</v>
      </c>
    </row>
    <row r="1673" spans="1:10">
      <c r="A1673" s="1" t="str">
        <f t="shared" ref="A1673:A1675" si="826">"维智汽车电子（天津）有限公司"</f>
        <v>维智汽车电子（天津）有限公司</v>
      </c>
      <c r="B1673" s="1" t="str">
        <f>"最佳参考行迹路线的构建方法、装置及电子设备"</f>
        <v>最佳参考行迹路线的构建方法、装置及电子设备</v>
      </c>
      <c r="C1673" s="1" t="str">
        <f>"发明授权"</f>
        <v>发明授权</v>
      </c>
      <c r="D1673" s="1" t="str">
        <f t="shared" ref="D1673:D1678" si="827">"授权"</f>
        <v>授权</v>
      </c>
      <c r="E1673" s="1" t="str">
        <f>"CN201910540230.X"</f>
        <v>CN201910540230.X</v>
      </c>
      <c r="F1673" s="1" t="str">
        <f>"2019-06-20"</f>
        <v>2019-06-20</v>
      </c>
      <c r="G1673" s="1" t="str">
        <f>"CN110260864B"</f>
        <v>CN110260864B</v>
      </c>
      <c r="H1673" s="1" t="str">
        <f>"2021-11-09"</f>
        <v>2021-11-09</v>
      </c>
      <c r="I1673" s="1" t="s">
        <v>5016</v>
      </c>
      <c r="J1673" s="1" t="str">
        <f t="shared" ref="J1673:J1675" si="828">"维智汽车电子(天津)有限公司"</f>
        <v>维智汽车电子(天津)有限公司</v>
      </c>
    </row>
    <row r="1674" spans="1:10">
      <c r="A1674" s="1" t="str">
        <f t="shared" si="826"/>
        <v>维智汽车电子（天津）有限公司</v>
      </c>
      <c r="B1674" s="1" t="str">
        <f>"车道定位方法、装置及电子设备"</f>
        <v>车道定位方法、装置及电子设备</v>
      </c>
      <c r="C1674" s="1" t="str">
        <f>"发明授权"</f>
        <v>发明授权</v>
      </c>
      <c r="D1674" s="1" t="str">
        <f t="shared" si="827"/>
        <v>授权</v>
      </c>
      <c r="E1674" s="1" t="str">
        <f>"CN201910409573.2"</f>
        <v>CN201910409573.2</v>
      </c>
      <c r="F1674" s="1" t="str">
        <f>"2019-05-16"</f>
        <v>2019-05-16</v>
      </c>
      <c r="G1674" s="1" t="str">
        <f>"CN110060493B"</f>
        <v>CN110060493B</v>
      </c>
      <c r="H1674" s="1" t="str">
        <f>"2020-11-03"</f>
        <v>2020-11-03</v>
      </c>
      <c r="I1674" s="1" t="s">
        <v>5017</v>
      </c>
      <c r="J1674" s="1" t="str">
        <f t="shared" si="828"/>
        <v>维智汽车电子(天津)有限公司</v>
      </c>
    </row>
    <row r="1675" spans="1:10">
      <c r="A1675" s="1" t="str">
        <f t="shared" si="826"/>
        <v>维智汽车电子（天津）有限公司</v>
      </c>
      <c r="B1675" s="1" t="str">
        <f>"车辆控制装置、方法、系统及处理器"</f>
        <v>车辆控制装置、方法、系统及处理器</v>
      </c>
      <c r="C1675" s="1" t="str">
        <f>"发明公布"</f>
        <v>发明公布</v>
      </c>
      <c r="D1675" s="1" t="str">
        <f>"公布驳回"</f>
        <v>公布驳回</v>
      </c>
      <c r="E1675" s="1" t="str">
        <f>"CN201910564247.9"</f>
        <v>CN201910564247.9</v>
      </c>
      <c r="F1675" s="1" t="str">
        <f>"2019-06-25"</f>
        <v>2019-06-25</v>
      </c>
      <c r="G1675" s="1" t="str">
        <f>"CN110264761A"</f>
        <v>CN110264761A</v>
      </c>
      <c r="H1675" s="1" t="str">
        <f>"2019-09-20"</f>
        <v>2019-09-20</v>
      </c>
      <c r="I1675" s="1" t="s">
        <v>5018</v>
      </c>
      <c r="J1675" s="1" t="str">
        <f t="shared" si="828"/>
        <v>维智汽车电子(天津)有限公司</v>
      </c>
    </row>
    <row r="1676" spans="1:10">
      <c r="A1676" s="1" t="str">
        <f t="shared" ref="A1676:A1690" si="829">"天津华天汽车配件有限公司"</f>
        <v>天津华天汽车配件有限公司</v>
      </c>
      <c r="B1676" s="1" t="str">
        <f>"一种汽车导向臂支架锁紧结构"</f>
        <v>一种汽车导向臂支架锁紧结构</v>
      </c>
      <c r="C1676" s="1" t="str">
        <f t="shared" ref="C1676:C1722" si="830">"实用新型"</f>
        <v>实用新型</v>
      </c>
      <c r="D1676" s="1" t="str">
        <f t="shared" si="827"/>
        <v>授权</v>
      </c>
      <c r="E1676" s="1" t="str">
        <f>"CN202422326164.5"</f>
        <v>CN202422326164.5</v>
      </c>
      <c r="F1676" s="1" t="str">
        <f>"2024-09-24"</f>
        <v>2024-09-24</v>
      </c>
      <c r="G1676" s="1" t="str">
        <f>"CN223301149U"</f>
        <v>CN223301149U</v>
      </c>
      <c r="H1676" s="1" t="str">
        <f>"2025-09-05"</f>
        <v>2025-09-05</v>
      </c>
      <c r="I1676" s="1" t="s">
        <v>5019</v>
      </c>
      <c r="J1676" s="1" t="str">
        <f t="shared" ref="J1676:J1690" si="831">"天津华天汽车配件有限公司"</f>
        <v>天津华天汽车配件有限公司</v>
      </c>
    </row>
    <row r="1677" spans="1:10">
      <c r="A1677" s="1" t="str">
        <f t="shared" si="829"/>
        <v>天津华天汽车配件有限公司</v>
      </c>
      <c r="B1677" s="1" t="str">
        <f>"一种汽车连杆衬套压装装置"</f>
        <v>一种汽车连杆衬套压装装置</v>
      </c>
      <c r="C1677" s="1" t="str">
        <f t="shared" si="830"/>
        <v>实用新型</v>
      </c>
      <c r="D1677" s="1" t="str">
        <f t="shared" si="827"/>
        <v>授权</v>
      </c>
      <c r="E1677" s="1" t="str">
        <f>"CN202420766196.4"</f>
        <v>CN202420766196.4</v>
      </c>
      <c r="F1677" s="1" t="str">
        <f>"2024-04-13"</f>
        <v>2024-04-13</v>
      </c>
      <c r="G1677" s="1" t="str">
        <f>"CN222359643U"</f>
        <v>CN222359643U</v>
      </c>
      <c r="H1677" s="1" t="str">
        <f>"2025-01-17"</f>
        <v>2025-01-17</v>
      </c>
      <c r="I1677" s="1" t="s">
        <v>5020</v>
      </c>
      <c r="J1677" s="1" t="str">
        <f t="shared" si="831"/>
        <v>天津华天汽车配件有限公司</v>
      </c>
    </row>
    <row r="1678" spans="1:10">
      <c r="A1678" s="1" t="str">
        <f t="shared" si="829"/>
        <v>天津华天汽车配件有限公司</v>
      </c>
      <c r="B1678" s="1" t="str">
        <f>"一种调节结构及汽车零部件加工用工装夹具"</f>
        <v>一种调节结构及汽车零部件加工用工装夹具</v>
      </c>
      <c r="C1678" s="1" t="str">
        <f t="shared" si="830"/>
        <v>实用新型</v>
      </c>
      <c r="D1678" s="1" t="str">
        <f t="shared" si="827"/>
        <v>授权</v>
      </c>
      <c r="E1678" s="1" t="str">
        <f>"CN202323357027.X"</f>
        <v>CN202323357027.X</v>
      </c>
      <c r="F1678" s="1" t="str">
        <f>"2023-12-11"</f>
        <v>2023-12-11</v>
      </c>
      <c r="G1678" s="1" t="str">
        <f>"CN221696600U"</f>
        <v>CN221696600U</v>
      </c>
      <c r="H1678" s="1" t="str">
        <f>"2024-09-13"</f>
        <v>2024-09-13</v>
      </c>
      <c r="I1678" s="1" t="str">
        <f>"尹焕军"</f>
        <v>尹焕军</v>
      </c>
      <c r="J1678" s="1" t="str">
        <f t="shared" si="831"/>
        <v>天津华天汽车配件有限公司</v>
      </c>
    </row>
    <row r="1679" spans="1:10">
      <c r="A1679" s="1" t="str">
        <f t="shared" si="829"/>
        <v>天津华天汽车配件有限公司</v>
      </c>
      <c r="B1679" s="1" t="str">
        <f>"一种高强度铝合金汽车减震器套管"</f>
        <v>一种高强度铝合金汽车减震器套管</v>
      </c>
      <c r="C1679" s="1" t="str">
        <f t="shared" si="830"/>
        <v>实用新型</v>
      </c>
      <c r="D1679" s="1" t="str">
        <f t="shared" ref="D1679:D1683" si="832">"未缴年费专利权终止"</f>
        <v>未缴年费专利权终止</v>
      </c>
      <c r="E1679" s="1" t="str">
        <f>"CN202221109456.8"</f>
        <v>CN202221109456.8</v>
      </c>
      <c r="F1679" s="1" t="str">
        <f>"2022-05-10"</f>
        <v>2022-05-10</v>
      </c>
      <c r="G1679" s="1" t="str">
        <f>"CN218063187U"</f>
        <v>CN218063187U</v>
      </c>
      <c r="H1679" s="1" t="str">
        <f>"2022-12-16"</f>
        <v>2022-12-16</v>
      </c>
      <c r="I1679" s="1" t="str">
        <f t="shared" ref="I1679:I1687" si="833">"吴永吉"</f>
        <v>吴永吉</v>
      </c>
      <c r="J1679" s="1" t="str">
        <f t="shared" si="831"/>
        <v>天津华天汽车配件有限公司</v>
      </c>
    </row>
    <row r="1680" spans="1:10">
      <c r="A1680" s="1" t="str">
        <f t="shared" si="829"/>
        <v>天津华天汽车配件有限公司</v>
      </c>
      <c r="B1680" s="1" t="str">
        <f>"一种可调节长度的减震器套管"</f>
        <v>一种可调节长度的减震器套管</v>
      </c>
      <c r="C1680" s="1" t="str">
        <f t="shared" si="830"/>
        <v>实用新型</v>
      </c>
      <c r="D1680" s="1" t="str">
        <f t="shared" ref="D1680:D1685" si="834">"授权"</f>
        <v>授权</v>
      </c>
      <c r="E1680" s="1" t="str">
        <f>"CN202221365993.9"</f>
        <v>CN202221365993.9</v>
      </c>
      <c r="F1680" s="1" t="str">
        <f>"2022-06-02"</f>
        <v>2022-06-02</v>
      </c>
      <c r="G1680" s="1" t="str">
        <f>"CN218031217U"</f>
        <v>CN218031217U</v>
      </c>
      <c r="H1680" s="1" t="str">
        <f t="shared" ref="H1680:H1682" si="835">"2022-12-13"</f>
        <v>2022-12-13</v>
      </c>
      <c r="I1680" s="1" t="str">
        <f t="shared" si="833"/>
        <v>吴永吉</v>
      </c>
      <c r="J1680" s="1" t="str">
        <f t="shared" si="831"/>
        <v>天津华天汽车配件有限公司</v>
      </c>
    </row>
    <row r="1681" spans="1:10">
      <c r="A1681" s="1" t="str">
        <f t="shared" si="829"/>
        <v>天津华天汽车配件有限公司</v>
      </c>
      <c r="B1681" s="1" t="str">
        <f>"一种汽车减震器用套管加工用工装"</f>
        <v>一种汽车减震器用套管加工用工装</v>
      </c>
      <c r="C1681" s="1" t="str">
        <f t="shared" si="830"/>
        <v>实用新型</v>
      </c>
      <c r="D1681" s="1" t="str">
        <f t="shared" si="832"/>
        <v>未缴年费专利权终止</v>
      </c>
      <c r="E1681" s="1" t="str">
        <f>"CN202221953280.4"</f>
        <v>CN202221953280.4</v>
      </c>
      <c r="F1681" s="1" t="str">
        <f>"2022-07-27"</f>
        <v>2022-07-27</v>
      </c>
      <c r="G1681" s="1" t="str">
        <f>"CN218017174U"</f>
        <v>CN218017174U</v>
      </c>
      <c r="H1681" s="1" t="str">
        <f t="shared" si="835"/>
        <v>2022-12-13</v>
      </c>
      <c r="I1681" s="1" t="str">
        <f t="shared" si="833"/>
        <v>吴永吉</v>
      </c>
      <c r="J1681" s="1" t="str">
        <f t="shared" si="831"/>
        <v>天津华天汽车配件有限公司</v>
      </c>
    </row>
    <row r="1682" spans="1:10">
      <c r="A1682" s="1" t="str">
        <f t="shared" si="829"/>
        <v>天津华天汽车配件有限公司</v>
      </c>
      <c r="B1682" s="1" t="str">
        <f>"一种减震器用套管去毛刺装置"</f>
        <v>一种减震器用套管去毛刺装置</v>
      </c>
      <c r="C1682" s="1" t="str">
        <f t="shared" si="830"/>
        <v>实用新型</v>
      </c>
      <c r="D1682" s="1" t="str">
        <f t="shared" si="832"/>
        <v>未缴年费专利权终止</v>
      </c>
      <c r="E1682" s="1" t="str">
        <f>"CN202221738476.1"</f>
        <v>CN202221738476.1</v>
      </c>
      <c r="F1682" s="1" t="str">
        <f>"2022-07-07"</f>
        <v>2022-07-07</v>
      </c>
      <c r="G1682" s="1" t="str">
        <f>"CN218017523U"</f>
        <v>CN218017523U</v>
      </c>
      <c r="H1682" s="1" t="str">
        <f t="shared" si="835"/>
        <v>2022-12-13</v>
      </c>
      <c r="I1682" s="1" t="str">
        <f t="shared" si="833"/>
        <v>吴永吉</v>
      </c>
      <c r="J1682" s="1" t="str">
        <f t="shared" si="831"/>
        <v>天津华天汽车配件有限公司</v>
      </c>
    </row>
    <row r="1683" spans="1:10">
      <c r="A1683" s="1" t="str">
        <f t="shared" si="829"/>
        <v>天津华天汽车配件有限公司</v>
      </c>
      <c r="B1683" s="1" t="str">
        <f>"一种减震器防腐蚀外管"</f>
        <v>一种减震器防腐蚀外管</v>
      </c>
      <c r="C1683" s="1" t="str">
        <f t="shared" si="830"/>
        <v>实用新型</v>
      </c>
      <c r="D1683" s="1" t="str">
        <f t="shared" si="832"/>
        <v>未缴年费专利权终止</v>
      </c>
      <c r="E1683" s="1" t="str">
        <f>"CN202221217588.2"</f>
        <v>CN202221217588.2</v>
      </c>
      <c r="F1683" s="1" t="str">
        <f>"2022-05-20"</f>
        <v>2022-05-20</v>
      </c>
      <c r="G1683" s="1" t="str">
        <f>"CN217873931U"</f>
        <v>CN217873931U</v>
      </c>
      <c r="H1683" s="1" t="str">
        <f>"2022-11-22"</f>
        <v>2022-11-22</v>
      </c>
      <c r="I1683" s="1" t="str">
        <f t="shared" si="833"/>
        <v>吴永吉</v>
      </c>
      <c r="J1683" s="1" t="str">
        <f t="shared" si="831"/>
        <v>天津华天汽车配件有限公司</v>
      </c>
    </row>
    <row r="1684" spans="1:10">
      <c r="A1684" s="1" t="str">
        <f t="shared" si="829"/>
        <v>天津华天汽车配件有限公司</v>
      </c>
      <c r="B1684" s="1" t="str">
        <f>"一种减震器外管加工定位结构"</f>
        <v>一种减震器外管加工定位结构</v>
      </c>
      <c r="C1684" s="1" t="str">
        <f t="shared" si="830"/>
        <v>实用新型</v>
      </c>
      <c r="D1684" s="1" t="str">
        <f t="shared" si="834"/>
        <v>授权</v>
      </c>
      <c r="E1684" s="1" t="str">
        <f>"CN202221554717.7"</f>
        <v>CN202221554717.7</v>
      </c>
      <c r="F1684" s="1" t="str">
        <f>"2022-06-21"</f>
        <v>2022-06-21</v>
      </c>
      <c r="G1684" s="1" t="str">
        <f>"CN217727992U"</f>
        <v>CN217727992U</v>
      </c>
      <c r="H1684" s="1" t="str">
        <f>"2022-11-04"</f>
        <v>2022-11-04</v>
      </c>
      <c r="I1684" s="1" t="str">
        <f t="shared" si="833"/>
        <v>吴永吉</v>
      </c>
      <c r="J1684" s="1" t="str">
        <f t="shared" si="831"/>
        <v>天津华天汽车配件有限公司</v>
      </c>
    </row>
    <row r="1685" spans="1:10">
      <c r="A1685" s="1" t="str">
        <f t="shared" si="829"/>
        <v>天津华天汽车配件有限公司</v>
      </c>
      <c r="B1685" s="1" t="str">
        <f>"一种汽车减震部件用自润型套管"</f>
        <v>一种汽车减震部件用自润型套管</v>
      </c>
      <c r="C1685" s="1" t="str">
        <f t="shared" si="830"/>
        <v>实用新型</v>
      </c>
      <c r="D1685" s="1" t="str">
        <f t="shared" si="834"/>
        <v>授权</v>
      </c>
      <c r="E1685" s="1" t="str">
        <f>"CN202221414032.2"</f>
        <v>CN202221414032.2</v>
      </c>
      <c r="F1685" s="1" t="str">
        <f>"2022-06-08"</f>
        <v>2022-06-08</v>
      </c>
      <c r="G1685" s="1" t="str">
        <f>"CN217502409U"</f>
        <v>CN217502409U</v>
      </c>
      <c r="H1685" s="1" t="str">
        <f>"2022-09-27"</f>
        <v>2022-09-27</v>
      </c>
      <c r="I1685" s="1" t="str">
        <f t="shared" si="833"/>
        <v>吴永吉</v>
      </c>
      <c r="J1685" s="1" t="str">
        <f t="shared" si="831"/>
        <v>天津华天汽车配件有限公司</v>
      </c>
    </row>
    <row r="1686" spans="1:10">
      <c r="A1686" s="1" t="str">
        <f t="shared" si="829"/>
        <v>天津华天汽车配件有限公司</v>
      </c>
      <c r="B1686" s="1" t="str">
        <f>"一种防裂型汽车减震器套管"</f>
        <v>一种防裂型汽车减震器套管</v>
      </c>
      <c r="C1686" s="1" t="str">
        <f t="shared" si="830"/>
        <v>实用新型</v>
      </c>
      <c r="D1686" s="1" t="str">
        <f t="shared" ref="D1686:D1705" si="836">"未缴年费专利权终止"</f>
        <v>未缴年费专利权终止</v>
      </c>
      <c r="E1686" s="1" t="str">
        <f>"CN202220981271.X"</f>
        <v>CN202220981271.X</v>
      </c>
      <c r="F1686" s="1" t="str">
        <f>"2022-04-26"</f>
        <v>2022-04-26</v>
      </c>
      <c r="G1686" s="1" t="str">
        <f>"CN217152807U"</f>
        <v>CN217152807U</v>
      </c>
      <c r="H1686" s="1" t="str">
        <f>"2022-08-09"</f>
        <v>2022-08-09</v>
      </c>
      <c r="I1686" s="1" t="str">
        <f t="shared" si="833"/>
        <v>吴永吉</v>
      </c>
      <c r="J1686" s="1" t="str">
        <f t="shared" si="831"/>
        <v>天津华天汽车配件有限公司</v>
      </c>
    </row>
    <row r="1687" spans="1:10">
      <c r="A1687" s="1" t="str">
        <f t="shared" si="829"/>
        <v>天津华天汽车配件有限公司</v>
      </c>
      <c r="B1687" s="1" t="str">
        <f>"一种插拔式便于快速安装的汽车减震器套管"</f>
        <v>一种插拔式便于快速安装的汽车减震器套管</v>
      </c>
      <c r="C1687" s="1" t="str">
        <f t="shared" si="830"/>
        <v>实用新型</v>
      </c>
      <c r="D1687" s="1" t="str">
        <f t="shared" si="836"/>
        <v>未缴年费专利权终止</v>
      </c>
      <c r="E1687" s="1" t="str">
        <f>"CN202220907166.1"</f>
        <v>CN202220907166.1</v>
      </c>
      <c r="F1687" s="1" t="str">
        <f>"2022-04-19"</f>
        <v>2022-04-19</v>
      </c>
      <c r="G1687" s="1" t="str">
        <f>"CN217152798U"</f>
        <v>CN217152798U</v>
      </c>
      <c r="H1687" s="1" t="str">
        <f>"2022-08-09"</f>
        <v>2022-08-09</v>
      </c>
      <c r="I1687" s="1" t="str">
        <f t="shared" si="833"/>
        <v>吴永吉</v>
      </c>
      <c r="J1687" s="1" t="str">
        <f t="shared" si="831"/>
        <v>天津华天汽车配件有限公司</v>
      </c>
    </row>
    <row r="1688" spans="1:10">
      <c r="A1688" s="1" t="str">
        <f t="shared" si="829"/>
        <v>天津华天汽车配件有限公司</v>
      </c>
      <c r="B1688" s="1" t="str">
        <f>"一种汽车零部件加工用轴套抛光装置"</f>
        <v>一种汽车零部件加工用轴套抛光装置</v>
      </c>
      <c r="C1688" s="1" t="str">
        <f t="shared" si="830"/>
        <v>实用新型</v>
      </c>
      <c r="D1688" s="1" t="str">
        <f t="shared" ref="D1688:D1690" si="837">"授权"</f>
        <v>授权</v>
      </c>
      <c r="E1688" s="1" t="str">
        <f>"CN202123234648.X"</f>
        <v>CN202123234648.X</v>
      </c>
      <c r="F1688" s="1" t="str">
        <f>"2021-12-21"</f>
        <v>2021-12-21</v>
      </c>
      <c r="G1688" s="1" t="str">
        <f>"CN216883281U"</f>
        <v>CN216883281U</v>
      </c>
      <c r="H1688" s="1" t="str">
        <f>"2022-07-05"</f>
        <v>2022-07-05</v>
      </c>
      <c r="I1688" s="1" t="s">
        <v>5021</v>
      </c>
      <c r="J1688" s="1" t="str">
        <f t="shared" si="831"/>
        <v>天津华天汽车配件有限公司</v>
      </c>
    </row>
    <row r="1689" spans="1:10">
      <c r="A1689" s="1" t="str">
        <f t="shared" si="829"/>
        <v>天津华天汽车配件有限公司</v>
      </c>
      <c r="B1689" s="1" t="str">
        <f>"一种汽车零件加工的校验装置"</f>
        <v>一种汽车零件加工的校验装置</v>
      </c>
      <c r="C1689" s="1" t="str">
        <f t="shared" si="830"/>
        <v>实用新型</v>
      </c>
      <c r="D1689" s="1" t="str">
        <f t="shared" si="837"/>
        <v>授权</v>
      </c>
      <c r="E1689" s="1" t="str">
        <f>"CN202021239363.8"</f>
        <v>CN202021239363.8</v>
      </c>
      <c r="F1689" s="1" t="str">
        <f>"2020-06-30"</f>
        <v>2020-06-30</v>
      </c>
      <c r="G1689" s="1" t="str">
        <f>"CN213612865U"</f>
        <v>CN213612865U</v>
      </c>
      <c r="H1689" s="1" t="str">
        <f>"2021-07-06"</f>
        <v>2021-07-06</v>
      </c>
      <c r="I1689" s="1" t="str">
        <f>"英嘉韵"</f>
        <v>英嘉韵</v>
      </c>
      <c r="J1689" s="1" t="str">
        <f t="shared" si="831"/>
        <v>天津华天汽车配件有限公司</v>
      </c>
    </row>
    <row r="1690" spans="1:10">
      <c r="A1690" s="1" t="str">
        <f t="shared" si="829"/>
        <v>天津华天汽车配件有限公司</v>
      </c>
      <c r="B1690" s="1" t="str">
        <f>"一种方便安装和拆卸的支架衬套"</f>
        <v>一种方便安装和拆卸的支架衬套</v>
      </c>
      <c r="C1690" s="1" t="str">
        <f t="shared" si="830"/>
        <v>实用新型</v>
      </c>
      <c r="D1690" s="1" t="str">
        <f t="shared" si="837"/>
        <v>授权</v>
      </c>
      <c r="E1690" s="1" t="str">
        <f>"CN201920824988.1"</f>
        <v>CN201920824988.1</v>
      </c>
      <c r="F1690" s="1" t="str">
        <f>"2019-06-03"</f>
        <v>2019-06-03</v>
      </c>
      <c r="G1690" s="1" t="str">
        <f>"CN210565512U"</f>
        <v>CN210565512U</v>
      </c>
      <c r="H1690" s="1" t="str">
        <f>"2020-05-19"</f>
        <v>2020-05-19</v>
      </c>
      <c r="I1690" s="1" t="s">
        <v>5022</v>
      </c>
      <c r="J1690" s="1" t="str">
        <f t="shared" si="831"/>
        <v>天津华天汽车配件有限公司</v>
      </c>
    </row>
    <row r="1691" spans="1:10">
      <c r="A1691" s="1" t="str">
        <f t="shared" ref="A1691:A1722" si="838">"天津晨嘉汽车零部件有限公司"</f>
        <v>天津晨嘉汽车零部件有限公司</v>
      </c>
      <c r="B1691" s="1" t="str">
        <f>"一种汽车零部件生产用冲压设备"</f>
        <v>一种汽车零部件生产用冲压设备</v>
      </c>
      <c r="C1691" s="1" t="str">
        <f t="shared" si="830"/>
        <v>实用新型</v>
      </c>
      <c r="D1691" s="1" t="str">
        <f t="shared" si="836"/>
        <v>未缴年费专利权终止</v>
      </c>
      <c r="E1691" s="1" t="str">
        <f>"CN202221533885.8"</f>
        <v>CN202221533885.8</v>
      </c>
      <c r="F1691" s="1" t="str">
        <f>"2022-06-16"</f>
        <v>2022-06-16</v>
      </c>
      <c r="G1691" s="1" t="str">
        <f>"CN217889185U"</f>
        <v>CN217889185U</v>
      </c>
      <c r="H1691" s="1" t="str">
        <f>"2022-11-25"</f>
        <v>2022-11-25</v>
      </c>
      <c r="I1691" s="1" t="str">
        <f t="shared" ref="I1691:I1705" si="839">"陈德宜"</f>
        <v>陈德宜</v>
      </c>
      <c r="J1691" s="1" t="str">
        <f t="shared" ref="J1691:J1722" si="840">"天津晨嘉汽车零部件有限公司"</f>
        <v>天津晨嘉汽车零部件有限公司</v>
      </c>
    </row>
    <row r="1692" spans="1:10">
      <c r="A1692" s="1" t="str">
        <f t="shared" si="838"/>
        <v>天津晨嘉汽车零部件有限公司</v>
      </c>
      <c r="B1692" s="1" t="str">
        <f>"一种基于方便使用的复合无纺布吸音棉"</f>
        <v>一种基于方便使用的复合无纺布吸音棉</v>
      </c>
      <c r="C1692" s="1" t="str">
        <f t="shared" si="830"/>
        <v>实用新型</v>
      </c>
      <c r="D1692" s="1" t="str">
        <f t="shared" si="836"/>
        <v>未缴年费专利权终止</v>
      </c>
      <c r="E1692" s="1" t="str">
        <f>"CN202122229241.1"</f>
        <v>CN202122229241.1</v>
      </c>
      <c r="F1692" s="1" t="str">
        <f>"2021-09-14"</f>
        <v>2021-09-14</v>
      </c>
      <c r="G1692" s="1" t="str">
        <f>"CN217480678U"</f>
        <v>CN217480678U</v>
      </c>
      <c r="H1692" s="1" t="str">
        <f t="shared" ref="H1692:H1695" si="841">"2022-09-23"</f>
        <v>2022-09-23</v>
      </c>
      <c r="I1692" s="1" t="str">
        <f t="shared" si="839"/>
        <v>陈德宜</v>
      </c>
      <c r="J1692" s="1" t="str">
        <f t="shared" si="840"/>
        <v>天津晨嘉汽车零部件有限公司</v>
      </c>
    </row>
    <row r="1693" spans="1:10">
      <c r="A1693" s="1" t="str">
        <f t="shared" si="838"/>
        <v>天津晨嘉汽车零部件有限公司</v>
      </c>
      <c r="B1693" s="1" t="str">
        <f>"一种基于汽车零部件生产用影像测量仪"</f>
        <v>一种基于汽车零部件生产用影像测量仪</v>
      </c>
      <c r="C1693" s="1" t="str">
        <f t="shared" si="830"/>
        <v>实用新型</v>
      </c>
      <c r="D1693" s="1" t="str">
        <f t="shared" si="836"/>
        <v>未缴年费专利权终止</v>
      </c>
      <c r="E1693" s="1" t="str">
        <f>"CN202122251012.X"</f>
        <v>CN202122251012.X</v>
      </c>
      <c r="F1693" s="1" t="str">
        <f>"2021-09-16"</f>
        <v>2021-09-16</v>
      </c>
      <c r="G1693" s="1" t="str">
        <f>"CN217483560U"</f>
        <v>CN217483560U</v>
      </c>
      <c r="H1693" s="1" t="str">
        <f t="shared" si="841"/>
        <v>2022-09-23</v>
      </c>
      <c r="I1693" s="1" t="str">
        <f t="shared" si="839"/>
        <v>陈德宜</v>
      </c>
      <c r="J1693" s="1" t="str">
        <f t="shared" si="840"/>
        <v>天津晨嘉汽车零部件有限公司</v>
      </c>
    </row>
    <row r="1694" spans="1:10">
      <c r="A1694" s="1" t="str">
        <f t="shared" si="838"/>
        <v>天津晨嘉汽车零部件有限公司</v>
      </c>
      <c r="B1694" s="1" t="str">
        <f>"一种可收卷式的海绵薄膜"</f>
        <v>一种可收卷式的海绵薄膜</v>
      </c>
      <c r="C1694" s="1" t="str">
        <f t="shared" si="830"/>
        <v>实用新型</v>
      </c>
      <c r="D1694" s="1" t="str">
        <f t="shared" si="836"/>
        <v>未缴年费专利权终止</v>
      </c>
      <c r="E1694" s="1" t="str">
        <f>"CN202122213635.8"</f>
        <v>CN202122213635.8</v>
      </c>
      <c r="F1694" s="1" t="str">
        <f>"2021-09-13"</f>
        <v>2021-09-13</v>
      </c>
      <c r="G1694" s="1" t="str">
        <f>"CN217478776U"</f>
        <v>CN217478776U</v>
      </c>
      <c r="H1694" s="1" t="str">
        <f t="shared" si="841"/>
        <v>2022-09-23</v>
      </c>
      <c r="I1694" s="1" t="str">
        <f t="shared" si="839"/>
        <v>陈德宜</v>
      </c>
      <c r="J1694" s="1" t="str">
        <f t="shared" si="840"/>
        <v>天津晨嘉汽车零部件有限公司</v>
      </c>
    </row>
    <row r="1695" spans="1:10">
      <c r="A1695" s="1" t="str">
        <f t="shared" si="838"/>
        <v>天津晨嘉汽车零部件有限公司</v>
      </c>
      <c r="B1695" s="1" t="str">
        <f>"一种汽车减震零部件生产用自动化生产设备"</f>
        <v>一种汽车减震零部件生产用自动化生产设备</v>
      </c>
      <c r="C1695" s="1" t="str">
        <f t="shared" si="830"/>
        <v>实用新型</v>
      </c>
      <c r="D1695" s="1" t="str">
        <f t="shared" si="836"/>
        <v>未缴年费专利权终止</v>
      </c>
      <c r="E1695" s="1" t="str">
        <f>"CN202122353290.6"</f>
        <v>CN202122353290.6</v>
      </c>
      <c r="F1695" s="1" t="str">
        <f>"2021-09-27"</f>
        <v>2021-09-27</v>
      </c>
      <c r="G1695" s="1" t="str">
        <f>"CN217482346U"</f>
        <v>CN217482346U</v>
      </c>
      <c r="H1695" s="1" t="str">
        <f t="shared" si="841"/>
        <v>2022-09-23</v>
      </c>
      <c r="I1695" s="1" t="str">
        <f t="shared" si="839"/>
        <v>陈德宜</v>
      </c>
      <c r="J1695" s="1" t="str">
        <f t="shared" si="840"/>
        <v>天津晨嘉汽车零部件有限公司</v>
      </c>
    </row>
    <row r="1696" spans="1:10">
      <c r="A1696" s="1" t="str">
        <f t="shared" si="838"/>
        <v>天津晨嘉汽车零部件有限公司</v>
      </c>
      <c r="B1696" s="1" t="str">
        <f>"一种用于汽车内饰用电子模切设备"</f>
        <v>一种用于汽车内饰用电子模切设备</v>
      </c>
      <c r="C1696" s="1" t="str">
        <f t="shared" si="830"/>
        <v>实用新型</v>
      </c>
      <c r="D1696" s="1" t="str">
        <f t="shared" si="836"/>
        <v>未缴年费专利权终止</v>
      </c>
      <c r="E1696" s="1" t="str">
        <f>"CN202122599632.2"</f>
        <v>CN202122599632.2</v>
      </c>
      <c r="F1696" s="1" t="str">
        <f>"2021-10-26"</f>
        <v>2021-10-26</v>
      </c>
      <c r="G1696" s="1" t="str">
        <f>"CN217144207U"</f>
        <v>CN217144207U</v>
      </c>
      <c r="H1696" s="1" t="str">
        <f>"2022-08-09"</f>
        <v>2022-08-09</v>
      </c>
      <c r="I1696" s="1" t="str">
        <f t="shared" si="839"/>
        <v>陈德宜</v>
      </c>
      <c r="J1696" s="1" t="str">
        <f t="shared" si="840"/>
        <v>天津晨嘉汽车零部件有限公司</v>
      </c>
    </row>
    <row r="1697" spans="1:10">
      <c r="A1697" s="1" t="str">
        <f t="shared" si="838"/>
        <v>天津晨嘉汽车零部件有限公司</v>
      </c>
      <c r="B1697" s="1" t="str">
        <f>"一种用于汽车后备箱用吸音棉的定位组件"</f>
        <v>一种用于汽车后备箱用吸音棉的定位组件</v>
      </c>
      <c r="C1697" s="1" t="str">
        <f t="shared" si="830"/>
        <v>实用新型</v>
      </c>
      <c r="D1697" s="1" t="str">
        <f t="shared" si="836"/>
        <v>未缴年费专利权终止</v>
      </c>
      <c r="E1697" s="1" t="str">
        <f>"CN202122353688.X"</f>
        <v>CN202122353688.X</v>
      </c>
      <c r="F1697" s="1" t="str">
        <f>"2021-09-28"</f>
        <v>2021-09-28</v>
      </c>
      <c r="G1697" s="1" t="str">
        <f>"CN216684334U"</f>
        <v>CN216684334U</v>
      </c>
      <c r="H1697" s="1" t="str">
        <f>"2022-06-07"</f>
        <v>2022-06-07</v>
      </c>
      <c r="I1697" s="1" t="str">
        <f t="shared" si="839"/>
        <v>陈德宜</v>
      </c>
      <c r="J1697" s="1" t="str">
        <f t="shared" si="840"/>
        <v>天津晨嘉汽车零部件有限公司</v>
      </c>
    </row>
    <row r="1698" spans="1:10">
      <c r="A1698" s="1" t="str">
        <f t="shared" si="838"/>
        <v>天津晨嘉汽车零部件有限公司</v>
      </c>
      <c r="B1698" s="1" t="str">
        <f>"一种用于汽车坐垫用无胶慢回弹的防护机构"</f>
        <v>一种用于汽车坐垫用无胶慢回弹的防护机构</v>
      </c>
      <c r="C1698" s="1" t="str">
        <f t="shared" si="830"/>
        <v>实用新型</v>
      </c>
      <c r="D1698" s="1" t="str">
        <f t="shared" si="836"/>
        <v>未缴年费专利权终止</v>
      </c>
      <c r="E1698" s="1" t="str">
        <f>"CN202122422706.5"</f>
        <v>CN202122422706.5</v>
      </c>
      <c r="F1698" s="1" t="str">
        <f>"2021-10-08"</f>
        <v>2021-10-08</v>
      </c>
      <c r="G1698" s="1" t="str">
        <f>"CN216580241U"</f>
        <v>CN216580241U</v>
      </c>
      <c r="H1698" s="1" t="str">
        <f t="shared" ref="H1698:H1702" si="842">"2022-05-24"</f>
        <v>2022-05-24</v>
      </c>
      <c r="I1698" s="1" t="str">
        <f t="shared" si="839"/>
        <v>陈德宜</v>
      </c>
      <c r="J1698" s="1" t="str">
        <f t="shared" si="840"/>
        <v>天津晨嘉汽车零部件有限公司</v>
      </c>
    </row>
    <row r="1699" spans="1:10">
      <c r="A1699" s="1" t="str">
        <f t="shared" si="838"/>
        <v>天津晨嘉汽车零部件有限公司</v>
      </c>
      <c r="B1699" s="1" t="str">
        <f>"一种用于汽车零部件生产加工用质量检测装置"</f>
        <v>一种用于汽车零部件生产加工用质量检测装置</v>
      </c>
      <c r="C1699" s="1" t="str">
        <f t="shared" si="830"/>
        <v>实用新型</v>
      </c>
      <c r="D1699" s="1" t="str">
        <f t="shared" si="836"/>
        <v>未缴年费专利权终止</v>
      </c>
      <c r="E1699" s="1" t="str">
        <f>"CN202122383389.0"</f>
        <v>CN202122383389.0</v>
      </c>
      <c r="F1699" s="1" t="str">
        <f>"2021-09-29"</f>
        <v>2021-09-29</v>
      </c>
      <c r="G1699" s="1" t="str">
        <f>"CN216594491U"</f>
        <v>CN216594491U</v>
      </c>
      <c r="H1699" s="1" t="str">
        <f t="shared" si="842"/>
        <v>2022-05-24</v>
      </c>
      <c r="I1699" s="1" t="str">
        <f t="shared" si="839"/>
        <v>陈德宜</v>
      </c>
      <c r="J1699" s="1" t="str">
        <f t="shared" si="840"/>
        <v>天津晨嘉汽车零部件有限公司</v>
      </c>
    </row>
    <row r="1700" spans="1:10">
      <c r="A1700" s="1" t="str">
        <f t="shared" si="838"/>
        <v>天津晨嘉汽车零部件有限公司</v>
      </c>
      <c r="B1700" s="1" t="str">
        <f>"一种可以调节的汽车无胶慢回弹头枕"</f>
        <v>一种可以调节的汽车无胶慢回弹头枕</v>
      </c>
      <c r="C1700" s="1" t="str">
        <f t="shared" si="830"/>
        <v>实用新型</v>
      </c>
      <c r="D1700" s="1" t="str">
        <f t="shared" si="836"/>
        <v>未缴年费专利权终止</v>
      </c>
      <c r="E1700" s="1" t="str">
        <f>"CN202122344727.X"</f>
        <v>CN202122344727.X</v>
      </c>
      <c r="F1700" s="1" t="str">
        <f>"2021-09-26"</f>
        <v>2021-09-26</v>
      </c>
      <c r="G1700" s="1" t="str">
        <f>"CN216580249U"</f>
        <v>CN216580249U</v>
      </c>
      <c r="H1700" s="1" t="str">
        <f t="shared" si="842"/>
        <v>2022-05-24</v>
      </c>
      <c r="I1700" s="1" t="str">
        <f t="shared" si="839"/>
        <v>陈德宜</v>
      </c>
      <c r="J1700" s="1" t="str">
        <f t="shared" si="840"/>
        <v>天津晨嘉汽车零部件有限公司</v>
      </c>
    </row>
    <row r="1701" spans="1:10">
      <c r="A1701" s="1" t="str">
        <f t="shared" si="838"/>
        <v>天津晨嘉汽车零部件有限公司</v>
      </c>
      <c r="B1701" s="1" t="str">
        <f>"一种基于汽车零部件用包装内托的防护结构"</f>
        <v>一种基于汽车零部件用包装内托的防护结构</v>
      </c>
      <c r="C1701" s="1" t="str">
        <f t="shared" si="830"/>
        <v>实用新型</v>
      </c>
      <c r="D1701" s="1" t="str">
        <f t="shared" si="836"/>
        <v>未缴年费专利权终止</v>
      </c>
      <c r="E1701" s="1" t="str">
        <f>"CN202122297753.1"</f>
        <v>CN202122297753.1</v>
      </c>
      <c r="F1701" s="1" t="str">
        <f>"2021-09-22"</f>
        <v>2021-09-22</v>
      </c>
      <c r="G1701" s="1" t="str">
        <f>"CN216581991U"</f>
        <v>CN216581991U</v>
      </c>
      <c r="H1701" s="1" t="str">
        <f t="shared" si="842"/>
        <v>2022-05-24</v>
      </c>
      <c r="I1701" s="1" t="str">
        <f t="shared" si="839"/>
        <v>陈德宜</v>
      </c>
      <c r="J1701" s="1" t="str">
        <f t="shared" si="840"/>
        <v>天津晨嘉汽车零部件有限公司</v>
      </c>
    </row>
    <row r="1702" spans="1:10">
      <c r="A1702" s="1" t="str">
        <f t="shared" si="838"/>
        <v>天津晨嘉汽车零部件有限公司</v>
      </c>
      <c r="B1702" s="1" t="str">
        <f>"基于颈部保护用汽车无胶慢回弹头枕"</f>
        <v>基于颈部保护用汽车无胶慢回弹头枕</v>
      </c>
      <c r="C1702" s="1" t="str">
        <f t="shared" si="830"/>
        <v>实用新型</v>
      </c>
      <c r="D1702" s="1" t="str">
        <f t="shared" si="836"/>
        <v>未缴年费专利权终止</v>
      </c>
      <c r="E1702" s="1" t="str">
        <f>"CN202122173430.1"</f>
        <v>CN202122173430.1</v>
      </c>
      <c r="F1702" s="1" t="str">
        <f>"2021-09-09"</f>
        <v>2021-09-09</v>
      </c>
      <c r="G1702" s="1" t="str">
        <f>"CN216580251U"</f>
        <v>CN216580251U</v>
      </c>
      <c r="H1702" s="1" t="str">
        <f t="shared" si="842"/>
        <v>2022-05-24</v>
      </c>
      <c r="I1702" s="1" t="str">
        <f t="shared" si="839"/>
        <v>陈德宜</v>
      </c>
      <c r="J1702" s="1" t="str">
        <f t="shared" si="840"/>
        <v>天津晨嘉汽车零部件有限公司</v>
      </c>
    </row>
    <row r="1703" spans="1:10">
      <c r="A1703" s="1" t="str">
        <f t="shared" si="838"/>
        <v>天津晨嘉汽车零部件有限公司</v>
      </c>
      <c r="B1703" s="1" t="str">
        <f>"一种环保型吸音棉"</f>
        <v>一种环保型吸音棉</v>
      </c>
      <c r="C1703" s="1" t="str">
        <f t="shared" si="830"/>
        <v>实用新型</v>
      </c>
      <c r="D1703" s="1" t="str">
        <f t="shared" si="836"/>
        <v>未缴年费专利权终止</v>
      </c>
      <c r="E1703" s="1" t="str">
        <f>"CN202122197418.4"</f>
        <v>CN202122197418.4</v>
      </c>
      <c r="F1703" s="1" t="str">
        <f>"2021-09-10"</f>
        <v>2021-09-10</v>
      </c>
      <c r="G1703" s="1" t="str">
        <f>"CN216304989U"</f>
        <v>CN216304989U</v>
      </c>
      <c r="H1703" s="1" t="str">
        <f t="shared" ref="H1703:H1705" si="843">"2022-04-15"</f>
        <v>2022-04-15</v>
      </c>
      <c r="I1703" s="1" t="str">
        <f t="shared" si="839"/>
        <v>陈德宜</v>
      </c>
      <c r="J1703" s="1" t="str">
        <f t="shared" si="840"/>
        <v>天津晨嘉汽车零部件有限公司</v>
      </c>
    </row>
    <row r="1704" spans="1:10">
      <c r="A1704" s="1" t="str">
        <f t="shared" si="838"/>
        <v>天津晨嘉汽车零部件有限公司</v>
      </c>
      <c r="B1704" s="1" t="str">
        <f>"一种基于汽车零部件用包装内托的定位结构"</f>
        <v>一种基于汽车零部件用包装内托的定位结构</v>
      </c>
      <c r="C1704" s="1" t="str">
        <f t="shared" si="830"/>
        <v>实用新型</v>
      </c>
      <c r="D1704" s="1" t="str">
        <f t="shared" si="836"/>
        <v>未缴年费专利权终止</v>
      </c>
      <c r="E1704" s="1" t="str">
        <f>"CN202122299502.7"</f>
        <v>CN202122299502.7</v>
      </c>
      <c r="F1704" s="1" t="str">
        <f>"2021-09-18"</f>
        <v>2021-09-18</v>
      </c>
      <c r="G1704" s="1" t="str">
        <f>"CN216301905U"</f>
        <v>CN216301905U</v>
      </c>
      <c r="H1704" s="1" t="str">
        <f t="shared" si="843"/>
        <v>2022-04-15</v>
      </c>
      <c r="I1704" s="1" t="str">
        <f t="shared" si="839"/>
        <v>陈德宜</v>
      </c>
      <c r="J1704" s="1" t="str">
        <f t="shared" si="840"/>
        <v>天津晨嘉汽车零部件有限公司</v>
      </c>
    </row>
    <row r="1705" spans="1:10">
      <c r="A1705" s="1" t="str">
        <f t="shared" si="838"/>
        <v>天津晨嘉汽车零部件有限公司</v>
      </c>
      <c r="B1705" s="1" t="str">
        <f>"一种基于汽车零部件用包装内托的调节结构"</f>
        <v>一种基于汽车零部件用包装内托的调节结构</v>
      </c>
      <c r="C1705" s="1" t="str">
        <f t="shared" si="830"/>
        <v>实用新型</v>
      </c>
      <c r="D1705" s="1" t="str">
        <f t="shared" si="836"/>
        <v>未缴年费专利权终止</v>
      </c>
      <c r="E1705" s="1" t="str">
        <f>"CN202122314467.1"</f>
        <v>CN202122314467.1</v>
      </c>
      <c r="F1705" s="1" t="str">
        <f>"2021-09-23"</f>
        <v>2021-09-23</v>
      </c>
      <c r="G1705" s="1" t="str">
        <f>"CN216302069U"</f>
        <v>CN216302069U</v>
      </c>
      <c r="H1705" s="1" t="str">
        <f t="shared" si="843"/>
        <v>2022-04-15</v>
      </c>
      <c r="I1705" s="1" t="str">
        <f t="shared" si="839"/>
        <v>陈德宜</v>
      </c>
      <c r="J1705" s="1" t="str">
        <f t="shared" si="840"/>
        <v>天津晨嘉汽车零部件有限公司</v>
      </c>
    </row>
    <row r="1706" spans="1:10">
      <c r="A1706" s="1" t="str">
        <f t="shared" si="838"/>
        <v>天津晨嘉汽车零部件有限公司</v>
      </c>
      <c r="B1706" s="1" t="str">
        <f>"一种高性能纤维复合布结构"</f>
        <v>一种高性能纤维复合布结构</v>
      </c>
      <c r="C1706" s="1" t="str">
        <f t="shared" si="830"/>
        <v>实用新型</v>
      </c>
      <c r="D1706" s="1" t="str">
        <f t="shared" ref="D1706:D1708" si="844">"授权"</f>
        <v>授权</v>
      </c>
      <c r="E1706" s="1" t="str">
        <f>"CN202022364221.0"</f>
        <v>CN202022364221.0</v>
      </c>
      <c r="F1706" s="1" t="str">
        <f>"2020-10-22"</f>
        <v>2020-10-22</v>
      </c>
      <c r="G1706" s="1" t="str">
        <f>"CN214522415U"</f>
        <v>CN214522415U</v>
      </c>
      <c r="H1706" s="1" t="str">
        <f>"2021-10-29"</f>
        <v>2021-10-29</v>
      </c>
      <c r="I1706" s="1" t="str">
        <f>"陆吉云"</f>
        <v>陆吉云</v>
      </c>
      <c r="J1706" s="1" t="str">
        <f t="shared" si="840"/>
        <v>天津晨嘉汽车零部件有限公司</v>
      </c>
    </row>
    <row r="1707" spans="1:10">
      <c r="A1707" s="1" t="str">
        <f t="shared" si="838"/>
        <v>天津晨嘉汽车零部件有限公司</v>
      </c>
      <c r="B1707" s="1" t="str">
        <f>"一种聚氨酯复合海绵结构"</f>
        <v>一种聚氨酯复合海绵结构</v>
      </c>
      <c r="C1707" s="1" t="str">
        <f t="shared" si="830"/>
        <v>实用新型</v>
      </c>
      <c r="D1707" s="1" t="str">
        <f t="shared" si="844"/>
        <v>授权</v>
      </c>
      <c r="E1707" s="1" t="str">
        <f>"CN202022361978.4"</f>
        <v>CN202022361978.4</v>
      </c>
      <c r="F1707" s="1" t="str">
        <f>"2020-10-22"</f>
        <v>2020-10-22</v>
      </c>
      <c r="G1707" s="1" t="str">
        <f>"CN214449123U"</f>
        <v>CN214449123U</v>
      </c>
      <c r="H1707" s="1" t="str">
        <f>"2021-10-22"</f>
        <v>2021-10-22</v>
      </c>
      <c r="I1707" s="1" t="str">
        <f>"陆吉云"</f>
        <v>陆吉云</v>
      </c>
      <c r="J1707" s="1" t="str">
        <f t="shared" si="840"/>
        <v>天津晨嘉汽车零部件有限公司</v>
      </c>
    </row>
    <row r="1708" spans="1:10">
      <c r="A1708" s="1" t="str">
        <f t="shared" si="838"/>
        <v>天津晨嘉汽车零部件有限公司</v>
      </c>
      <c r="B1708" s="1" t="str">
        <f>"一种石墨烯复合海绵制备装置"</f>
        <v>一种石墨烯复合海绵制备装置</v>
      </c>
      <c r="C1708" s="1" t="str">
        <f t="shared" si="830"/>
        <v>实用新型</v>
      </c>
      <c r="D1708" s="1" t="str">
        <f t="shared" si="844"/>
        <v>授权</v>
      </c>
      <c r="E1708" s="1" t="str">
        <f>"CN202022411403.9"</f>
        <v>CN202022411403.9</v>
      </c>
      <c r="F1708" s="1" t="str">
        <f>"2020-10-26"</f>
        <v>2020-10-26</v>
      </c>
      <c r="G1708" s="1" t="str">
        <f>"CN214389827U"</f>
        <v>CN214389827U</v>
      </c>
      <c r="H1708" s="1" t="str">
        <f>"2021-10-15"</f>
        <v>2021-10-15</v>
      </c>
      <c r="I1708" s="1" t="str">
        <f>"陆昕"</f>
        <v>陆昕</v>
      </c>
      <c r="J1708" s="1" t="str">
        <f t="shared" si="840"/>
        <v>天津晨嘉汽车零部件有限公司</v>
      </c>
    </row>
    <row r="1709" spans="1:10">
      <c r="A1709" s="1" t="str">
        <f t="shared" si="838"/>
        <v>天津晨嘉汽车零部件有限公司</v>
      </c>
      <c r="B1709" s="1" t="str">
        <f>"一种EVA材质缓冲垫"</f>
        <v>一种EVA材质缓冲垫</v>
      </c>
      <c r="C1709" s="1" t="str">
        <f t="shared" si="830"/>
        <v>实用新型</v>
      </c>
      <c r="D1709" s="1" t="str">
        <f t="shared" ref="D1709:D1722" si="845">"未缴年费专利权终止"</f>
        <v>未缴年费专利权终止</v>
      </c>
      <c r="E1709" s="1" t="str">
        <f>"CN201921470691.6"</f>
        <v>CN201921470691.6</v>
      </c>
      <c r="F1709" s="1" t="str">
        <f t="shared" ref="F1709:F1712" si="846">"2019-09-03"</f>
        <v>2019-09-03</v>
      </c>
      <c r="G1709" s="1" t="str">
        <f>"CN210733455U"</f>
        <v>CN210733455U</v>
      </c>
      <c r="H1709" s="1" t="str">
        <f>"2020-06-12"</f>
        <v>2020-06-12</v>
      </c>
      <c r="I1709" s="1" t="s">
        <v>5023</v>
      </c>
      <c r="J1709" s="1" t="str">
        <f t="shared" si="840"/>
        <v>天津晨嘉汽车零部件有限公司</v>
      </c>
    </row>
    <row r="1710" spans="1:10">
      <c r="A1710" s="1" t="str">
        <f t="shared" si="838"/>
        <v>天津晨嘉汽车零部件有限公司</v>
      </c>
      <c r="B1710" s="1" t="str">
        <f>"一种具有防腐效果的汽车油箱用减震垫"</f>
        <v>一种具有防腐效果的汽车油箱用减震垫</v>
      </c>
      <c r="C1710" s="1" t="str">
        <f t="shared" si="830"/>
        <v>实用新型</v>
      </c>
      <c r="D1710" s="1" t="str">
        <f t="shared" si="845"/>
        <v>未缴年费专利权终止</v>
      </c>
      <c r="E1710" s="1" t="str">
        <f>"CN201921454549.2"</f>
        <v>CN201921454549.2</v>
      </c>
      <c r="F1710" s="1" t="str">
        <f t="shared" si="846"/>
        <v>2019-09-03</v>
      </c>
      <c r="G1710" s="1" t="str">
        <f>"CN210502264U"</f>
        <v>CN210502264U</v>
      </c>
      <c r="H1710" s="1" t="str">
        <f t="shared" ref="H1710:H1712" si="847">"2020-05-12"</f>
        <v>2020-05-12</v>
      </c>
      <c r="I1710" s="1" t="s">
        <v>5023</v>
      </c>
      <c r="J1710" s="1" t="str">
        <f t="shared" si="840"/>
        <v>天津晨嘉汽车零部件有限公司</v>
      </c>
    </row>
    <row r="1711" spans="1:10">
      <c r="A1711" s="1" t="str">
        <f t="shared" si="838"/>
        <v>天津晨嘉汽车零部件有限公司</v>
      </c>
      <c r="B1711" s="1" t="str">
        <f>"一种可弯折粘附的汽车用缓冲垫"</f>
        <v>一种可弯折粘附的汽车用缓冲垫</v>
      </c>
      <c r="C1711" s="1" t="str">
        <f t="shared" si="830"/>
        <v>实用新型</v>
      </c>
      <c r="D1711" s="1" t="str">
        <f t="shared" si="845"/>
        <v>未缴年费专利权终止</v>
      </c>
      <c r="E1711" s="1" t="str">
        <f>"CN201921454518.7"</f>
        <v>CN201921454518.7</v>
      </c>
      <c r="F1711" s="1" t="str">
        <f t="shared" si="846"/>
        <v>2019-09-03</v>
      </c>
      <c r="G1711" s="1" t="str">
        <f>"CN210510127U"</f>
        <v>CN210510127U</v>
      </c>
      <c r="H1711" s="1" t="str">
        <f t="shared" si="847"/>
        <v>2020-05-12</v>
      </c>
      <c r="I1711" s="1" t="s">
        <v>5023</v>
      </c>
      <c r="J1711" s="1" t="str">
        <f t="shared" si="840"/>
        <v>天津晨嘉汽车零部件有限公司</v>
      </c>
    </row>
    <row r="1712" spans="1:10">
      <c r="A1712" s="1" t="str">
        <f t="shared" si="838"/>
        <v>天津晨嘉汽车零部件有限公司</v>
      </c>
      <c r="B1712" s="1" t="str">
        <f>"一种汽车油箱用缓冲垫"</f>
        <v>一种汽车油箱用缓冲垫</v>
      </c>
      <c r="C1712" s="1" t="str">
        <f t="shared" si="830"/>
        <v>实用新型</v>
      </c>
      <c r="D1712" s="1" t="str">
        <f t="shared" si="845"/>
        <v>未缴年费专利权终止</v>
      </c>
      <c r="E1712" s="1" t="str">
        <f>"CN201921453722.7"</f>
        <v>CN201921453722.7</v>
      </c>
      <c r="F1712" s="1" t="str">
        <f t="shared" si="846"/>
        <v>2019-09-03</v>
      </c>
      <c r="G1712" s="1" t="str">
        <f>"CN210510119U"</f>
        <v>CN210510119U</v>
      </c>
      <c r="H1712" s="1" t="str">
        <f t="shared" si="847"/>
        <v>2020-05-12</v>
      </c>
      <c r="I1712" s="1" t="s">
        <v>5023</v>
      </c>
      <c r="J1712" s="1" t="str">
        <f t="shared" si="840"/>
        <v>天津晨嘉汽车零部件有限公司</v>
      </c>
    </row>
    <row r="1713" spans="1:10">
      <c r="A1713" s="1" t="str">
        <f t="shared" si="838"/>
        <v>天津晨嘉汽车零部件有限公司</v>
      </c>
      <c r="B1713" s="1" t="str">
        <f>"一种汽车零部件加工模具"</f>
        <v>一种汽车零部件加工模具</v>
      </c>
      <c r="C1713" s="1" t="str">
        <f t="shared" si="830"/>
        <v>实用新型</v>
      </c>
      <c r="D1713" s="1" t="str">
        <f t="shared" si="845"/>
        <v>未缴年费专利权终止</v>
      </c>
      <c r="E1713" s="1" t="str">
        <f>"CN201821808072.9"</f>
        <v>CN201821808072.9</v>
      </c>
      <c r="F1713" s="1" t="str">
        <f>"2018-11-05"</f>
        <v>2018-11-05</v>
      </c>
      <c r="G1713" s="1" t="str">
        <f>"CN209334567U"</f>
        <v>CN209334567U</v>
      </c>
      <c r="H1713" s="1" t="str">
        <f>"2019-09-03"</f>
        <v>2019-09-03</v>
      </c>
      <c r="I1713" s="1" t="s">
        <v>5024</v>
      </c>
      <c r="J1713" s="1" t="str">
        <f t="shared" si="840"/>
        <v>天津晨嘉汽车零部件有限公司</v>
      </c>
    </row>
    <row r="1714" spans="1:10">
      <c r="A1714" s="1" t="str">
        <f t="shared" si="838"/>
        <v>天津晨嘉汽车零部件有限公司</v>
      </c>
      <c r="B1714" s="1" t="str">
        <f>"一种碎沙充分的落沙机械手"</f>
        <v>一种碎沙充分的落沙机械手</v>
      </c>
      <c r="C1714" s="1" t="str">
        <f t="shared" si="830"/>
        <v>实用新型</v>
      </c>
      <c r="D1714" s="1" t="str">
        <f t="shared" si="845"/>
        <v>未缴年费专利权终止</v>
      </c>
      <c r="E1714" s="1" t="str">
        <f>"CN201821335046.9"</f>
        <v>CN201821335046.9</v>
      </c>
      <c r="F1714" s="1" t="str">
        <f t="shared" ref="F1714:F1722" si="848">"2018-08-20"</f>
        <v>2018-08-20</v>
      </c>
      <c r="G1714" s="1" t="str">
        <f>"CN208773613U"</f>
        <v>CN208773613U</v>
      </c>
      <c r="H1714" s="1" t="str">
        <f t="shared" ref="H1714:H1722" si="849">"2019-04-23"</f>
        <v>2019-04-23</v>
      </c>
      <c r="I1714" s="1" t="str">
        <f t="shared" ref="I1714:I1722" si="850">"陈德宜"</f>
        <v>陈德宜</v>
      </c>
      <c r="J1714" s="1" t="str">
        <f t="shared" si="840"/>
        <v>天津晨嘉汽车零部件有限公司</v>
      </c>
    </row>
    <row r="1715" spans="1:10">
      <c r="A1715" s="1" t="str">
        <f t="shared" si="838"/>
        <v>天津晨嘉汽车零部件有限公司</v>
      </c>
      <c r="B1715" s="1" t="str">
        <f>"一种砂型模落沙的清理固定设备"</f>
        <v>一种砂型模落沙的清理固定设备</v>
      </c>
      <c r="C1715" s="1" t="str">
        <f t="shared" si="830"/>
        <v>实用新型</v>
      </c>
      <c r="D1715" s="1" t="str">
        <f t="shared" si="845"/>
        <v>未缴年费专利权终止</v>
      </c>
      <c r="E1715" s="1" t="str">
        <f>"CN201821335015.3"</f>
        <v>CN201821335015.3</v>
      </c>
      <c r="F1715" s="1" t="str">
        <f t="shared" si="848"/>
        <v>2018-08-20</v>
      </c>
      <c r="G1715" s="1" t="str">
        <f>"CN208772399U"</f>
        <v>CN208772399U</v>
      </c>
      <c r="H1715" s="1" t="str">
        <f t="shared" si="849"/>
        <v>2019-04-23</v>
      </c>
      <c r="I1715" s="1" t="str">
        <f t="shared" si="850"/>
        <v>陈德宜</v>
      </c>
      <c r="J1715" s="1" t="str">
        <f t="shared" si="840"/>
        <v>天津晨嘉汽车零部件有限公司</v>
      </c>
    </row>
    <row r="1716" spans="1:10">
      <c r="A1716" s="1" t="str">
        <f t="shared" si="838"/>
        <v>天津晨嘉汽车零部件有限公司</v>
      </c>
      <c r="B1716" s="1" t="str">
        <f>"一种汽车零部件加工用多夹持点夹持设备"</f>
        <v>一种汽车零部件加工用多夹持点夹持设备</v>
      </c>
      <c r="C1716" s="1" t="str">
        <f t="shared" si="830"/>
        <v>实用新型</v>
      </c>
      <c r="D1716" s="1" t="str">
        <f t="shared" si="845"/>
        <v>未缴年费专利权终止</v>
      </c>
      <c r="E1716" s="1" t="str">
        <f>"CN201821355699.3"</f>
        <v>CN201821355699.3</v>
      </c>
      <c r="F1716" s="1" t="str">
        <f t="shared" si="848"/>
        <v>2018-08-20</v>
      </c>
      <c r="G1716" s="1" t="str">
        <f>"CN208773385U"</f>
        <v>CN208773385U</v>
      </c>
      <c r="H1716" s="1" t="str">
        <f t="shared" si="849"/>
        <v>2019-04-23</v>
      </c>
      <c r="I1716" s="1" t="str">
        <f t="shared" si="850"/>
        <v>陈德宜</v>
      </c>
      <c r="J1716" s="1" t="str">
        <f t="shared" si="840"/>
        <v>天津晨嘉汽车零部件有限公司</v>
      </c>
    </row>
    <row r="1717" spans="1:10">
      <c r="A1717" s="1" t="str">
        <f t="shared" si="838"/>
        <v>天津晨嘉汽车零部件有限公司</v>
      </c>
      <c r="B1717" s="1" t="str">
        <f>"一种应用于流水线上的塑料制品切割装置"</f>
        <v>一种应用于流水线上的塑料制品切割装置</v>
      </c>
      <c r="C1717" s="1" t="str">
        <f t="shared" si="830"/>
        <v>实用新型</v>
      </c>
      <c r="D1717" s="1" t="str">
        <f t="shared" si="845"/>
        <v>未缴年费专利权终止</v>
      </c>
      <c r="E1717" s="1" t="str">
        <f>"CN201821334967.3"</f>
        <v>CN201821334967.3</v>
      </c>
      <c r="F1717" s="1" t="str">
        <f t="shared" si="848"/>
        <v>2018-08-20</v>
      </c>
      <c r="G1717" s="1" t="str">
        <f>"CN208773691U"</f>
        <v>CN208773691U</v>
      </c>
      <c r="H1717" s="1" t="str">
        <f t="shared" si="849"/>
        <v>2019-04-23</v>
      </c>
      <c r="I1717" s="1" t="str">
        <f t="shared" si="850"/>
        <v>陈德宜</v>
      </c>
      <c r="J1717" s="1" t="str">
        <f t="shared" si="840"/>
        <v>天津晨嘉汽车零部件有限公司</v>
      </c>
    </row>
    <row r="1718" spans="1:10">
      <c r="A1718" s="1" t="str">
        <f t="shared" si="838"/>
        <v>天津晨嘉汽车零部件有限公司</v>
      </c>
      <c r="B1718" s="1" t="str">
        <f>"一种橡塑制品的无屑切割设备"</f>
        <v>一种橡塑制品的无屑切割设备</v>
      </c>
      <c r="C1718" s="1" t="str">
        <f t="shared" si="830"/>
        <v>实用新型</v>
      </c>
      <c r="D1718" s="1" t="str">
        <f t="shared" si="845"/>
        <v>未缴年费专利权终止</v>
      </c>
      <c r="E1718" s="1" t="str">
        <f>"CN201821334952.7"</f>
        <v>CN201821334952.7</v>
      </c>
      <c r="F1718" s="1" t="str">
        <f t="shared" si="848"/>
        <v>2018-08-20</v>
      </c>
      <c r="G1718" s="1" t="str">
        <f>"CN208773699U"</f>
        <v>CN208773699U</v>
      </c>
      <c r="H1718" s="1" t="str">
        <f t="shared" si="849"/>
        <v>2019-04-23</v>
      </c>
      <c r="I1718" s="1" t="str">
        <f t="shared" si="850"/>
        <v>陈德宜</v>
      </c>
      <c r="J1718" s="1" t="str">
        <f t="shared" si="840"/>
        <v>天津晨嘉汽车零部件有限公司</v>
      </c>
    </row>
    <row r="1719" spans="1:10">
      <c r="A1719" s="1" t="str">
        <f t="shared" si="838"/>
        <v>天津晨嘉汽车零部件有限公司</v>
      </c>
      <c r="B1719" s="1" t="str">
        <f>"一种砂型模检测用转动机械手"</f>
        <v>一种砂型模检测用转动机械手</v>
      </c>
      <c r="C1719" s="1" t="str">
        <f t="shared" si="830"/>
        <v>实用新型</v>
      </c>
      <c r="D1719" s="1" t="str">
        <f t="shared" si="845"/>
        <v>未缴年费专利权终止</v>
      </c>
      <c r="E1719" s="1" t="str">
        <f>"CN201821335051.X"</f>
        <v>CN201821335051.X</v>
      </c>
      <c r="F1719" s="1" t="str">
        <f t="shared" si="848"/>
        <v>2018-08-20</v>
      </c>
      <c r="G1719" s="1" t="str">
        <f>"CN208772404U"</f>
        <v>CN208772404U</v>
      </c>
      <c r="H1719" s="1" t="str">
        <f t="shared" si="849"/>
        <v>2019-04-23</v>
      </c>
      <c r="I1719" s="1" t="str">
        <f t="shared" si="850"/>
        <v>陈德宜</v>
      </c>
      <c r="J1719" s="1" t="str">
        <f t="shared" si="840"/>
        <v>天津晨嘉汽车零部件有限公司</v>
      </c>
    </row>
    <row r="1720" spans="1:10">
      <c r="A1720" s="1" t="str">
        <f t="shared" si="838"/>
        <v>天津晨嘉汽车零部件有限公司</v>
      </c>
      <c r="B1720" s="1" t="str">
        <f>"一种汽车零部件生产传送线"</f>
        <v>一种汽车零部件生产传送线</v>
      </c>
      <c r="C1720" s="1" t="str">
        <f t="shared" si="830"/>
        <v>实用新型</v>
      </c>
      <c r="D1720" s="1" t="str">
        <f t="shared" si="845"/>
        <v>未缴年费专利权终止</v>
      </c>
      <c r="E1720" s="1" t="str">
        <f>"CN201821334966.9"</f>
        <v>CN201821334966.9</v>
      </c>
      <c r="F1720" s="1" t="str">
        <f t="shared" si="848"/>
        <v>2018-08-20</v>
      </c>
      <c r="G1720" s="1" t="str">
        <f>"CN208775608U"</f>
        <v>CN208775608U</v>
      </c>
      <c r="H1720" s="1" t="str">
        <f t="shared" si="849"/>
        <v>2019-04-23</v>
      </c>
      <c r="I1720" s="1" t="str">
        <f t="shared" si="850"/>
        <v>陈德宜</v>
      </c>
      <c r="J1720" s="1" t="str">
        <f t="shared" si="840"/>
        <v>天津晨嘉汽车零部件有限公司</v>
      </c>
    </row>
    <row r="1721" spans="1:10">
      <c r="A1721" s="1" t="str">
        <f t="shared" si="838"/>
        <v>天津晨嘉汽车零部件有限公司</v>
      </c>
      <c r="B1721" s="1" t="str">
        <f>"一种塑料制品的表面清洗装置"</f>
        <v>一种塑料制品的表面清洗装置</v>
      </c>
      <c r="C1721" s="1" t="str">
        <f t="shared" si="830"/>
        <v>实用新型</v>
      </c>
      <c r="D1721" s="1" t="str">
        <f t="shared" si="845"/>
        <v>未缴年费专利权终止</v>
      </c>
      <c r="E1721" s="1" t="str">
        <f>"CN201821335018.7"</f>
        <v>CN201821335018.7</v>
      </c>
      <c r="F1721" s="1" t="str">
        <f t="shared" si="848"/>
        <v>2018-08-20</v>
      </c>
      <c r="G1721" s="1" t="str">
        <f>"CN208771995U"</f>
        <v>CN208771995U</v>
      </c>
      <c r="H1721" s="1" t="str">
        <f t="shared" si="849"/>
        <v>2019-04-23</v>
      </c>
      <c r="I1721" s="1" t="str">
        <f t="shared" si="850"/>
        <v>陈德宜</v>
      </c>
      <c r="J1721" s="1" t="str">
        <f t="shared" si="840"/>
        <v>天津晨嘉汽车零部件有限公司</v>
      </c>
    </row>
    <row r="1722" spans="1:10">
      <c r="A1722" s="1" t="str">
        <f t="shared" si="838"/>
        <v>天津晨嘉汽车零部件有限公司</v>
      </c>
      <c r="B1722" s="1" t="str">
        <f>"一种用于发动机零部件传送辊的控速装置"</f>
        <v>一种用于发动机零部件传送辊的控速装置</v>
      </c>
      <c r="C1722" s="1" t="str">
        <f t="shared" si="830"/>
        <v>实用新型</v>
      </c>
      <c r="D1722" s="1" t="str">
        <f t="shared" si="845"/>
        <v>未缴年费专利权终止</v>
      </c>
      <c r="E1722" s="1" t="str">
        <f>"CN201821334970.5"</f>
        <v>CN201821334970.5</v>
      </c>
      <c r="F1722" s="1" t="str">
        <f t="shared" si="848"/>
        <v>2018-08-20</v>
      </c>
      <c r="G1722" s="1" t="str">
        <f>"CN208775816U"</f>
        <v>CN208775816U</v>
      </c>
      <c r="H1722" s="1" t="str">
        <f t="shared" si="849"/>
        <v>2019-04-23</v>
      </c>
      <c r="I1722" s="1" t="str">
        <f t="shared" si="850"/>
        <v>陈德宜</v>
      </c>
      <c r="J1722" s="1" t="str">
        <f t="shared" si="840"/>
        <v>天津晨嘉汽车零部件有限公司</v>
      </c>
    </row>
    <row r="1723" spans="1:10">
      <c r="A1723" s="1" t="str">
        <f>"天津旭景津川汽车配件有限公司"</f>
        <v>天津旭景津川汽车配件有限公司</v>
      </c>
      <c r="B1723" s="1" t="str">
        <f>"万向节转向助力盒的制备工艺"</f>
        <v>万向节转向助力盒的制备工艺</v>
      </c>
      <c r="C1723" s="1" t="str">
        <f>"发明公布"</f>
        <v>发明公布</v>
      </c>
      <c r="D1723" s="1" t="str">
        <f>"公布视为撤回"</f>
        <v>公布视为撤回</v>
      </c>
      <c r="E1723" s="1" t="str">
        <f>"CN201310746496.2"</f>
        <v>CN201310746496.2</v>
      </c>
      <c r="F1723" s="1" t="str">
        <f>"2013-12-27"</f>
        <v>2013-12-27</v>
      </c>
      <c r="G1723" s="1" t="str">
        <f>"CN104741447A"</f>
        <v>CN104741447A</v>
      </c>
      <c r="H1723" s="1" t="str">
        <f>"2015-07-01"</f>
        <v>2015-07-01</v>
      </c>
      <c r="I1723" s="1" t="str">
        <f>"司云川"</f>
        <v>司云川</v>
      </c>
      <c r="J1723" s="1" t="str">
        <f>"天津旭景津川汽车配件有限公司"</f>
        <v>天津旭景津川汽车配件有限公司</v>
      </c>
    </row>
    <row r="1724" spans="1:10">
      <c r="A1724" s="1" t="str">
        <f t="shared" ref="A1724:A1782" si="851">"天津敏驰汽车部品有限公司"</f>
        <v>天津敏驰汽车部品有限公司</v>
      </c>
      <c r="B1724" s="1" t="str">
        <f>"一种汽车风挡胶条及其安装方法"</f>
        <v>一种汽车风挡胶条及其安装方法</v>
      </c>
      <c r="C1724" s="1" t="str">
        <f>"发明公布"</f>
        <v>发明公布</v>
      </c>
      <c r="D1724" s="1" t="str">
        <f>"实质审查"</f>
        <v>实质审查</v>
      </c>
      <c r="E1724" s="1" t="str">
        <f>"CN202411792503.7"</f>
        <v>CN202411792503.7</v>
      </c>
      <c r="F1724" s="1" t="str">
        <f>"2024-12-07"</f>
        <v>2024-12-07</v>
      </c>
      <c r="G1724" s="1" t="str">
        <f>"CN119348392A"</f>
        <v>CN119348392A</v>
      </c>
      <c r="H1724" s="1" t="str">
        <f>"2025-01-24"</f>
        <v>2025-01-24</v>
      </c>
      <c r="I1724" s="1" t="s">
        <v>5025</v>
      </c>
      <c r="J1724" s="1" t="str">
        <f t="shared" ref="J1724:J1782" si="852">"天津敏驰汽车部品有限公司"</f>
        <v>天津敏驰汽车部品有限公司</v>
      </c>
    </row>
    <row r="1725" spans="1:10">
      <c r="A1725" s="1" t="str">
        <f t="shared" si="851"/>
        <v>天津敏驰汽车部品有限公司</v>
      </c>
      <c r="B1725" s="1" t="str">
        <f>"行程可调式气动裁切装置"</f>
        <v>行程可调式气动裁切装置</v>
      </c>
      <c r="C1725" s="1" t="str">
        <f t="shared" ref="C1725:C1748" si="853">"实用新型"</f>
        <v>实用新型</v>
      </c>
      <c r="D1725" s="1" t="str">
        <f t="shared" ref="D1725:D1748" si="854">"授权"</f>
        <v>授权</v>
      </c>
      <c r="E1725" s="1" t="str">
        <f>"CN202322563856.7"</f>
        <v>CN202322563856.7</v>
      </c>
      <c r="F1725" s="1" t="str">
        <f>"2023-09-21"</f>
        <v>2023-09-21</v>
      </c>
      <c r="G1725" s="1" t="str">
        <f>"CN220882616U"</f>
        <v>CN220882616U</v>
      </c>
      <c r="H1725" s="1" t="str">
        <f>"2024-05-03"</f>
        <v>2024-05-03</v>
      </c>
      <c r="I1725" s="1" t="s">
        <v>5026</v>
      </c>
      <c r="J1725" s="1" t="str">
        <f t="shared" si="852"/>
        <v>天津敏驰汽车部品有限公司</v>
      </c>
    </row>
    <row r="1726" spans="1:10">
      <c r="A1726" s="1" t="str">
        <f t="shared" si="851"/>
        <v>天津敏驰汽车部品有限公司</v>
      </c>
      <c r="B1726" s="1" t="str">
        <f>"挤出机头多型腔复合机构"</f>
        <v>挤出机头多型腔复合机构</v>
      </c>
      <c r="C1726" s="1" t="str">
        <f t="shared" si="853"/>
        <v>实用新型</v>
      </c>
      <c r="D1726" s="1" t="str">
        <f t="shared" si="854"/>
        <v>授权</v>
      </c>
      <c r="E1726" s="1" t="str">
        <f>"CN202322563835.5"</f>
        <v>CN202322563835.5</v>
      </c>
      <c r="F1726" s="1" t="str">
        <f>"2023-09-21"</f>
        <v>2023-09-21</v>
      </c>
      <c r="G1726" s="1" t="str">
        <f>"CN220864700U"</f>
        <v>CN220864700U</v>
      </c>
      <c r="H1726" s="1" t="str">
        <f>"2024-04-30"</f>
        <v>2024-04-30</v>
      </c>
      <c r="I1726" s="1" t="str">
        <f t="shared" ref="I1726:I1751" si="855">"李保华"</f>
        <v>李保华</v>
      </c>
      <c r="J1726" s="1" t="str">
        <f t="shared" si="852"/>
        <v>天津敏驰汽车部品有限公司</v>
      </c>
    </row>
    <row r="1727" spans="1:10">
      <c r="A1727" s="1" t="str">
        <f t="shared" si="851"/>
        <v>天津敏驰汽车部品有限公司</v>
      </c>
      <c r="B1727" s="1" t="str">
        <f>"一种新型可调速式放线机"</f>
        <v>一种新型可调速式放线机</v>
      </c>
      <c r="C1727" s="1" t="str">
        <f t="shared" si="853"/>
        <v>实用新型</v>
      </c>
      <c r="D1727" s="1" t="str">
        <f t="shared" si="854"/>
        <v>授权</v>
      </c>
      <c r="E1727" s="1" t="str">
        <f>"CN202321763928.6"</f>
        <v>CN202321763928.6</v>
      </c>
      <c r="F1727" s="1" t="str">
        <f>"2023-07-06"</f>
        <v>2023-07-06</v>
      </c>
      <c r="G1727" s="1" t="str">
        <f>"CN220563960U"</f>
        <v>CN220563960U</v>
      </c>
      <c r="H1727" s="1" t="str">
        <f>"2024-03-08"</f>
        <v>2024-03-08</v>
      </c>
      <c r="I1727" s="1" t="str">
        <f t="shared" si="855"/>
        <v>李保华</v>
      </c>
      <c r="J1727" s="1" t="str">
        <f t="shared" si="852"/>
        <v>天津敏驰汽车部品有限公司</v>
      </c>
    </row>
    <row r="1728" spans="1:10">
      <c r="A1728" s="1" t="str">
        <f t="shared" si="851"/>
        <v>天津敏驰汽车部品有限公司</v>
      </c>
      <c r="B1728" s="1" t="str">
        <f>"一种新型覆膜熔接机器"</f>
        <v>一种新型覆膜熔接机器</v>
      </c>
      <c r="C1728" s="1" t="str">
        <f t="shared" si="853"/>
        <v>实用新型</v>
      </c>
      <c r="D1728" s="1" t="str">
        <f t="shared" si="854"/>
        <v>授权</v>
      </c>
      <c r="E1728" s="1" t="str">
        <f>"CN202321762960.2"</f>
        <v>CN202321762960.2</v>
      </c>
      <c r="F1728" s="1" t="str">
        <f>"2023-07-06"</f>
        <v>2023-07-06</v>
      </c>
      <c r="G1728" s="1" t="str">
        <f>"CN220409669U"</f>
        <v>CN220409669U</v>
      </c>
      <c r="H1728" s="1" t="str">
        <f t="shared" ref="H1728:H1730" si="856">"2024-01-30"</f>
        <v>2024-01-30</v>
      </c>
      <c r="I1728" s="1" t="str">
        <f t="shared" si="855"/>
        <v>李保华</v>
      </c>
      <c r="J1728" s="1" t="str">
        <f t="shared" si="852"/>
        <v>天津敏驰汽车部品有限公司</v>
      </c>
    </row>
    <row r="1729" spans="1:10">
      <c r="A1729" s="1" t="str">
        <f t="shared" si="851"/>
        <v>天津敏驰汽车部品有限公司</v>
      </c>
      <c r="B1729" s="1" t="str">
        <f>"一种新型调控计数式自动落圈机"</f>
        <v>一种新型调控计数式自动落圈机</v>
      </c>
      <c r="C1729" s="1" t="str">
        <f t="shared" si="853"/>
        <v>实用新型</v>
      </c>
      <c r="D1729" s="1" t="str">
        <f t="shared" si="854"/>
        <v>授权</v>
      </c>
      <c r="E1729" s="1" t="str">
        <f>"CN202321798170.X"</f>
        <v>CN202321798170.X</v>
      </c>
      <c r="F1729" s="1" t="str">
        <f>"2023-07-10"</f>
        <v>2023-07-10</v>
      </c>
      <c r="G1729" s="1" t="str">
        <f>"CN220411921U"</f>
        <v>CN220411921U</v>
      </c>
      <c r="H1729" s="1" t="str">
        <f t="shared" si="856"/>
        <v>2024-01-30</v>
      </c>
      <c r="I1729" s="1" t="str">
        <f t="shared" si="855"/>
        <v>李保华</v>
      </c>
      <c r="J1729" s="1" t="str">
        <f t="shared" si="852"/>
        <v>天津敏驰汽车部品有限公司</v>
      </c>
    </row>
    <row r="1730" spans="1:10">
      <c r="A1730" s="1" t="str">
        <f t="shared" si="851"/>
        <v>天津敏驰汽车部品有限公司</v>
      </c>
      <c r="B1730" s="1" t="str">
        <f>"一种新型助拨胶带粘接机器"</f>
        <v>一种新型助拨胶带粘接机器</v>
      </c>
      <c r="C1730" s="1" t="str">
        <f t="shared" si="853"/>
        <v>实用新型</v>
      </c>
      <c r="D1730" s="1" t="str">
        <f t="shared" si="854"/>
        <v>授权</v>
      </c>
      <c r="E1730" s="1" t="str">
        <f>"CN202321798133.9"</f>
        <v>CN202321798133.9</v>
      </c>
      <c r="F1730" s="1" t="str">
        <f>"2023-07-10"</f>
        <v>2023-07-10</v>
      </c>
      <c r="G1730" s="1" t="str">
        <f>"CN220412377U"</f>
        <v>CN220412377U</v>
      </c>
      <c r="H1730" s="1" t="str">
        <f t="shared" si="856"/>
        <v>2024-01-30</v>
      </c>
      <c r="I1730" s="1" t="str">
        <f t="shared" si="855"/>
        <v>李保华</v>
      </c>
      <c r="J1730" s="1" t="str">
        <f t="shared" si="852"/>
        <v>天津敏驰汽车部品有限公司</v>
      </c>
    </row>
    <row r="1731" spans="1:10">
      <c r="A1731" s="1" t="str">
        <f t="shared" si="851"/>
        <v>天津敏驰汽车部品有限公司</v>
      </c>
      <c r="B1731" s="1" t="str">
        <f>"胶条自动涂胶装置"</f>
        <v>胶条自动涂胶装置</v>
      </c>
      <c r="C1731" s="1" t="str">
        <f t="shared" si="853"/>
        <v>实用新型</v>
      </c>
      <c r="D1731" s="1" t="str">
        <f t="shared" si="854"/>
        <v>授权</v>
      </c>
      <c r="E1731" s="1" t="str">
        <f>"CN202321558123.8"</f>
        <v>CN202321558123.8</v>
      </c>
      <c r="F1731" s="1" t="str">
        <f>"2023-06-19"</f>
        <v>2023-06-19</v>
      </c>
      <c r="G1731" s="1" t="str">
        <f>"CN220072211U"</f>
        <v>CN220072211U</v>
      </c>
      <c r="H1731" s="1" t="str">
        <f t="shared" ref="H1731:H1736" si="857">"2023-11-24"</f>
        <v>2023-11-24</v>
      </c>
      <c r="I1731" s="1" t="str">
        <f t="shared" si="855"/>
        <v>李保华</v>
      </c>
      <c r="J1731" s="1" t="str">
        <f t="shared" si="852"/>
        <v>天津敏驰汽车部品有限公司</v>
      </c>
    </row>
    <row r="1732" spans="1:10">
      <c r="A1732" s="1" t="str">
        <f t="shared" si="851"/>
        <v>天津敏驰汽车部品有限公司</v>
      </c>
      <c r="B1732" s="1" t="str">
        <f>"铝带盘稳定装置"</f>
        <v>铝带盘稳定装置</v>
      </c>
      <c r="C1732" s="1" t="str">
        <f t="shared" si="853"/>
        <v>实用新型</v>
      </c>
      <c r="D1732" s="1" t="str">
        <f t="shared" si="854"/>
        <v>授权</v>
      </c>
      <c r="E1732" s="1" t="str">
        <f>"CN202321665280.9"</f>
        <v>CN202321665280.9</v>
      </c>
      <c r="F1732" s="1" t="str">
        <f>"2023-06-28"</f>
        <v>2023-06-28</v>
      </c>
      <c r="G1732" s="1" t="str">
        <f>"CN220078201U"</f>
        <v>CN220078201U</v>
      </c>
      <c r="H1732" s="1" t="str">
        <f t="shared" si="857"/>
        <v>2023-11-24</v>
      </c>
      <c r="I1732" s="1" t="str">
        <f t="shared" si="855"/>
        <v>李保华</v>
      </c>
      <c r="J1732" s="1" t="str">
        <f t="shared" si="852"/>
        <v>天津敏驰汽车部品有限公司</v>
      </c>
    </row>
    <row r="1733" spans="1:10">
      <c r="A1733" s="1" t="str">
        <f t="shared" si="851"/>
        <v>天津敏驰汽车部品有限公司</v>
      </c>
      <c r="B1733" s="1" t="str">
        <f>"模具快速更换固定装置"</f>
        <v>模具快速更换固定装置</v>
      </c>
      <c r="C1733" s="1" t="str">
        <f t="shared" si="853"/>
        <v>实用新型</v>
      </c>
      <c r="D1733" s="1" t="str">
        <f t="shared" si="854"/>
        <v>授权</v>
      </c>
      <c r="E1733" s="1" t="str">
        <f>"CN202321665428.9"</f>
        <v>CN202321665428.9</v>
      </c>
      <c r="F1733" s="1" t="str">
        <f>"2023-06-28"</f>
        <v>2023-06-28</v>
      </c>
      <c r="G1733" s="1" t="str">
        <f>"CN220075700U"</f>
        <v>CN220075700U</v>
      </c>
      <c r="H1733" s="1" t="str">
        <f t="shared" si="857"/>
        <v>2023-11-24</v>
      </c>
      <c r="I1733" s="1" t="str">
        <f t="shared" si="855"/>
        <v>李保华</v>
      </c>
      <c r="J1733" s="1" t="str">
        <f t="shared" si="852"/>
        <v>天津敏驰汽车部品有限公司</v>
      </c>
    </row>
    <row r="1734" spans="1:10">
      <c r="A1734" s="1" t="str">
        <f t="shared" si="851"/>
        <v>天津敏驰汽车部品有限公司</v>
      </c>
      <c r="B1734" s="1" t="str">
        <f>"多轨调控式在线打磨设备"</f>
        <v>多轨调控式在线打磨设备</v>
      </c>
      <c r="C1734" s="1" t="str">
        <f t="shared" si="853"/>
        <v>实用新型</v>
      </c>
      <c r="D1734" s="1" t="str">
        <f t="shared" si="854"/>
        <v>授权</v>
      </c>
      <c r="E1734" s="1" t="str">
        <f>"CN202321343394.1"</f>
        <v>CN202321343394.1</v>
      </c>
      <c r="F1734" s="1" t="str">
        <f>"2023-05-30"</f>
        <v>2023-05-30</v>
      </c>
      <c r="G1734" s="1" t="str">
        <f>"CN220074276U"</f>
        <v>CN220074276U</v>
      </c>
      <c r="H1734" s="1" t="str">
        <f t="shared" si="857"/>
        <v>2023-11-24</v>
      </c>
      <c r="I1734" s="1" t="str">
        <f t="shared" si="855"/>
        <v>李保华</v>
      </c>
      <c r="J1734" s="1" t="str">
        <f t="shared" si="852"/>
        <v>天津敏驰汽车部品有限公司</v>
      </c>
    </row>
    <row r="1735" spans="1:10">
      <c r="A1735" s="1" t="str">
        <f t="shared" si="851"/>
        <v>天津敏驰汽车部品有限公司</v>
      </c>
      <c r="B1735" s="1" t="str">
        <f>"胶条镶嵌物涂胶辅热设备"</f>
        <v>胶条镶嵌物涂胶辅热设备</v>
      </c>
      <c r="C1735" s="1" t="str">
        <f t="shared" si="853"/>
        <v>实用新型</v>
      </c>
      <c r="D1735" s="1" t="str">
        <f t="shared" si="854"/>
        <v>授权</v>
      </c>
      <c r="E1735" s="1" t="str">
        <f>"CN202321557973.6"</f>
        <v>CN202321557973.6</v>
      </c>
      <c r="F1735" s="1" t="str">
        <f>"2023-06-19"</f>
        <v>2023-06-19</v>
      </c>
      <c r="G1735" s="1" t="str">
        <f>"CN220072172U"</f>
        <v>CN220072172U</v>
      </c>
      <c r="H1735" s="1" t="str">
        <f t="shared" si="857"/>
        <v>2023-11-24</v>
      </c>
      <c r="I1735" s="1" t="str">
        <f t="shared" si="855"/>
        <v>李保华</v>
      </c>
      <c r="J1735" s="1" t="str">
        <f t="shared" si="852"/>
        <v>天津敏驰汽车部品有限公司</v>
      </c>
    </row>
    <row r="1736" spans="1:10">
      <c r="A1736" s="1" t="str">
        <f t="shared" si="851"/>
        <v>天津敏驰汽车部品有限公司</v>
      </c>
      <c r="B1736" s="1" t="str">
        <f>"附胶带辊压机构"</f>
        <v>附胶带辊压机构</v>
      </c>
      <c r="C1736" s="1" t="str">
        <f t="shared" si="853"/>
        <v>实用新型</v>
      </c>
      <c r="D1736" s="1" t="str">
        <f t="shared" si="854"/>
        <v>授权</v>
      </c>
      <c r="E1736" s="1" t="str">
        <f>"CN202321343349.6"</f>
        <v>CN202321343349.6</v>
      </c>
      <c r="F1736" s="1" t="str">
        <f>"2023-05-30"</f>
        <v>2023-05-30</v>
      </c>
      <c r="G1736" s="1" t="str">
        <f>"CN220078112U"</f>
        <v>CN220078112U</v>
      </c>
      <c r="H1736" s="1" t="str">
        <f t="shared" si="857"/>
        <v>2023-11-24</v>
      </c>
      <c r="I1736" s="1" t="str">
        <f t="shared" si="855"/>
        <v>李保华</v>
      </c>
      <c r="J1736" s="1" t="str">
        <f t="shared" si="852"/>
        <v>天津敏驰汽车部品有限公司</v>
      </c>
    </row>
    <row r="1737" spans="1:10">
      <c r="A1737" s="1" t="str">
        <f t="shared" si="851"/>
        <v>天津敏驰汽车部品有限公司</v>
      </c>
      <c r="B1737" s="1" t="str">
        <f>"新型双边接角机"</f>
        <v>新型双边接角机</v>
      </c>
      <c r="C1737" s="1" t="str">
        <f t="shared" si="853"/>
        <v>实用新型</v>
      </c>
      <c r="D1737" s="1" t="str">
        <f t="shared" si="854"/>
        <v>授权</v>
      </c>
      <c r="E1737" s="1" t="str">
        <f>"CN202021074357.1"</f>
        <v>CN202021074357.1</v>
      </c>
      <c r="F1737" s="1" t="str">
        <f t="shared" ref="F1737:F1740" si="858">"2020-06-11"</f>
        <v>2020-06-11</v>
      </c>
      <c r="G1737" s="1" t="str">
        <f>"CN212653906U"</f>
        <v>CN212653906U</v>
      </c>
      <c r="H1737" s="1" t="str">
        <f t="shared" ref="H1737:H1740" si="859">"2021-03-05"</f>
        <v>2021-03-05</v>
      </c>
      <c r="I1737" s="1" t="str">
        <f t="shared" si="855"/>
        <v>李保华</v>
      </c>
      <c r="J1737" s="1" t="str">
        <f t="shared" si="852"/>
        <v>天津敏驰汽车部品有限公司</v>
      </c>
    </row>
    <row r="1738" spans="1:10">
      <c r="A1738" s="1" t="str">
        <f t="shared" si="851"/>
        <v>天津敏驰汽车部品有限公司</v>
      </c>
      <c r="B1738" s="1" t="str">
        <f>"螺母自动上料装置"</f>
        <v>螺母自动上料装置</v>
      </c>
      <c r="C1738" s="1" t="str">
        <f t="shared" si="853"/>
        <v>实用新型</v>
      </c>
      <c r="D1738" s="1" t="str">
        <f t="shared" si="854"/>
        <v>授权</v>
      </c>
      <c r="E1738" s="1" t="str">
        <f>"CN202021073076.4"</f>
        <v>CN202021073076.4</v>
      </c>
      <c r="F1738" s="1" t="str">
        <f t="shared" si="858"/>
        <v>2020-06-11</v>
      </c>
      <c r="G1738" s="1" t="str">
        <f>"CN212655117U"</f>
        <v>CN212655117U</v>
      </c>
      <c r="H1738" s="1" t="str">
        <f t="shared" si="859"/>
        <v>2021-03-05</v>
      </c>
      <c r="I1738" s="1" t="str">
        <f t="shared" si="855"/>
        <v>李保华</v>
      </c>
      <c r="J1738" s="1" t="str">
        <f t="shared" si="852"/>
        <v>天津敏驰汽车部品有限公司</v>
      </c>
    </row>
    <row r="1739" spans="1:10">
      <c r="A1739" s="1" t="str">
        <f t="shared" si="851"/>
        <v>天津敏驰汽车部品有限公司</v>
      </c>
      <c r="B1739" s="1" t="str">
        <f>"胶条切断机"</f>
        <v>胶条切断机</v>
      </c>
      <c r="C1739" s="1" t="str">
        <f t="shared" si="853"/>
        <v>实用新型</v>
      </c>
      <c r="D1739" s="1" t="str">
        <f t="shared" si="854"/>
        <v>授权</v>
      </c>
      <c r="E1739" s="1" t="str">
        <f>"CN202020811506.1"</f>
        <v>CN202020811506.1</v>
      </c>
      <c r="F1739" s="1" t="str">
        <f>"2020-05-15"</f>
        <v>2020-05-15</v>
      </c>
      <c r="G1739" s="1" t="str">
        <f>"CN212653490U"</f>
        <v>CN212653490U</v>
      </c>
      <c r="H1739" s="1" t="str">
        <f t="shared" si="859"/>
        <v>2021-03-05</v>
      </c>
      <c r="I1739" s="1" t="str">
        <f t="shared" si="855"/>
        <v>李保华</v>
      </c>
      <c r="J1739" s="1" t="str">
        <f t="shared" si="852"/>
        <v>天津敏驰汽车部品有限公司</v>
      </c>
    </row>
    <row r="1740" spans="1:10">
      <c r="A1740" s="1" t="str">
        <f t="shared" si="851"/>
        <v>天津敏驰汽车部品有限公司</v>
      </c>
      <c r="B1740" s="1" t="str">
        <f>"压铸件挂式清洗烘干机"</f>
        <v>压铸件挂式清洗烘干机</v>
      </c>
      <c r="C1740" s="1" t="str">
        <f t="shared" si="853"/>
        <v>实用新型</v>
      </c>
      <c r="D1740" s="1" t="str">
        <f t="shared" si="854"/>
        <v>授权</v>
      </c>
      <c r="E1740" s="1" t="str">
        <f>"CN202021073078.3"</f>
        <v>CN202021073078.3</v>
      </c>
      <c r="F1740" s="1" t="str">
        <f t="shared" si="858"/>
        <v>2020-06-11</v>
      </c>
      <c r="G1740" s="1" t="str">
        <f>"CN212652275U"</f>
        <v>CN212652275U</v>
      </c>
      <c r="H1740" s="1" t="str">
        <f t="shared" si="859"/>
        <v>2021-03-05</v>
      </c>
      <c r="I1740" s="1" t="str">
        <f t="shared" si="855"/>
        <v>李保华</v>
      </c>
      <c r="J1740" s="1" t="str">
        <f t="shared" si="852"/>
        <v>天津敏驰汽车部品有限公司</v>
      </c>
    </row>
    <row r="1741" spans="1:10">
      <c r="A1741" s="1" t="str">
        <f t="shared" si="851"/>
        <v>天津敏驰汽车部品有限公司</v>
      </c>
      <c r="B1741" s="1" t="str">
        <f>"胶条精密打磨机"</f>
        <v>胶条精密打磨机</v>
      </c>
      <c r="C1741" s="1" t="str">
        <f t="shared" si="853"/>
        <v>实用新型</v>
      </c>
      <c r="D1741" s="1" t="str">
        <f t="shared" si="854"/>
        <v>授权</v>
      </c>
      <c r="E1741" s="1" t="str">
        <f>"CN202020813055.5"</f>
        <v>CN202020813055.5</v>
      </c>
      <c r="F1741" s="1" t="str">
        <f>"2020-05-15"</f>
        <v>2020-05-15</v>
      </c>
      <c r="G1741" s="1" t="str">
        <f>"CN212635290U"</f>
        <v>CN212635290U</v>
      </c>
      <c r="H1741" s="1" t="str">
        <f>"2021-03-02"</f>
        <v>2021-03-02</v>
      </c>
      <c r="I1741" s="1" t="str">
        <f t="shared" si="855"/>
        <v>李保华</v>
      </c>
      <c r="J1741" s="1" t="str">
        <f t="shared" si="852"/>
        <v>天津敏驰汽车部品有限公司</v>
      </c>
    </row>
    <row r="1742" spans="1:10">
      <c r="A1742" s="1" t="str">
        <f t="shared" si="851"/>
        <v>天津敏驰汽车部品有限公司</v>
      </c>
      <c r="B1742" s="1" t="str">
        <f>"一种带安全按钮装置的接角热熔机"</f>
        <v>一种带安全按钮装置的接角热熔机</v>
      </c>
      <c r="C1742" s="1" t="str">
        <f t="shared" si="853"/>
        <v>实用新型</v>
      </c>
      <c r="D1742" s="1" t="str">
        <f t="shared" si="854"/>
        <v>授权</v>
      </c>
      <c r="E1742" s="1" t="str">
        <f>"CN201922366877.3"</f>
        <v>CN201922366877.3</v>
      </c>
      <c r="F1742" s="1" t="str">
        <f>"2019-12-25"</f>
        <v>2019-12-25</v>
      </c>
      <c r="G1742" s="1" t="str">
        <f>"CN212288779U"</f>
        <v>CN212288779U</v>
      </c>
      <c r="H1742" s="1" t="str">
        <f>"2021-01-05"</f>
        <v>2021-01-05</v>
      </c>
      <c r="I1742" s="1" t="str">
        <f t="shared" si="855"/>
        <v>李保华</v>
      </c>
      <c r="J1742" s="1" t="str">
        <f t="shared" si="852"/>
        <v>天津敏驰汽车部品有限公司</v>
      </c>
    </row>
    <row r="1743" spans="1:10">
      <c r="A1743" s="1" t="str">
        <f t="shared" si="851"/>
        <v>天津敏驰汽车部品有限公司</v>
      </c>
      <c r="B1743" s="1" t="str">
        <f>"胶条热熔接角机构"</f>
        <v>胶条热熔接角机构</v>
      </c>
      <c r="C1743" s="1" t="str">
        <f t="shared" si="853"/>
        <v>实用新型</v>
      </c>
      <c r="D1743" s="1" t="str">
        <f t="shared" si="854"/>
        <v>授权</v>
      </c>
      <c r="E1743" s="1" t="str">
        <f>"CN201922366863.1"</f>
        <v>CN201922366863.1</v>
      </c>
      <c r="F1743" s="1" t="str">
        <f>"2019-12-25"</f>
        <v>2019-12-25</v>
      </c>
      <c r="G1743" s="1" t="str">
        <f>"CN212288778U"</f>
        <v>CN212288778U</v>
      </c>
      <c r="H1743" s="1" t="str">
        <f>"2021-01-05"</f>
        <v>2021-01-05</v>
      </c>
      <c r="I1743" s="1" t="str">
        <f t="shared" si="855"/>
        <v>李保华</v>
      </c>
      <c r="J1743" s="1" t="str">
        <f t="shared" si="852"/>
        <v>天津敏驰汽车部品有限公司</v>
      </c>
    </row>
    <row r="1744" spans="1:10">
      <c r="A1744" s="1" t="str">
        <f t="shared" si="851"/>
        <v>天津敏驰汽车部品有限公司</v>
      </c>
      <c r="B1744" s="1" t="str">
        <f>"橡胶条打磨装置"</f>
        <v>橡胶条打磨装置</v>
      </c>
      <c r="C1744" s="1" t="str">
        <f t="shared" si="853"/>
        <v>实用新型</v>
      </c>
      <c r="D1744" s="1" t="str">
        <f t="shared" si="854"/>
        <v>授权</v>
      </c>
      <c r="E1744" s="1" t="str">
        <f>"CN201922338084.0"</f>
        <v>CN201922338084.0</v>
      </c>
      <c r="F1744" s="1" t="str">
        <f t="shared" ref="F1744:F1748" si="860">"2019-12-23"</f>
        <v>2019-12-23</v>
      </c>
      <c r="G1744" s="1" t="str">
        <f>"CN211805352U"</f>
        <v>CN211805352U</v>
      </c>
      <c r="H1744" s="1" t="str">
        <f>"2020-10-30"</f>
        <v>2020-10-30</v>
      </c>
      <c r="I1744" s="1" t="str">
        <f t="shared" si="855"/>
        <v>李保华</v>
      </c>
      <c r="J1744" s="1" t="str">
        <f t="shared" si="852"/>
        <v>天津敏驰汽车部品有限公司</v>
      </c>
    </row>
    <row r="1745" spans="1:10">
      <c r="A1745" s="1" t="str">
        <f t="shared" si="851"/>
        <v>天津敏驰汽车部品有限公司</v>
      </c>
      <c r="B1745" s="1" t="str">
        <f>"自动控速放线机"</f>
        <v>自动控速放线机</v>
      </c>
      <c r="C1745" s="1" t="str">
        <f t="shared" si="853"/>
        <v>实用新型</v>
      </c>
      <c r="D1745" s="1" t="str">
        <f t="shared" si="854"/>
        <v>授权</v>
      </c>
      <c r="E1745" s="1" t="str">
        <f>"CN201922338029.1"</f>
        <v>CN201922338029.1</v>
      </c>
      <c r="F1745" s="1" t="str">
        <f t="shared" si="860"/>
        <v>2019-12-23</v>
      </c>
      <c r="G1745" s="1" t="str">
        <f>"CN211807716U"</f>
        <v>CN211807716U</v>
      </c>
      <c r="H1745" s="1" t="str">
        <f>"2020-10-30"</f>
        <v>2020-10-30</v>
      </c>
      <c r="I1745" s="1" t="str">
        <f t="shared" si="855"/>
        <v>李保华</v>
      </c>
      <c r="J1745" s="1" t="str">
        <f t="shared" si="852"/>
        <v>天津敏驰汽车部品有限公司</v>
      </c>
    </row>
    <row r="1746" spans="1:10">
      <c r="A1746" s="1" t="str">
        <f t="shared" si="851"/>
        <v>天津敏驰汽车部品有限公司</v>
      </c>
      <c r="B1746" s="1" t="str">
        <f>"一种平面部件的自动粘胶装置"</f>
        <v>一种平面部件的自动粘胶装置</v>
      </c>
      <c r="C1746" s="1" t="str">
        <f t="shared" si="853"/>
        <v>实用新型</v>
      </c>
      <c r="D1746" s="1" t="str">
        <f t="shared" si="854"/>
        <v>授权</v>
      </c>
      <c r="E1746" s="1" t="str">
        <f>"CN201922340707.8"</f>
        <v>CN201922340707.8</v>
      </c>
      <c r="F1746" s="1" t="str">
        <f t="shared" si="860"/>
        <v>2019-12-23</v>
      </c>
      <c r="G1746" s="1" t="str">
        <f>"CN211497452U"</f>
        <v>CN211497452U</v>
      </c>
      <c r="H1746" s="1" t="str">
        <f t="shared" ref="H1746:H1748" si="861">"2020-09-15"</f>
        <v>2020-09-15</v>
      </c>
      <c r="I1746" s="1" t="str">
        <f t="shared" si="855"/>
        <v>李保华</v>
      </c>
      <c r="J1746" s="1" t="str">
        <f t="shared" si="852"/>
        <v>天津敏驰汽车部品有限公司</v>
      </c>
    </row>
    <row r="1747" spans="1:10">
      <c r="A1747" s="1" t="str">
        <f t="shared" si="851"/>
        <v>天津敏驰汽车部品有限公司</v>
      </c>
      <c r="B1747" s="1" t="str">
        <f>"外购螺母螺纹精加工装置"</f>
        <v>外购螺母螺纹精加工装置</v>
      </c>
      <c r="C1747" s="1" t="str">
        <f t="shared" si="853"/>
        <v>实用新型</v>
      </c>
      <c r="D1747" s="1" t="str">
        <f t="shared" si="854"/>
        <v>授权</v>
      </c>
      <c r="E1747" s="1" t="str">
        <f>"CN201922333609.1"</f>
        <v>CN201922333609.1</v>
      </c>
      <c r="F1747" s="1" t="str">
        <f t="shared" si="860"/>
        <v>2019-12-23</v>
      </c>
      <c r="G1747" s="1" t="str">
        <f>"CN211489964U"</f>
        <v>CN211489964U</v>
      </c>
      <c r="H1747" s="1" t="str">
        <f t="shared" si="861"/>
        <v>2020-09-15</v>
      </c>
      <c r="I1747" s="1" t="str">
        <f t="shared" si="855"/>
        <v>李保华</v>
      </c>
      <c r="J1747" s="1" t="str">
        <f t="shared" si="852"/>
        <v>天津敏驰汽车部品有限公司</v>
      </c>
    </row>
    <row r="1748" spans="1:10">
      <c r="A1748" s="1" t="str">
        <f t="shared" si="851"/>
        <v>天津敏驰汽车部品有限公司</v>
      </c>
      <c r="B1748" s="1" t="str">
        <f>"一种T型件自动粘胶装置"</f>
        <v>一种T型件自动粘胶装置</v>
      </c>
      <c r="C1748" s="1" t="str">
        <f t="shared" si="853"/>
        <v>实用新型</v>
      </c>
      <c r="D1748" s="1" t="str">
        <f t="shared" si="854"/>
        <v>授权</v>
      </c>
      <c r="E1748" s="1" t="str">
        <f>"CN201922341039.0"</f>
        <v>CN201922341039.0</v>
      </c>
      <c r="F1748" s="1" t="str">
        <f t="shared" si="860"/>
        <v>2019-12-23</v>
      </c>
      <c r="G1748" s="1" t="str">
        <f>"CN211496274U"</f>
        <v>CN211496274U</v>
      </c>
      <c r="H1748" s="1" t="str">
        <f t="shared" si="861"/>
        <v>2020-09-15</v>
      </c>
      <c r="I1748" s="1" t="str">
        <f t="shared" si="855"/>
        <v>李保华</v>
      </c>
      <c r="J1748" s="1" t="str">
        <f t="shared" si="852"/>
        <v>天津敏驰汽车部品有限公司</v>
      </c>
    </row>
    <row r="1749" spans="1:10">
      <c r="A1749" s="1" t="str">
        <f t="shared" si="851"/>
        <v>天津敏驰汽车部品有限公司</v>
      </c>
      <c r="B1749" s="1" t="str">
        <f>"一种新型杆类产品组装设备"</f>
        <v>一种新型杆类产品组装设备</v>
      </c>
      <c r="C1749" s="1" t="str">
        <f>"发明公布"</f>
        <v>发明公布</v>
      </c>
      <c r="D1749" s="1" t="str">
        <f>"公布视为撤回"</f>
        <v>公布视为撤回</v>
      </c>
      <c r="E1749" s="1" t="str">
        <f>"CN201710700582.8"</f>
        <v>CN201710700582.8</v>
      </c>
      <c r="F1749" s="1" t="str">
        <f>"2017-08-16"</f>
        <v>2017-08-16</v>
      </c>
      <c r="G1749" s="1" t="str">
        <f>"CN109396802A"</f>
        <v>CN109396802A</v>
      </c>
      <c r="H1749" s="1" t="str">
        <f>"2019-03-01"</f>
        <v>2019-03-01</v>
      </c>
      <c r="I1749" s="1" t="str">
        <f t="shared" si="855"/>
        <v>李保华</v>
      </c>
      <c r="J1749" s="1" t="str">
        <f t="shared" si="852"/>
        <v>天津敏驰汽车部品有限公司</v>
      </c>
    </row>
    <row r="1750" spans="1:10">
      <c r="A1750" s="1" t="str">
        <f t="shared" si="851"/>
        <v>天津敏驰汽车部品有限公司</v>
      </c>
      <c r="B1750" s="1" t="str">
        <f>"注塑机用节能加热装置"</f>
        <v>注塑机用节能加热装置</v>
      </c>
      <c r="C1750" s="1" t="str">
        <f t="shared" ref="C1750:C1755" si="862">"实用新型"</f>
        <v>实用新型</v>
      </c>
      <c r="D1750" s="1" t="str">
        <f t="shared" ref="D1750:D1755" si="863">"授权"</f>
        <v>授权</v>
      </c>
      <c r="E1750" s="1" t="str">
        <f>"CN201721393437.1"</f>
        <v>CN201721393437.1</v>
      </c>
      <c r="F1750" s="1" t="str">
        <f>"2017-10-25"</f>
        <v>2017-10-25</v>
      </c>
      <c r="G1750" s="1" t="str">
        <f>"CN207630454U"</f>
        <v>CN207630454U</v>
      </c>
      <c r="H1750" s="1" t="str">
        <f>"2018-07-20"</f>
        <v>2018-07-20</v>
      </c>
      <c r="I1750" s="1" t="str">
        <f t="shared" si="855"/>
        <v>李保华</v>
      </c>
      <c r="J1750" s="1" t="str">
        <f t="shared" si="852"/>
        <v>天津敏驰汽车部品有限公司</v>
      </c>
    </row>
    <row r="1751" spans="1:10">
      <c r="A1751" s="1" t="str">
        <f t="shared" si="851"/>
        <v>天津敏驰汽车部品有限公司</v>
      </c>
      <c r="B1751" s="1" t="str">
        <f>"橡胶挤出机用输出装置"</f>
        <v>橡胶挤出机用输出装置</v>
      </c>
      <c r="C1751" s="1" t="str">
        <f t="shared" si="862"/>
        <v>实用新型</v>
      </c>
      <c r="D1751" s="1" t="str">
        <f t="shared" si="863"/>
        <v>授权</v>
      </c>
      <c r="E1751" s="1" t="str">
        <f>"CN201721386577.6"</f>
        <v>CN201721386577.6</v>
      </c>
      <c r="F1751" s="1" t="str">
        <f>"2017-10-25"</f>
        <v>2017-10-25</v>
      </c>
      <c r="G1751" s="1" t="str">
        <f>"CN207359588U"</f>
        <v>CN207359588U</v>
      </c>
      <c r="H1751" s="1" t="str">
        <f>"2018-05-15"</f>
        <v>2018-05-15</v>
      </c>
      <c r="I1751" s="1" t="str">
        <f t="shared" si="855"/>
        <v>李保华</v>
      </c>
      <c r="J1751" s="1" t="str">
        <f t="shared" si="852"/>
        <v>天津敏驰汽车部品有限公司</v>
      </c>
    </row>
    <row r="1752" spans="1:10">
      <c r="A1752" s="1" t="str">
        <f t="shared" si="851"/>
        <v>天津敏驰汽车部品有限公司</v>
      </c>
      <c r="B1752" s="1" t="str">
        <f>"密封条挤出过程铜线放卷机"</f>
        <v>密封条挤出过程铜线放卷机</v>
      </c>
      <c r="C1752" s="1" t="str">
        <f t="shared" si="862"/>
        <v>实用新型</v>
      </c>
      <c r="D1752" s="1" t="str">
        <f t="shared" si="863"/>
        <v>授权</v>
      </c>
      <c r="E1752" s="1" t="str">
        <f>"CN201720877871.0"</f>
        <v>CN201720877871.0</v>
      </c>
      <c r="F1752" s="1" t="str">
        <f t="shared" ref="F1752:F1755" si="864">"2017-07-19"</f>
        <v>2017-07-19</v>
      </c>
      <c r="G1752" s="1" t="str">
        <f>"CN207142491U"</f>
        <v>CN207142491U</v>
      </c>
      <c r="H1752" s="1" t="str">
        <f t="shared" ref="H1752:H1755" si="865">"2018-03-27"</f>
        <v>2018-03-27</v>
      </c>
      <c r="I1752" s="1" t="s">
        <v>5027</v>
      </c>
      <c r="J1752" s="1" t="str">
        <f t="shared" si="852"/>
        <v>天津敏驰汽车部品有限公司</v>
      </c>
    </row>
    <row r="1753" spans="1:10">
      <c r="A1753" s="1" t="str">
        <f t="shared" si="851"/>
        <v>天津敏驰汽车部品有限公司</v>
      </c>
      <c r="B1753" s="1" t="str">
        <f>"EPDM挤出原料上料过程断料报警装置"</f>
        <v>EPDM挤出原料上料过程断料报警装置</v>
      </c>
      <c r="C1753" s="1" t="str">
        <f t="shared" si="862"/>
        <v>实用新型</v>
      </c>
      <c r="D1753" s="1" t="str">
        <f t="shared" si="863"/>
        <v>授权</v>
      </c>
      <c r="E1753" s="1" t="str">
        <f>"CN201720877891.8"</f>
        <v>CN201720877891.8</v>
      </c>
      <c r="F1753" s="1" t="str">
        <f t="shared" si="864"/>
        <v>2017-07-19</v>
      </c>
      <c r="G1753" s="1" t="str">
        <f>"CN207140292U"</f>
        <v>CN207140292U</v>
      </c>
      <c r="H1753" s="1" t="str">
        <f t="shared" si="865"/>
        <v>2018-03-27</v>
      </c>
      <c r="I1753" s="1" t="s">
        <v>5027</v>
      </c>
      <c r="J1753" s="1" t="str">
        <f t="shared" si="852"/>
        <v>天津敏驰汽车部品有限公司</v>
      </c>
    </row>
    <row r="1754" spans="1:10">
      <c r="A1754" s="1" t="str">
        <f t="shared" si="851"/>
        <v>天津敏驰汽车部品有限公司</v>
      </c>
      <c r="B1754" s="1" t="str">
        <f>"一种新型杆类产品组装设备"</f>
        <v>一种新型杆类产品组装设备</v>
      </c>
      <c r="C1754" s="1" t="str">
        <f t="shared" si="862"/>
        <v>实用新型</v>
      </c>
      <c r="D1754" s="1" t="str">
        <f t="shared" si="863"/>
        <v>授权</v>
      </c>
      <c r="E1754" s="1" t="str">
        <f>"CN201721023583.5"</f>
        <v>CN201721023583.5</v>
      </c>
      <c r="F1754" s="1" t="str">
        <f>"2017-08-16"</f>
        <v>2017-08-16</v>
      </c>
      <c r="G1754" s="1" t="str">
        <f>"CN207139209U"</f>
        <v>CN207139209U</v>
      </c>
      <c r="H1754" s="1" t="str">
        <f t="shared" si="865"/>
        <v>2018-03-27</v>
      </c>
      <c r="I1754" s="1" t="str">
        <f>"李保华"</f>
        <v>李保华</v>
      </c>
      <c r="J1754" s="1" t="str">
        <f t="shared" si="852"/>
        <v>天津敏驰汽车部品有限公司</v>
      </c>
    </row>
    <row r="1755" spans="1:10">
      <c r="A1755" s="1" t="str">
        <f t="shared" si="851"/>
        <v>天津敏驰汽车部品有限公司</v>
      </c>
      <c r="B1755" s="1" t="str">
        <f>"一种磁性件筛选装置"</f>
        <v>一种磁性件筛选装置</v>
      </c>
      <c r="C1755" s="1" t="str">
        <f t="shared" si="862"/>
        <v>实用新型</v>
      </c>
      <c r="D1755" s="1" t="str">
        <f t="shared" si="863"/>
        <v>授权</v>
      </c>
      <c r="E1755" s="1" t="str">
        <f>"CN201720878482.X"</f>
        <v>CN201720878482.X</v>
      </c>
      <c r="F1755" s="1" t="str">
        <f t="shared" si="864"/>
        <v>2017-07-19</v>
      </c>
      <c r="G1755" s="1" t="str">
        <f>"CN207138106U"</f>
        <v>CN207138106U</v>
      </c>
      <c r="H1755" s="1" t="str">
        <f t="shared" si="865"/>
        <v>2018-03-27</v>
      </c>
      <c r="I1755" s="1" t="s">
        <v>5027</v>
      </c>
      <c r="J1755" s="1" t="str">
        <f t="shared" si="852"/>
        <v>天津敏驰汽车部品有限公司</v>
      </c>
    </row>
    <row r="1756" spans="1:10">
      <c r="A1756" s="1" t="str">
        <f t="shared" si="851"/>
        <v>天津敏驰汽车部品有限公司</v>
      </c>
      <c r="B1756" s="1" t="str">
        <f>"一种新型注塑机的加热机构"</f>
        <v>一种新型注塑机的加热机构</v>
      </c>
      <c r="C1756" s="1" t="str">
        <f t="shared" ref="C1756:C1759" si="866">"发明公布"</f>
        <v>发明公布</v>
      </c>
      <c r="D1756" s="1" t="str">
        <f t="shared" ref="D1756:D1758" si="867">"公布驳回"</f>
        <v>公布驳回</v>
      </c>
      <c r="E1756" s="1" t="str">
        <f>"CN201711015984.0"</f>
        <v>CN201711015984.0</v>
      </c>
      <c r="F1756" s="1" t="str">
        <f>"2017-10-25"</f>
        <v>2017-10-25</v>
      </c>
      <c r="G1756" s="1" t="str">
        <f>"CN107627572A"</f>
        <v>CN107627572A</v>
      </c>
      <c r="H1756" s="1" t="str">
        <f>"2018-01-26"</f>
        <v>2018-01-26</v>
      </c>
      <c r="I1756" s="1" t="str">
        <f t="shared" ref="I1756:I1782" si="868">"李保华"</f>
        <v>李保华</v>
      </c>
      <c r="J1756" s="1" t="str">
        <f t="shared" si="852"/>
        <v>天津敏驰汽车部品有限公司</v>
      </c>
    </row>
    <row r="1757" spans="1:10">
      <c r="A1757" s="1" t="str">
        <f t="shared" si="851"/>
        <v>天津敏驰汽车部品有限公司</v>
      </c>
      <c r="B1757" s="1" t="str">
        <f>"铜线放卷机"</f>
        <v>铜线放卷机</v>
      </c>
      <c r="C1757" s="1" t="str">
        <f t="shared" si="866"/>
        <v>发明公布</v>
      </c>
      <c r="D1757" s="1" t="str">
        <f t="shared" si="867"/>
        <v>公布驳回</v>
      </c>
      <c r="E1757" s="1" t="str">
        <f>"CN201710591144.2"</f>
        <v>CN201710591144.2</v>
      </c>
      <c r="F1757" s="1" t="str">
        <f t="shared" ref="F1757:F1759" si="869">"2017-07-19"</f>
        <v>2017-07-19</v>
      </c>
      <c r="G1757" s="1" t="str">
        <f>"CN107265189A"</f>
        <v>CN107265189A</v>
      </c>
      <c r="H1757" s="1" t="str">
        <f>"2017-10-20"</f>
        <v>2017-10-20</v>
      </c>
      <c r="I1757" s="1" t="s">
        <v>5027</v>
      </c>
      <c r="J1757" s="1" t="str">
        <f t="shared" si="852"/>
        <v>天津敏驰汽车部品有限公司</v>
      </c>
    </row>
    <row r="1758" spans="1:10">
      <c r="A1758" s="1" t="str">
        <f t="shared" si="851"/>
        <v>天津敏驰汽车部品有限公司</v>
      </c>
      <c r="B1758" s="1" t="str">
        <f>"一种断料报警装置"</f>
        <v>一种断料报警装置</v>
      </c>
      <c r="C1758" s="1" t="str">
        <f t="shared" si="866"/>
        <v>发明公布</v>
      </c>
      <c r="D1758" s="1" t="str">
        <f t="shared" si="867"/>
        <v>公布驳回</v>
      </c>
      <c r="E1758" s="1" t="str">
        <f>"CN201710591817.4"</f>
        <v>CN201710591817.4</v>
      </c>
      <c r="F1758" s="1" t="str">
        <f t="shared" si="869"/>
        <v>2017-07-19</v>
      </c>
      <c r="G1758" s="1" t="str">
        <f>"CN107234791A"</f>
        <v>CN107234791A</v>
      </c>
      <c r="H1758" s="1" t="str">
        <f>"2017-10-10"</f>
        <v>2017-10-10</v>
      </c>
      <c r="I1758" s="1" t="s">
        <v>5027</v>
      </c>
      <c r="J1758" s="1" t="str">
        <f t="shared" si="852"/>
        <v>天津敏驰汽车部品有限公司</v>
      </c>
    </row>
    <row r="1759" spans="1:10">
      <c r="A1759" s="1" t="str">
        <f t="shared" si="851"/>
        <v>天津敏驰汽车部品有限公司</v>
      </c>
      <c r="B1759" s="1" t="str">
        <f>"一种筛选设备"</f>
        <v>一种筛选设备</v>
      </c>
      <c r="C1759" s="1" t="str">
        <f t="shared" si="866"/>
        <v>发明公布</v>
      </c>
      <c r="D1759" s="1" t="str">
        <f>"公布视为撤回"</f>
        <v>公布视为撤回</v>
      </c>
      <c r="E1759" s="1" t="str">
        <f>"CN201710591142.3"</f>
        <v>CN201710591142.3</v>
      </c>
      <c r="F1759" s="1" t="str">
        <f t="shared" si="869"/>
        <v>2017-07-19</v>
      </c>
      <c r="G1759" s="1" t="str">
        <f>"CN107225044A"</f>
        <v>CN107225044A</v>
      </c>
      <c r="H1759" s="1" t="str">
        <f>"2017-10-03"</f>
        <v>2017-10-03</v>
      </c>
      <c r="I1759" s="1" t="s">
        <v>5027</v>
      </c>
      <c r="J1759" s="1" t="str">
        <f t="shared" si="852"/>
        <v>天津敏驰汽车部品有限公司</v>
      </c>
    </row>
    <row r="1760" spans="1:10">
      <c r="A1760" s="1" t="str">
        <f t="shared" si="851"/>
        <v>天津敏驰汽车部品有限公司</v>
      </c>
      <c r="B1760" s="1" t="str">
        <f>"一种胶条粘接机"</f>
        <v>一种胶条粘接机</v>
      </c>
      <c r="C1760" s="1" t="str">
        <f>"发明授权"</f>
        <v>发明授权</v>
      </c>
      <c r="D1760" s="1" t="str">
        <f>"授权"</f>
        <v>授权</v>
      </c>
      <c r="E1760" s="1" t="str">
        <f>"CN201510948602.4"</f>
        <v>CN201510948602.4</v>
      </c>
      <c r="F1760" s="1" t="str">
        <f t="shared" ref="F1760:F1764" si="870">"2015-12-15"</f>
        <v>2015-12-15</v>
      </c>
      <c r="G1760" s="1" t="str">
        <f>"CN105415669B"</f>
        <v>CN105415669B</v>
      </c>
      <c r="H1760" s="1" t="str">
        <f>"2017-08-22"</f>
        <v>2017-08-22</v>
      </c>
      <c r="I1760" s="1" t="str">
        <f t="shared" si="868"/>
        <v>李保华</v>
      </c>
      <c r="J1760" s="1" t="str">
        <f t="shared" si="852"/>
        <v>天津敏驰汽车部品有限公司</v>
      </c>
    </row>
    <row r="1761" spans="1:10">
      <c r="A1761" s="1" t="str">
        <f t="shared" si="851"/>
        <v>天津敏驰汽车部品有限公司</v>
      </c>
      <c r="B1761" s="1" t="str">
        <f>"一种胶条裁切机"</f>
        <v>一种胶条裁切机</v>
      </c>
      <c r="C1761" s="1" t="str">
        <f>"发明授权"</f>
        <v>发明授权</v>
      </c>
      <c r="D1761" s="1" t="str">
        <f>"授权"</f>
        <v>授权</v>
      </c>
      <c r="E1761" s="1" t="str">
        <f>"CN201510936958.6"</f>
        <v>CN201510936958.6</v>
      </c>
      <c r="F1761" s="1" t="str">
        <f t="shared" si="870"/>
        <v>2015-12-15</v>
      </c>
      <c r="G1761" s="1" t="str">
        <f>"CN105437277B"</f>
        <v>CN105437277B</v>
      </c>
      <c r="H1761" s="1" t="str">
        <f>"2017-06-06"</f>
        <v>2017-06-06</v>
      </c>
      <c r="I1761" s="1" t="str">
        <f t="shared" si="868"/>
        <v>李保华</v>
      </c>
      <c r="J1761" s="1" t="str">
        <f t="shared" si="852"/>
        <v>天津敏驰汽车部品有限公司</v>
      </c>
    </row>
    <row r="1762" spans="1:10">
      <c r="A1762" s="1" t="str">
        <f t="shared" si="851"/>
        <v>天津敏驰汽车部品有限公司</v>
      </c>
      <c r="B1762" s="1" t="str">
        <f>"一种橡胶条分切机"</f>
        <v>一种橡胶条分切机</v>
      </c>
      <c r="C1762" s="1" t="str">
        <f t="shared" ref="C1762:C1764" si="871">"实用新型"</f>
        <v>实用新型</v>
      </c>
      <c r="D1762" s="1" t="str">
        <f t="shared" ref="D1762:D1764" si="872">"未缴年费专利权终止"</f>
        <v>未缴年费专利权终止</v>
      </c>
      <c r="E1762" s="1" t="str">
        <f>"CN201521053891.3"</f>
        <v>CN201521053891.3</v>
      </c>
      <c r="F1762" s="1" t="str">
        <f t="shared" si="870"/>
        <v>2015-12-15</v>
      </c>
      <c r="G1762" s="1" t="str">
        <f>"CN205438683U"</f>
        <v>CN205438683U</v>
      </c>
      <c r="H1762" s="1" t="str">
        <f>"2016-08-10"</f>
        <v>2016-08-10</v>
      </c>
      <c r="I1762" s="1" t="str">
        <f t="shared" si="868"/>
        <v>李保华</v>
      </c>
      <c r="J1762" s="1" t="str">
        <f t="shared" si="852"/>
        <v>天津敏驰汽车部品有限公司</v>
      </c>
    </row>
    <row r="1763" spans="1:10">
      <c r="A1763" s="1" t="str">
        <f t="shared" si="851"/>
        <v>天津敏驰汽车部品有限公司</v>
      </c>
      <c r="B1763" s="1" t="str">
        <f>"新型底涂剂自动涂刷机构"</f>
        <v>新型底涂剂自动涂刷机构</v>
      </c>
      <c r="C1763" s="1" t="str">
        <f t="shared" si="871"/>
        <v>实用新型</v>
      </c>
      <c r="D1763" s="1" t="str">
        <f t="shared" si="872"/>
        <v>未缴年费专利权终止</v>
      </c>
      <c r="E1763" s="1" t="str">
        <f>"CN201521043206.9"</f>
        <v>CN201521043206.9</v>
      </c>
      <c r="F1763" s="1" t="str">
        <f t="shared" si="870"/>
        <v>2015-12-15</v>
      </c>
      <c r="G1763" s="1" t="str">
        <f>"CN205419249U"</f>
        <v>CN205419249U</v>
      </c>
      <c r="H1763" s="1" t="str">
        <f>"2016-08-03"</f>
        <v>2016-08-03</v>
      </c>
      <c r="I1763" s="1" t="str">
        <f t="shared" si="868"/>
        <v>李保华</v>
      </c>
      <c r="J1763" s="1" t="str">
        <f t="shared" si="852"/>
        <v>天津敏驰汽车部品有限公司</v>
      </c>
    </row>
    <row r="1764" spans="1:10">
      <c r="A1764" s="1" t="str">
        <f t="shared" si="851"/>
        <v>天津敏驰汽车部品有限公司</v>
      </c>
      <c r="B1764" s="1" t="str">
        <f>"一种螺母排序机的助推装置"</f>
        <v>一种螺母排序机的助推装置</v>
      </c>
      <c r="C1764" s="1" t="str">
        <f t="shared" si="871"/>
        <v>实用新型</v>
      </c>
      <c r="D1764" s="1" t="str">
        <f t="shared" si="872"/>
        <v>未缴年费专利权终止</v>
      </c>
      <c r="E1764" s="1" t="str">
        <f>"CN201521054017.1"</f>
        <v>CN201521054017.1</v>
      </c>
      <c r="F1764" s="1" t="str">
        <f t="shared" si="870"/>
        <v>2015-12-15</v>
      </c>
      <c r="G1764" s="1" t="str">
        <f>"CN205419041U"</f>
        <v>CN205419041U</v>
      </c>
      <c r="H1764" s="1" t="str">
        <f>"2016-08-03"</f>
        <v>2016-08-03</v>
      </c>
      <c r="I1764" s="1" t="str">
        <f t="shared" si="868"/>
        <v>李保华</v>
      </c>
      <c r="J1764" s="1" t="str">
        <f t="shared" si="852"/>
        <v>天津敏驰汽车部品有限公司</v>
      </c>
    </row>
    <row r="1765" spans="1:10">
      <c r="A1765" s="1" t="str">
        <f t="shared" si="851"/>
        <v>天津敏驰汽车部品有限公司</v>
      </c>
      <c r="B1765" s="1" t="str">
        <f>"芯子接头自动组装机"</f>
        <v>芯子接头自动组装机</v>
      </c>
      <c r="C1765" s="1" t="str">
        <f t="shared" ref="C1765:C1772" si="873">"发明公布"</f>
        <v>发明公布</v>
      </c>
      <c r="D1765" s="1" t="str">
        <f t="shared" ref="D1765:D1772" si="874">"公布视为撤回"</f>
        <v>公布视为撤回</v>
      </c>
      <c r="E1765" s="1" t="str">
        <f>"CN201410479036.2"</f>
        <v>CN201410479036.2</v>
      </c>
      <c r="F1765" s="1" t="str">
        <f>"2014-09-18"</f>
        <v>2014-09-18</v>
      </c>
      <c r="G1765" s="1" t="str">
        <f>"CN105479136A"</f>
        <v>CN105479136A</v>
      </c>
      <c r="H1765" s="1" t="str">
        <f>"2016-04-13"</f>
        <v>2016-04-13</v>
      </c>
      <c r="I1765" s="1" t="str">
        <f t="shared" si="868"/>
        <v>李保华</v>
      </c>
      <c r="J1765" s="1" t="str">
        <f t="shared" si="852"/>
        <v>天津敏驰汽车部品有限公司</v>
      </c>
    </row>
    <row r="1766" spans="1:10">
      <c r="A1766" s="1" t="str">
        <f t="shared" si="851"/>
        <v>天津敏驰汽车部品有限公司</v>
      </c>
      <c r="B1766" s="1" t="str">
        <f>"直推式胶带粘接机"</f>
        <v>直推式胶带粘接机</v>
      </c>
      <c r="C1766" s="1" t="str">
        <f t="shared" si="873"/>
        <v>发明公布</v>
      </c>
      <c r="D1766" s="1" t="str">
        <f t="shared" si="874"/>
        <v>公布视为撤回</v>
      </c>
      <c r="E1766" s="1" t="str">
        <f>"CN201410472526.X"</f>
        <v>CN201410472526.X</v>
      </c>
      <c r="F1766" s="1" t="str">
        <f>"2014-09-16"</f>
        <v>2014-09-16</v>
      </c>
      <c r="G1766" s="1" t="str">
        <f>"CN105480760A"</f>
        <v>CN105480760A</v>
      </c>
      <c r="H1766" s="1" t="str">
        <f>"2016-04-13"</f>
        <v>2016-04-13</v>
      </c>
      <c r="I1766" s="1" t="str">
        <f t="shared" si="868"/>
        <v>李保华</v>
      </c>
      <c r="J1766" s="1" t="str">
        <f t="shared" si="852"/>
        <v>天津敏驰汽车部品有限公司</v>
      </c>
    </row>
    <row r="1767" spans="1:10">
      <c r="A1767" s="1" t="str">
        <f t="shared" si="851"/>
        <v>天津敏驰汽车部品有限公司</v>
      </c>
      <c r="B1767" s="1" t="str">
        <f>"一种改进的拉索铁杆头部结构"</f>
        <v>一种改进的拉索铁杆头部结构</v>
      </c>
      <c r="C1767" s="1" t="str">
        <f t="shared" si="873"/>
        <v>发明公布</v>
      </c>
      <c r="D1767" s="1" t="str">
        <f t="shared" si="874"/>
        <v>公布视为撤回</v>
      </c>
      <c r="E1767" s="1" t="str">
        <f>"CN201510934226.3"</f>
        <v>CN201510934226.3</v>
      </c>
      <c r="F1767" s="1" t="str">
        <f t="shared" ref="F1767:F1772" si="875">"2015-12-15"</f>
        <v>2015-12-15</v>
      </c>
      <c r="G1767" s="1" t="str">
        <f>"CN105438314A"</f>
        <v>CN105438314A</v>
      </c>
      <c r="H1767" s="1" t="str">
        <f>"2016-03-30"</f>
        <v>2016-03-30</v>
      </c>
      <c r="I1767" s="1" t="str">
        <f t="shared" si="868"/>
        <v>李保华</v>
      </c>
      <c r="J1767" s="1" t="str">
        <f t="shared" si="852"/>
        <v>天津敏驰汽车部品有限公司</v>
      </c>
    </row>
    <row r="1768" spans="1:10">
      <c r="A1768" s="1" t="str">
        <f t="shared" si="851"/>
        <v>天津敏驰汽车部品有限公司</v>
      </c>
      <c r="B1768" s="1" t="str">
        <f>"铁杆排序设备"</f>
        <v>铁杆排序设备</v>
      </c>
      <c r="C1768" s="1" t="str">
        <f t="shared" si="873"/>
        <v>发明公布</v>
      </c>
      <c r="D1768" s="1" t="str">
        <f t="shared" si="874"/>
        <v>公布视为撤回</v>
      </c>
      <c r="E1768" s="1" t="str">
        <f>"CN201410464763.1"</f>
        <v>CN201410464763.1</v>
      </c>
      <c r="F1768" s="1" t="str">
        <f>"2014-09-12"</f>
        <v>2014-09-12</v>
      </c>
      <c r="G1768" s="1" t="str">
        <f>"CN105438770A"</f>
        <v>CN105438770A</v>
      </c>
      <c r="H1768" s="1" t="str">
        <f>"2016-03-30"</f>
        <v>2016-03-30</v>
      </c>
      <c r="I1768" s="1" t="str">
        <f t="shared" si="868"/>
        <v>李保华</v>
      </c>
      <c r="J1768" s="1" t="str">
        <f t="shared" si="852"/>
        <v>天津敏驰汽车部品有限公司</v>
      </c>
    </row>
    <row r="1769" spans="1:10">
      <c r="A1769" s="1" t="str">
        <f t="shared" si="851"/>
        <v>天津敏驰汽车部品有限公司</v>
      </c>
      <c r="B1769" s="1" t="str">
        <f>"一种螺母排序机的助推装置"</f>
        <v>一种螺母排序机的助推装置</v>
      </c>
      <c r="C1769" s="1" t="str">
        <f t="shared" si="873"/>
        <v>发明公布</v>
      </c>
      <c r="D1769" s="1" t="str">
        <f t="shared" si="874"/>
        <v>公布视为撤回</v>
      </c>
      <c r="E1769" s="1" t="str">
        <f>"CN201510945149.1"</f>
        <v>CN201510945149.1</v>
      </c>
      <c r="F1769" s="1" t="str">
        <f t="shared" si="875"/>
        <v>2015-12-15</v>
      </c>
      <c r="G1769" s="1" t="str">
        <f>"CN105417126A"</f>
        <v>CN105417126A</v>
      </c>
      <c r="H1769" s="1" t="str">
        <f>"2016-03-23"</f>
        <v>2016-03-23</v>
      </c>
      <c r="I1769" s="1" t="str">
        <f t="shared" si="868"/>
        <v>李保华</v>
      </c>
      <c r="J1769" s="1" t="str">
        <f t="shared" si="852"/>
        <v>天津敏驰汽车部品有限公司</v>
      </c>
    </row>
    <row r="1770" spans="1:10">
      <c r="A1770" s="1" t="str">
        <f t="shared" si="851"/>
        <v>天津敏驰汽车部品有限公司</v>
      </c>
      <c r="B1770" s="1" t="str">
        <f>"滚轮钉柱自动粘接机"</f>
        <v>滚轮钉柱自动粘接机</v>
      </c>
      <c r="C1770" s="1" t="str">
        <f t="shared" si="873"/>
        <v>发明公布</v>
      </c>
      <c r="D1770" s="1" t="str">
        <f t="shared" si="874"/>
        <v>公布视为撤回</v>
      </c>
      <c r="E1770" s="1" t="str">
        <f>"CN201410471914.6"</f>
        <v>CN201410471914.6</v>
      </c>
      <c r="F1770" s="1" t="str">
        <f t="shared" ref="F1770:F1775" si="876">"2014-09-16"</f>
        <v>2014-09-16</v>
      </c>
      <c r="G1770" s="1" t="str">
        <f>"CN105402226A"</f>
        <v>CN105402226A</v>
      </c>
      <c r="H1770" s="1" t="str">
        <f>"2016-03-16"</f>
        <v>2016-03-16</v>
      </c>
      <c r="I1770" s="1" t="str">
        <f t="shared" si="868"/>
        <v>李保华</v>
      </c>
      <c r="J1770" s="1" t="str">
        <f t="shared" si="852"/>
        <v>天津敏驰汽车部品有限公司</v>
      </c>
    </row>
    <row r="1771" spans="1:10">
      <c r="A1771" s="1" t="str">
        <f t="shared" si="851"/>
        <v>天津敏驰汽车部品有限公司</v>
      </c>
      <c r="B1771" s="1" t="str">
        <f>"新型底涂剂自动涂刷机构"</f>
        <v>新型底涂剂自动涂刷机构</v>
      </c>
      <c r="C1771" s="1" t="str">
        <f t="shared" si="873"/>
        <v>发明公布</v>
      </c>
      <c r="D1771" s="1" t="str">
        <f t="shared" si="874"/>
        <v>公布视为撤回</v>
      </c>
      <c r="E1771" s="1" t="str">
        <f>"CN201510945318.1"</f>
        <v>CN201510945318.1</v>
      </c>
      <c r="F1771" s="1" t="str">
        <f t="shared" si="875"/>
        <v>2015-12-15</v>
      </c>
      <c r="G1771" s="1" t="str">
        <f>"CN105398865A"</f>
        <v>CN105398865A</v>
      </c>
      <c r="H1771" s="1" t="str">
        <f>"2016-03-16"</f>
        <v>2016-03-16</v>
      </c>
      <c r="I1771" s="1" t="str">
        <f t="shared" si="868"/>
        <v>李保华</v>
      </c>
      <c r="J1771" s="1" t="str">
        <f t="shared" si="852"/>
        <v>天津敏驰汽车部品有限公司</v>
      </c>
    </row>
    <row r="1772" spans="1:10">
      <c r="A1772" s="1" t="str">
        <f t="shared" si="851"/>
        <v>天津敏驰汽车部品有限公司</v>
      </c>
      <c r="B1772" s="1" t="str">
        <f>"一种橡胶条分切机"</f>
        <v>一种橡胶条分切机</v>
      </c>
      <c r="C1772" s="1" t="str">
        <f t="shared" si="873"/>
        <v>发明公布</v>
      </c>
      <c r="D1772" s="1" t="str">
        <f t="shared" si="874"/>
        <v>公布视为撤回</v>
      </c>
      <c r="E1772" s="1" t="str">
        <f>"CN201510945317.7"</f>
        <v>CN201510945317.7</v>
      </c>
      <c r="F1772" s="1" t="str">
        <f t="shared" si="875"/>
        <v>2015-12-15</v>
      </c>
      <c r="G1772" s="1" t="str">
        <f>"CN105345859A"</f>
        <v>CN105345859A</v>
      </c>
      <c r="H1772" s="1" t="str">
        <f>"2016-02-24"</f>
        <v>2016-02-24</v>
      </c>
      <c r="I1772" s="1" t="str">
        <f t="shared" si="868"/>
        <v>李保华</v>
      </c>
      <c r="J1772" s="1" t="str">
        <f t="shared" si="852"/>
        <v>天津敏驰汽车部品有限公司</v>
      </c>
    </row>
    <row r="1773" spans="1:10">
      <c r="A1773" s="1" t="str">
        <f t="shared" si="851"/>
        <v>天津敏驰汽车部品有限公司</v>
      </c>
      <c r="B1773" s="1" t="str">
        <f>"芯子接头自动组装机"</f>
        <v>芯子接头自动组装机</v>
      </c>
      <c r="C1773" s="1" t="str">
        <f t="shared" ref="C1773:C1782" si="877">"实用新型"</f>
        <v>实用新型</v>
      </c>
      <c r="D1773" s="1" t="str">
        <f t="shared" ref="D1773:D1782" si="878">"未缴年费专利权终止"</f>
        <v>未缴年费专利权终止</v>
      </c>
      <c r="E1773" s="1" t="str">
        <f>"CN201420538963.2"</f>
        <v>CN201420538963.2</v>
      </c>
      <c r="F1773" s="1" t="str">
        <f>"2014-09-18"</f>
        <v>2014-09-18</v>
      </c>
      <c r="G1773" s="1" t="str">
        <f>"CN204221322U"</f>
        <v>CN204221322U</v>
      </c>
      <c r="H1773" s="1" t="str">
        <f>"2015-03-25"</f>
        <v>2015-03-25</v>
      </c>
      <c r="I1773" s="1" t="str">
        <f t="shared" si="868"/>
        <v>李保华</v>
      </c>
      <c r="J1773" s="1" t="str">
        <f t="shared" si="852"/>
        <v>天津敏驰汽车部品有限公司</v>
      </c>
    </row>
    <row r="1774" spans="1:10">
      <c r="A1774" s="1" t="str">
        <f t="shared" si="851"/>
        <v>天津敏驰汽车部品有限公司</v>
      </c>
      <c r="B1774" s="1" t="str">
        <f>"直推式胶带粘接机"</f>
        <v>直推式胶带粘接机</v>
      </c>
      <c r="C1774" s="1" t="str">
        <f t="shared" si="877"/>
        <v>实用新型</v>
      </c>
      <c r="D1774" s="1" t="str">
        <f t="shared" si="878"/>
        <v>未缴年费专利权终止</v>
      </c>
      <c r="E1774" s="1" t="str">
        <f>"CN201420532015.8"</f>
        <v>CN201420532015.8</v>
      </c>
      <c r="F1774" s="1" t="str">
        <f t="shared" si="876"/>
        <v>2014-09-16</v>
      </c>
      <c r="G1774" s="1" t="str">
        <f>"CN204173644U"</f>
        <v>CN204173644U</v>
      </c>
      <c r="H1774" s="1" t="str">
        <f t="shared" ref="H1774:H1776" si="879">"2015-02-25"</f>
        <v>2015-02-25</v>
      </c>
      <c r="I1774" s="1" t="str">
        <f t="shared" si="868"/>
        <v>李保华</v>
      </c>
      <c r="J1774" s="1" t="str">
        <f t="shared" si="852"/>
        <v>天津敏驰汽车部品有限公司</v>
      </c>
    </row>
    <row r="1775" spans="1:10">
      <c r="A1775" s="1" t="str">
        <f t="shared" si="851"/>
        <v>天津敏驰汽车部品有限公司</v>
      </c>
      <c r="B1775" s="1" t="str">
        <f>"滚轮钉柱自动粘接机"</f>
        <v>滚轮钉柱自动粘接机</v>
      </c>
      <c r="C1775" s="1" t="str">
        <f t="shared" si="877"/>
        <v>实用新型</v>
      </c>
      <c r="D1775" s="1" t="str">
        <f t="shared" si="878"/>
        <v>未缴年费专利权终止</v>
      </c>
      <c r="E1775" s="1" t="str">
        <f>"CN201420531302.7"</f>
        <v>CN201420531302.7</v>
      </c>
      <c r="F1775" s="1" t="str">
        <f t="shared" si="876"/>
        <v>2014-09-16</v>
      </c>
      <c r="G1775" s="1" t="str">
        <f>"CN204175737U"</f>
        <v>CN204175737U</v>
      </c>
      <c r="H1775" s="1" t="str">
        <f t="shared" si="879"/>
        <v>2015-02-25</v>
      </c>
      <c r="I1775" s="1" t="str">
        <f t="shared" si="868"/>
        <v>李保华</v>
      </c>
      <c r="J1775" s="1" t="str">
        <f t="shared" si="852"/>
        <v>天津敏驰汽车部品有限公司</v>
      </c>
    </row>
    <row r="1776" spans="1:10">
      <c r="A1776" s="1" t="str">
        <f t="shared" si="851"/>
        <v>天津敏驰汽车部品有限公司</v>
      </c>
      <c r="B1776" s="1" t="str">
        <f>"铁杆排序设备"</f>
        <v>铁杆排序设备</v>
      </c>
      <c r="C1776" s="1" t="str">
        <f t="shared" si="877"/>
        <v>实用新型</v>
      </c>
      <c r="D1776" s="1" t="str">
        <f t="shared" si="878"/>
        <v>未缴年费专利权终止</v>
      </c>
      <c r="E1776" s="1" t="str">
        <f>"CN201420525011.7"</f>
        <v>CN201420525011.7</v>
      </c>
      <c r="F1776" s="1" t="str">
        <f>"2014-09-12"</f>
        <v>2014-09-12</v>
      </c>
      <c r="G1776" s="1" t="str">
        <f>"CN204173538U"</f>
        <v>CN204173538U</v>
      </c>
      <c r="H1776" s="1" t="str">
        <f t="shared" si="879"/>
        <v>2015-02-25</v>
      </c>
      <c r="I1776" s="1" t="str">
        <f t="shared" si="868"/>
        <v>李保华</v>
      </c>
      <c r="J1776" s="1" t="str">
        <f t="shared" si="852"/>
        <v>天津敏驰汽车部品有限公司</v>
      </c>
    </row>
    <row r="1777" spans="1:10">
      <c r="A1777" s="1" t="str">
        <f t="shared" si="851"/>
        <v>天津敏驰汽车部品有限公司</v>
      </c>
      <c r="B1777" s="1" t="str">
        <f>"钉柱自动粘接机"</f>
        <v>钉柱自动粘接机</v>
      </c>
      <c r="C1777" s="1" t="str">
        <f t="shared" si="877"/>
        <v>实用新型</v>
      </c>
      <c r="D1777" s="1" t="str">
        <f t="shared" si="878"/>
        <v>未缴年费专利权终止</v>
      </c>
      <c r="E1777" s="1" t="str">
        <f>"CN201320515397.9"</f>
        <v>CN201320515397.9</v>
      </c>
      <c r="F1777" s="1" t="str">
        <f>"2013-08-22"</f>
        <v>2013-08-22</v>
      </c>
      <c r="G1777" s="1" t="str">
        <f>"CN203604382U"</f>
        <v>CN203604382U</v>
      </c>
      <c r="H1777" s="1" t="str">
        <f t="shared" ref="H1777:H1779" si="880">"2014-05-21"</f>
        <v>2014-05-21</v>
      </c>
      <c r="I1777" s="1" t="str">
        <f t="shared" si="868"/>
        <v>李保华</v>
      </c>
      <c r="J1777" s="1" t="str">
        <f t="shared" si="852"/>
        <v>天津敏驰汽车部品有限公司</v>
      </c>
    </row>
    <row r="1778" spans="1:10">
      <c r="A1778" s="1" t="str">
        <f t="shared" si="851"/>
        <v>天津敏驰汽车部品有限公司</v>
      </c>
      <c r="B1778" s="1" t="str">
        <f>"一种新型螺母检测机构"</f>
        <v>一种新型螺母检测机构</v>
      </c>
      <c r="C1778" s="1" t="str">
        <f t="shared" si="877"/>
        <v>实用新型</v>
      </c>
      <c r="D1778" s="1" t="str">
        <f t="shared" si="878"/>
        <v>未缴年费专利权终止</v>
      </c>
      <c r="E1778" s="1" t="str">
        <f>"CN201320723488.1"</f>
        <v>CN201320723488.1</v>
      </c>
      <c r="F1778" s="1" t="str">
        <f>"2013-11-13"</f>
        <v>2013-11-13</v>
      </c>
      <c r="G1778" s="1" t="str">
        <f>"CN203606122U"</f>
        <v>CN203606122U</v>
      </c>
      <c r="H1778" s="1" t="str">
        <f t="shared" si="880"/>
        <v>2014-05-21</v>
      </c>
      <c r="I1778" s="1" t="str">
        <f t="shared" si="868"/>
        <v>李保华</v>
      </c>
      <c r="J1778" s="1" t="str">
        <f t="shared" si="852"/>
        <v>天津敏驰汽车部品有限公司</v>
      </c>
    </row>
    <row r="1779" spans="1:10">
      <c r="A1779" s="1" t="str">
        <f t="shared" si="851"/>
        <v>天津敏驰汽车部品有限公司</v>
      </c>
      <c r="B1779" s="1" t="str">
        <f>"一种汽车换挡操纵机构手柄"</f>
        <v>一种汽车换挡操纵机构手柄</v>
      </c>
      <c r="C1779" s="1" t="str">
        <f t="shared" si="877"/>
        <v>实用新型</v>
      </c>
      <c r="D1779" s="1" t="str">
        <f t="shared" si="878"/>
        <v>未缴年费专利权终止</v>
      </c>
      <c r="E1779" s="1" t="str">
        <f>"CN201320741247.X"</f>
        <v>CN201320741247.X</v>
      </c>
      <c r="F1779" s="1" t="str">
        <f>"2013-11-21"</f>
        <v>2013-11-21</v>
      </c>
      <c r="G1779" s="1" t="str">
        <f>"CN203604609U"</f>
        <v>CN203604609U</v>
      </c>
      <c r="H1779" s="1" t="str">
        <f t="shared" si="880"/>
        <v>2014-05-21</v>
      </c>
      <c r="I1779" s="1" t="str">
        <f t="shared" si="868"/>
        <v>李保华</v>
      </c>
      <c r="J1779" s="1" t="str">
        <f t="shared" si="852"/>
        <v>天津敏驰汽车部品有限公司</v>
      </c>
    </row>
    <row r="1780" spans="1:10">
      <c r="A1780" s="1" t="str">
        <f t="shared" si="851"/>
        <v>天津敏驰汽车部品有限公司</v>
      </c>
      <c r="B1780" s="1" t="str">
        <f>"便携式电动冲车泵"</f>
        <v>便携式电动冲车泵</v>
      </c>
      <c r="C1780" s="1" t="str">
        <f t="shared" si="877"/>
        <v>实用新型</v>
      </c>
      <c r="D1780" s="1" t="str">
        <f t="shared" si="878"/>
        <v>未缴年费专利权终止</v>
      </c>
      <c r="E1780" s="1" t="str">
        <f>"CN201320515396.4"</f>
        <v>CN201320515396.4</v>
      </c>
      <c r="F1780" s="1" t="str">
        <f>"2013-08-22"</f>
        <v>2013-08-22</v>
      </c>
      <c r="G1780" s="1" t="str">
        <f>"CN203488331U"</f>
        <v>CN203488331U</v>
      </c>
      <c r="H1780" s="1" t="str">
        <f>"2014-03-19"</f>
        <v>2014-03-19</v>
      </c>
      <c r="I1780" s="1" t="str">
        <f t="shared" si="868"/>
        <v>李保华</v>
      </c>
      <c r="J1780" s="1" t="str">
        <f t="shared" si="852"/>
        <v>天津敏驰汽车部品有限公司</v>
      </c>
    </row>
    <row r="1781" spans="1:10">
      <c r="A1781" s="1" t="str">
        <f t="shared" si="851"/>
        <v>天津敏驰汽车部品有限公司</v>
      </c>
      <c r="B1781" s="1" t="str">
        <f>"汽车前后挡玻璃阻胶条和包边条自动粘接机"</f>
        <v>汽车前后挡玻璃阻胶条和包边条自动粘接机</v>
      </c>
      <c r="C1781" s="1" t="str">
        <f t="shared" si="877"/>
        <v>实用新型</v>
      </c>
      <c r="D1781" s="1" t="str">
        <f t="shared" si="878"/>
        <v>未缴年费专利权终止</v>
      </c>
      <c r="E1781" s="1" t="str">
        <f>"CN201320361775.2"</f>
        <v>CN201320361775.2</v>
      </c>
      <c r="F1781" s="1" t="str">
        <f>"2013-06-24"</f>
        <v>2013-06-24</v>
      </c>
      <c r="G1781" s="1" t="str">
        <f>"CN203357900U"</f>
        <v>CN203357900U</v>
      </c>
      <c r="H1781" s="1" t="str">
        <f>"2013-12-25"</f>
        <v>2013-12-25</v>
      </c>
      <c r="I1781" s="1" t="str">
        <f t="shared" si="868"/>
        <v>李保华</v>
      </c>
      <c r="J1781" s="1" t="str">
        <f t="shared" si="852"/>
        <v>天津敏驰汽车部品有限公司</v>
      </c>
    </row>
    <row r="1782" spans="1:10">
      <c r="A1782" s="1" t="str">
        <f t="shared" si="851"/>
        <v>天津敏驰汽车部品有限公司</v>
      </c>
      <c r="B1782" s="1" t="str">
        <f>"一种新型液压分离轴承"</f>
        <v>一种新型液压分离轴承</v>
      </c>
      <c r="C1782" s="1" t="str">
        <f t="shared" si="877"/>
        <v>实用新型</v>
      </c>
      <c r="D1782" s="1" t="str">
        <f t="shared" si="878"/>
        <v>未缴年费专利权终止</v>
      </c>
      <c r="E1782" s="1" t="str">
        <f>"CN201320365917.2"</f>
        <v>CN201320365917.2</v>
      </c>
      <c r="F1782" s="1" t="str">
        <f>"2013-06-25"</f>
        <v>2013-06-25</v>
      </c>
      <c r="G1782" s="1" t="str">
        <f>"CN203362884U"</f>
        <v>CN203362884U</v>
      </c>
      <c r="H1782" s="1" t="str">
        <f>"2013-12-25"</f>
        <v>2013-12-25</v>
      </c>
      <c r="I1782" s="1" t="str">
        <f t="shared" si="868"/>
        <v>李保华</v>
      </c>
      <c r="J1782" s="1" t="str">
        <f t="shared" si="852"/>
        <v>天津敏驰汽车部品有限公司</v>
      </c>
    </row>
    <row r="1783" spans="1:10">
      <c r="A1783" s="1" t="str">
        <f t="shared" ref="A1783:A1820" si="881">"天津福赛汽车部件有限公司"</f>
        <v>天津福赛汽车部件有限公司</v>
      </c>
      <c r="B1783" s="1" t="str">
        <f>"一种基于塑料件注塑制造的废料回收设备"</f>
        <v>一种基于塑料件注塑制造的废料回收设备</v>
      </c>
      <c r="C1783" s="1" t="str">
        <f>"发明授权"</f>
        <v>发明授权</v>
      </c>
      <c r="D1783" s="1" t="str">
        <f t="shared" ref="D1783:D1790" si="882">"授权"</f>
        <v>授权</v>
      </c>
      <c r="E1783" s="1" t="str">
        <f>"CN202410234461.9"</f>
        <v>CN202410234461.9</v>
      </c>
      <c r="F1783" s="1" t="str">
        <f>"2024-03-01"</f>
        <v>2024-03-01</v>
      </c>
      <c r="G1783" s="1" t="str">
        <f>"CN117817901B"</f>
        <v>CN117817901B</v>
      </c>
      <c r="H1783" s="1" t="str">
        <f>"2024-07-05"</f>
        <v>2024-07-05</v>
      </c>
      <c r="I1783" s="1" t="s">
        <v>5028</v>
      </c>
      <c r="J1783" s="1" t="str">
        <f t="shared" ref="J1783:J1820" si="883">"天津福赛汽车部件有限公司"</f>
        <v>天津福赛汽车部件有限公司</v>
      </c>
    </row>
    <row r="1784" spans="1:10">
      <c r="A1784" s="1" t="str">
        <f t="shared" si="881"/>
        <v>天津福赛汽车部件有限公司</v>
      </c>
      <c r="B1784" s="1" t="str">
        <f>"一种基于汽车储物盒制造用防气泡注塑成型设备"</f>
        <v>一种基于汽车储物盒制造用防气泡注塑成型设备</v>
      </c>
      <c r="C1784" s="1" t="str">
        <f>"发明授权"</f>
        <v>发明授权</v>
      </c>
      <c r="D1784" s="1" t="str">
        <f t="shared" si="882"/>
        <v>授权</v>
      </c>
      <c r="E1784" s="1" t="str">
        <f>"CN202410243644.7"</f>
        <v>CN202410243644.7</v>
      </c>
      <c r="F1784" s="1" t="str">
        <f>"2024-03-04"</f>
        <v>2024-03-04</v>
      </c>
      <c r="G1784" s="1" t="str">
        <f>"CN117817945B"</f>
        <v>CN117817945B</v>
      </c>
      <c r="H1784" s="1" t="str">
        <f>"2024-05-03"</f>
        <v>2024-05-03</v>
      </c>
      <c r="I1784" s="1" t="s">
        <v>5028</v>
      </c>
      <c r="J1784" s="1" t="str">
        <f t="shared" si="883"/>
        <v>天津福赛汽车部件有限公司</v>
      </c>
    </row>
    <row r="1785" spans="1:10">
      <c r="A1785" s="1" t="str">
        <f t="shared" si="881"/>
        <v>天津福赛汽车部件有限公司</v>
      </c>
      <c r="B1785" s="1" t="str">
        <f>"一种左侧风口内嵌卡扣装配夹具"</f>
        <v>一种左侧风口内嵌卡扣装配夹具</v>
      </c>
      <c r="C1785" s="1" t="str">
        <f t="shared" ref="C1785:C1790" si="884">"实用新型"</f>
        <v>实用新型</v>
      </c>
      <c r="D1785" s="1" t="str">
        <f t="shared" si="882"/>
        <v>授权</v>
      </c>
      <c r="E1785" s="1" t="str">
        <f>"CN202322186424.9"</f>
        <v>CN202322186424.9</v>
      </c>
      <c r="F1785" s="1" t="str">
        <f>"2023-08-15"</f>
        <v>2023-08-15</v>
      </c>
      <c r="G1785" s="1" t="str">
        <f>"CN220762439U"</f>
        <v>CN220762439U</v>
      </c>
      <c r="H1785" s="1" t="str">
        <f>"2024-04-12"</f>
        <v>2024-04-12</v>
      </c>
      <c r="I1785" s="1" t="s">
        <v>5029</v>
      </c>
      <c r="J1785" s="1" t="str">
        <f t="shared" si="883"/>
        <v>天津福赛汽车部件有限公司</v>
      </c>
    </row>
    <row r="1786" spans="1:10">
      <c r="A1786" s="1" t="str">
        <f t="shared" si="881"/>
        <v>天津福赛汽车部件有限公司</v>
      </c>
      <c r="B1786" s="1" t="str">
        <f>"一种扶手内盖加工夹具"</f>
        <v>一种扶手内盖加工夹具</v>
      </c>
      <c r="C1786" s="1" t="str">
        <f t="shared" si="884"/>
        <v>实用新型</v>
      </c>
      <c r="D1786" s="1" t="str">
        <f t="shared" si="882"/>
        <v>授权</v>
      </c>
      <c r="E1786" s="1" t="str">
        <f>"CN202321821529.0"</f>
        <v>CN202321821529.0</v>
      </c>
      <c r="F1786" s="1" t="str">
        <f>"2023-07-12"</f>
        <v>2023-07-12</v>
      </c>
      <c r="G1786" s="1" t="str">
        <f>"CN220680527U"</f>
        <v>CN220680527U</v>
      </c>
      <c r="H1786" s="1" t="str">
        <f>"2024-03-29"</f>
        <v>2024-03-29</v>
      </c>
      <c r="I1786" s="1" t="s">
        <v>5030</v>
      </c>
      <c r="J1786" s="1" t="str">
        <f t="shared" si="883"/>
        <v>天津福赛汽车部件有限公司</v>
      </c>
    </row>
    <row r="1787" spans="1:10">
      <c r="A1787" s="1" t="str">
        <f t="shared" si="881"/>
        <v>天津福赛汽车部件有限公司</v>
      </c>
      <c r="B1787" s="1" t="str">
        <f>"一种左右前门扶手内盖总成"</f>
        <v>一种左右前门扶手内盖总成</v>
      </c>
      <c r="C1787" s="1" t="str">
        <f t="shared" si="884"/>
        <v>实用新型</v>
      </c>
      <c r="D1787" s="1" t="str">
        <f t="shared" si="882"/>
        <v>授权</v>
      </c>
      <c r="E1787" s="1" t="str">
        <f>"CN202322317766.X"</f>
        <v>CN202322317766.X</v>
      </c>
      <c r="F1787" s="1" t="str">
        <f>"2023-08-28"</f>
        <v>2023-08-28</v>
      </c>
      <c r="G1787" s="1" t="str">
        <f>"CN220594610U"</f>
        <v>CN220594610U</v>
      </c>
      <c r="H1787" s="1" t="str">
        <f>"2024-03-15"</f>
        <v>2024-03-15</v>
      </c>
      <c r="I1787" s="1" t="s">
        <v>5031</v>
      </c>
      <c r="J1787" s="1" t="str">
        <f t="shared" si="883"/>
        <v>天津福赛汽车部件有限公司</v>
      </c>
    </row>
    <row r="1788" spans="1:10">
      <c r="A1788" s="1" t="str">
        <f t="shared" si="881"/>
        <v>天津福赛汽车部件有限公司</v>
      </c>
      <c r="B1788" s="1" t="str">
        <f>"一种转向管柱护罩组合加工工装"</f>
        <v>一种转向管柱护罩组合加工工装</v>
      </c>
      <c r="C1788" s="1" t="str">
        <f t="shared" si="884"/>
        <v>实用新型</v>
      </c>
      <c r="D1788" s="1" t="str">
        <f t="shared" si="882"/>
        <v>授权</v>
      </c>
      <c r="E1788" s="1" t="str">
        <f>"CN202322186172.X"</f>
        <v>CN202322186172.X</v>
      </c>
      <c r="F1788" s="1" t="str">
        <f>"2023-08-15"</f>
        <v>2023-08-15</v>
      </c>
      <c r="G1788" s="1" t="str">
        <f>"CN220575301U"</f>
        <v>CN220575301U</v>
      </c>
      <c r="H1788" s="1" t="str">
        <f>"2024-03-12"</f>
        <v>2024-03-12</v>
      </c>
      <c r="I1788" s="1" t="s">
        <v>5032</v>
      </c>
      <c r="J1788" s="1" t="str">
        <f t="shared" si="883"/>
        <v>天津福赛汽车部件有限公司</v>
      </c>
    </row>
    <row r="1789" spans="1:10">
      <c r="A1789" s="1" t="str">
        <f t="shared" si="881"/>
        <v>天津福赛汽车部件有限公司</v>
      </c>
      <c r="B1789" s="1" t="str">
        <f>"一种仪表板保护罩外壳加工用切削装置"</f>
        <v>一种仪表板保护罩外壳加工用切削装置</v>
      </c>
      <c r="C1789" s="1" t="str">
        <f t="shared" si="884"/>
        <v>实用新型</v>
      </c>
      <c r="D1789" s="1" t="str">
        <f t="shared" si="882"/>
        <v>授权</v>
      </c>
      <c r="E1789" s="1" t="str">
        <f>"CN202321641040.5"</f>
        <v>CN202321641040.5</v>
      </c>
      <c r="F1789" s="1" t="str">
        <f>"2023-06-27"</f>
        <v>2023-06-27</v>
      </c>
      <c r="G1789" s="1" t="str">
        <f>"CN220427683U"</f>
        <v>CN220427683U</v>
      </c>
      <c r="H1789" s="1" t="str">
        <f>"2024-02-02"</f>
        <v>2024-02-02</v>
      </c>
      <c r="I1789" s="1" t="s">
        <v>5033</v>
      </c>
      <c r="J1789" s="1" t="str">
        <f t="shared" si="883"/>
        <v>天津福赛汽车部件有限公司</v>
      </c>
    </row>
    <row r="1790" spans="1:10">
      <c r="A1790" s="1" t="str">
        <f t="shared" si="881"/>
        <v>天津福赛汽车部件有限公司</v>
      </c>
      <c r="B1790" s="1" t="str">
        <f>"一种转向管柱护罩的激光切割工装"</f>
        <v>一种转向管柱护罩的激光切割工装</v>
      </c>
      <c r="C1790" s="1" t="str">
        <f t="shared" si="884"/>
        <v>实用新型</v>
      </c>
      <c r="D1790" s="1" t="str">
        <f t="shared" si="882"/>
        <v>授权</v>
      </c>
      <c r="E1790" s="1" t="str">
        <f>"CN202321641465.6"</f>
        <v>CN202321641465.6</v>
      </c>
      <c r="F1790" s="1" t="str">
        <f>"2023-06-27"</f>
        <v>2023-06-27</v>
      </c>
      <c r="G1790" s="1" t="str">
        <f>"CN220388310U"</f>
        <v>CN220388310U</v>
      </c>
      <c r="H1790" s="1" t="str">
        <f>"2024-01-26"</f>
        <v>2024-01-26</v>
      </c>
      <c r="I1790" s="1" t="s">
        <v>5034</v>
      </c>
      <c r="J1790" s="1" t="str">
        <f t="shared" si="883"/>
        <v>天津福赛汽车部件有限公司</v>
      </c>
    </row>
    <row r="1791" spans="1:10">
      <c r="A1791" s="1" t="str">
        <f t="shared" si="881"/>
        <v>天津福赛汽车部件有限公司</v>
      </c>
      <c r="B1791" s="1" t="str">
        <f>"扳手包胶自动打磨线"</f>
        <v>扳手包胶自动打磨线</v>
      </c>
      <c r="C1791" s="1" t="str">
        <f>"发明公布"</f>
        <v>发明公布</v>
      </c>
      <c r="D1791" s="1" t="str">
        <f>"实质审查"</f>
        <v>实质审查</v>
      </c>
      <c r="E1791" s="1" t="str">
        <f>"CN202210697291.9"</f>
        <v>CN202210697291.9</v>
      </c>
      <c r="F1791" s="1" t="str">
        <f>"2022-06-20"</f>
        <v>2022-06-20</v>
      </c>
      <c r="G1791" s="1" t="str">
        <f>"CN117283424A"</f>
        <v>CN117283424A</v>
      </c>
      <c r="H1791" s="1" t="str">
        <f>"2023-12-26"</f>
        <v>2023-12-26</v>
      </c>
      <c r="I1791" s="1" t="s">
        <v>5035</v>
      </c>
      <c r="J1791" s="1" t="str">
        <f t="shared" si="883"/>
        <v>天津福赛汽车部件有限公司</v>
      </c>
    </row>
    <row r="1792" spans="1:10">
      <c r="A1792" s="1" t="str">
        <f t="shared" si="881"/>
        <v>天津福赛汽车部件有限公司</v>
      </c>
      <c r="B1792" s="1" t="str">
        <f>"一种自动喷涂感应识别定位工装"</f>
        <v>一种自动喷涂感应识别定位工装</v>
      </c>
      <c r="C1792" s="1" t="str">
        <f t="shared" ref="C1792:C1802" si="885">"实用新型"</f>
        <v>实用新型</v>
      </c>
      <c r="D1792" s="1" t="str">
        <f t="shared" ref="D1792:D1802" si="886">"授权"</f>
        <v>授权</v>
      </c>
      <c r="E1792" s="1" t="str">
        <f>"CN202123046537.6"</f>
        <v>CN202123046537.6</v>
      </c>
      <c r="F1792" s="1" t="str">
        <f>"2021-12-06"</f>
        <v>2021-12-06</v>
      </c>
      <c r="G1792" s="1" t="str">
        <f>"CN217368849U"</f>
        <v>CN217368849U</v>
      </c>
      <c r="H1792" s="1" t="str">
        <f>"2022-09-06"</f>
        <v>2022-09-06</v>
      </c>
      <c r="I1792" s="1" t="s">
        <v>5036</v>
      </c>
      <c r="J1792" s="1" t="str">
        <f t="shared" si="883"/>
        <v>天津福赛汽车部件有限公司</v>
      </c>
    </row>
    <row r="1793" spans="1:10">
      <c r="A1793" s="1" t="str">
        <f t="shared" si="881"/>
        <v>天津福赛汽车部件有限公司</v>
      </c>
      <c r="B1793" s="1" t="str">
        <f>"一种扳手包胶用自动打磨线"</f>
        <v>一种扳手包胶用自动打磨线</v>
      </c>
      <c r="C1793" s="1" t="str">
        <f t="shared" si="885"/>
        <v>实用新型</v>
      </c>
      <c r="D1793" s="1" t="str">
        <f t="shared" si="886"/>
        <v>授权</v>
      </c>
      <c r="E1793" s="1" t="str">
        <f>"CN202122951763.2"</f>
        <v>CN202122951763.2</v>
      </c>
      <c r="F1793" s="1" t="str">
        <f>"2021-11-29"</f>
        <v>2021-11-29</v>
      </c>
      <c r="G1793" s="1" t="str">
        <f>"CN217371801U"</f>
        <v>CN217371801U</v>
      </c>
      <c r="H1793" s="1" t="str">
        <f>"2022-09-06"</f>
        <v>2022-09-06</v>
      </c>
      <c r="I1793" s="1" t="s">
        <v>5036</v>
      </c>
      <c r="J1793" s="1" t="str">
        <f t="shared" si="883"/>
        <v>天津福赛汽车部件有限公司</v>
      </c>
    </row>
    <row r="1794" spans="1:10">
      <c r="A1794" s="1" t="str">
        <f t="shared" si="881"/>
        <v>天津福赛汽车部件有限公司</v>
      </c>
      <c r="B1794" s="1" t="str">
        <f>"一种自动涂装生产线上的车身除静电装置"</f>
        <v>一种自动涂装生产线上的车身除静电装置</v>
      </c>
      <c r="C1794" s="1" t="str">
        <f t="shared" si="885"/>
        <v>实用新型</v>
      </c>
      <c r="D1794" s="1" t="str">
        <f t="shared" si="886"/>
        <v>授权</v>
      </c>
      <c r="E1794" s="1" t="str">
        <f>"CN202220521047.2"</f>
        <v>CN202220521047.2</v>
      </c>
      <c r="F1794" s="1" t="str">
        <f>"2022-03-10"</f>
        <v>2022-03-10</v>
      </c>
      <c r="G1794" s="1" t="str">
        <f>"CN217241014U"</f>
        <v>CN217241014U</v>
      </c>
      <c r="H1794" s="1" t="str">
        <f>"2022-08-19"</f>
        <v>2022-08-19</v>
      </c>
      <c r="I1794" s="1" t="s">
        <v>5037</v>
      </c>
      <c r="J1794" s="1" t="str">
        <f t="shared" si="883"/>
        <v>天津福赛汽车部件有限公司</v>
      </c>
    </row>
    <row r="1795" spans="1:10">
      <c r="A1795" s="1" t="str">
        <f t="shared" si="881"/>
        <v>天津福赛汽车部件有限公司</v>
      </c>
      <c r="B1795" s="1" t="str">
        <f>"一种汽车装饰件钻孔设备"</f>
        <v>一种汽车装饰件钻孔设备</v>
      </c>
      <c r="C1795" s="1" t="str">
        <f t="shared" si="885"/>
        <v>实用新型</v>
      </c>
      <c r="D1795" s="1" t="str">
        <f t="shared" si="886"/>
        <v>授权</v>
      </c>
      <c r="E1795" s="1" t="str">
        <f>"CN202220555756.2"</f>
        <v>CN202220555756.2</v>
      </c>
      <c r="F1795" s="1" t="str">
        <f>"2022-03-15"</f>
        <v>2022-03-15</v>
      </c>
      <c r="G1795" s="1" t="str">
        <f>"CN217223697U"</f>
        <v>CN217223697U</v>
      </c>
      <c r="H1795" s="1" t="str">
        <f>"2022-08-19"</f>
        <v>2022-08-19</v>
      </c>
      <c r="I1795" s="1" t="s">
        <v>5038</v>
      </c>
      <c r="J1795" s="1" t="str">
        <f t="shared" si="883"/>
        <v>天津福赛汽车部件有限公司</v>
      </c>
    </row>
    <row r="1796" spans="1:10">
      <c r="A1796" s="1" t="str">
        <f t="shared" si="881"/>
        <v>天津福赛汽车部件有限公司</v>
      </c>
      <c r="B1796" s="1" t="str">
        <f>"一种汽车零部件涂装生产线加热装置"</f>
        <v>一种汽车零部件涂装生产线加热装置</v>
      </c>
      <c r="C1796" s="1" t="str">
        <f t="shared" si="885"/>
        <v>实用新型</v>
      </c>
      <c r="D1796" s="1" t="str">
        <f t="shared" si="886"/>
        <v>授权</v>
      </c>
      <c r="E1796" s="1" t="str">
        <f>"CN202220455900.5"</f>
        <v>CN202220455900.5</v>
      </c>
      <c r="F1796" s="1" t="str">
        <f>"2022-03-03"</f>
        <v>2022-03-03</v>
      </c>
      <c r="G1796" s="1" t="str">
        <f>"CN216965217U"</f>
        <v>CN216965217U</v>
      </c>
      <c r="H1796" s="1" t="str">
        <f t="shared" ref="H1796:H1798" si="887">"2022-07-15"</f>
        <v>2022-07-15</v>
      </c>
      <c r="I1796" s="1" t="s">
        <v>5039</v>
      </c>
      <c r="J1796" s="1" t="str">
        <f t="shared" si="883"/>
        <v>天津福赛汽车部件有限公司</v>
      </c>
    </row>
    <row r="1797" spans="1:10">
      <c r="A1797" s="1" t="str">
        <f t="shared" si="881"/>
        <v>天津福赛汽车部件有限公司</v>
      </c>
      <c r="B1797" s="1" t="str">
        <f>"一种涂装生产线用排风过滤装置"</f>
        <v>一种涂装生产线用排风过滤装置</v>
      </c>
      <c r="C1797" s="1" t="str">
        <f t="shared" si="885"/>
        <v>实用新型</v>
      </c>
      <c r="D1797" s="1" t="str">
        <f t="shared" si="886"/>
        <v>授权</v>
      </c>
      <c r="E1797" s="1" t="str">
        <f>"CN202220519067.6"</f>
        <v>CN202220519067.6</v>
      </c>
      <c r="F1797" s="1" t="str">
        <f>"2022-03-10"</f>
        <v>2022-03-10</v>
      </c>
      <c r="G1797" s="1" t="str">
        <f>"CN216963892U"</f>
        <v>CN216963892U</v>
      </c>
      <c r="H1797" s="1" t="str">
        <f t="shared" si="887"/>
        <v>2022-07-15</v>
      </c>
      <c r="I1797" s="1" t="s">
        <v>5040</v>
      </c>
      <c r="J1797" s="1" t="str">
        <f t="shared" si="883"/>
        <v>天津福赛汽车部件有限公司</v>
      </c>
    </row>
    <row r="1798" spans="1:10">
      <c r="A1798" s="1" t="str">
        <f t="shared" si="881"/>
        <v>天津福赛汽车部件有限公司</v>
      </c>
      <c r="B1798" s="1" t="str">
        <f>"一种汽车注塑件用拿取机器人"</f>
        <v>一种汽车注塑件用拿取机器人</v>
      </c>
      <c r="C1798" s="1" t="str">
        <f t="shared" si="885"/>
        <v>实用新型</v>
      </c>
      <c r="D1798" s="1" t="str">
        <f t="shared" si="886"/>
        <v>授权</v>
      </c>
      <c r="E1798" s="1" t="str">
        <f>"CN202220492107.2"</f>
        <v>CN202220492107.2</v>
      </c>
      <c r="F1798" s="1" t="str">
        <f>"2022-03-07"</f>
        <v>2022-03-07</v>
      </c>
      <c r="G1798" s="1" t="str">
        <f>"CN216968571U"</f>
        <v>CN216968571U</v>
      </c>
      <c r="H1798" s="1" t="str">
        <f t="shared" si="887"/>
        <v>2022-07-15</v>
      </c>
      <c r="I1798" s="1" t="s">
        <v>5041</v>
      </c>
      <c r="J1798" s="1" t="str">
        <f t="shared" si="883"/>
        <v>天津福赛汽车部件有限公司</v>
      </c>
    </row>
    <row r="1799" spans="1:10">
      <c r="A1799" s="1" t="str">
        <f t="shared" si="881"/>
        <v>天津福赛汽车部件有限公司</v>
      </c>
      <c r="B1799" s="1" t="str">
        <f>"一种自动剪切产品浇口生产装置"</f>
        <v>一种自动剪切产品浇口生产装置</v>
      </c>
      <c r="C1799" s="1" t="str">
        <f t="shared" si="885"/>
        <v>实用新型</v>
      </c>
      <c r="D1799" s="1" t="str">
        <f t="shared" si="886"/>
        <v>授权</v>
      </c>
      <c r="E1799" s="1" t="str">
        <f>"CN202123122972.2"</f>
        <v>CN202123122972.2</v>
      </c>
      <c r="F1799" s="1" t="str">
        <f>"2021-12-06"</f>
        <v>2021-12-06</v>
      </c>
      <c r="G1799" s="1" t="str">
        <f>"CN216914719U"</f>
        <v>CN216914719U</v>
      </c>
      <c r="H1799" s="1" t="str">
        <f t="shared" ref="H1799:H1802" si="888">"2022-07-08"</f>
        <v>2022-07-08</v>
      </c>
      <c r="I1799" s="1" t="s">
        <v>5036</v>
      </c>
      <c r="J1799" s="1" t="str">
        <f t="shared" si="883"/>
        <v>天津福赛汽车部件有限公司</v>
      </c>
    </row>
    <row r="1800" spans="1:10">
      <c r="A1800" s="1" t="str">
        <f t="shared" si="881"/>
        <v>天津福赛汽车部件有限公司</v>
      </c>
      <c r="B1800" s="1" t="str">
        <f>"一种汽车内饰零部件生产用自动抓取工装"</f>
        <v>一种汽车内饰零部件生产用自动抓取工装</v>
      </c>
      <c r="C1800" s="1" t="str">
        <f t="shared" si="885"/>
        <v>实用新型</v>
      </c>
      <c r="D1800" s="1" t="str">
        <f t="shared" si="886"/>
        <v>授权</v>
      </c>
      <c r="E1800" s="1" t="str">
        <f>"CN202220472505.8"</f>
        <v>CN202220472505.8</v>
      </c>
      <c r="F1800" s="1" t="str">
        <f>"2022-03-04"</f>
        <v>2022-03-04</v>
      </c>
      <c r="G1800" s="1" t="str">
        <f>"CN216913084U"</f>
        <v>CN216913084U</v>
      </c>
      <c r="H1800" s="1" t="str">
        <f t="shared" si="888"/>
        <v>2022-07-08</v>
      </c>
      <c r="I1800" s="1" t="s">
        <v>5042</v>
      </c>
      <c r="J1800" s="1" t="str">
        <f t="shared" si="883"/>
        <v>天津福赛汽车部件有限公司</v>
      </c>
    </row>
    <row r="1801" spans="1:10">
      <c r="A1801" s="1" t="str">
        <f t="shared" si="881"/>
        <v>天津福赛汽车部件有限公司</v>
      </c>
      <c r="B1801" s="1" t="str">
        <f>"一种用于Y形扳手的半自动气动装配装置"</f>
        <v>一种用于Y形扳手的半自动气动装配装置</v>
      </c>
      <c r="C1801" s="1" t="str">
        <f t="shared" si="885"/>
        <v>实用新型</v>
      </c>
      <c r="D1801" s="1" t="str">
        <f t="shared" si="886"/>
        <v>授权</v>
      </c>
      <c r="E1801" s="1" t="str">
        <f>"CN202122947753.1"</f>
        <v>CN202122947753.1</v>
      </c>
      <c r="F1801" s="1" t="str">
        <f>"2021-11-29"</f>
        <v>2021-11-29</v>
      </c>
      <c r="G1801" s="1" t="str">
        <f>"CN216912861U"</f>
        <v>CN216912861U</v>
      </c>
      <c r="H1801" s="1" t="str">
        <f t="shared" si="888"/>
        <v>2022-07-08</v>
      </c>
      <c r="I1801" s="1" t="s">
        <v>5036</v>
      </c>
      <c r="J1801" s="1" t="str">
        <f t="shared" si="883"/>
        <v>天津福赛汽车部件有限公司</v>
      </c>
    </row>
    <row r="1802" spans="1:10">
      <c r="A1802" s="1" t="str">
        <f t="shared" si="881"/>
        <v>天津福赛汽车部件有限公司</v>
      </c>
      <c r="B1802" s="1" t="str">
        <f>"一种汽车内侧把手用装配工装"</f>
        <v>一种汽车内侧把手用装配工装</v>
      </c>
      <c r="C1802" s="1" t="str">
        <f t="shared" si="885"/>
        <v>实用新型</v>
      </c>
      <c r="D1802" s="1" t="str">
        <f t="shared" si="886"/>
        <v>授权</v>
      </c>
      <c r="E1802" s="1" t="str">
        <f>"CN202220474501.3"</f>
        <v>CN202220474501.3</v>
      </c>
      <c r="F1802" s="1" t="str">
        <f>"2022-03-03"</f>
        <v>2022-03-03</v>
      </c>
      <c r="G1802" s="1" t="str">
        <f>"CN216913717U"</f>
        <v>CN216913717U</v>
      </c>
      <c r="H1802" s="1" t="str">
        <f t="shared" si="888"/>
        <v>2022-07-08</v>
      </c>
      <c r="I1802" s="1" t="s">
        <v>5043</v>
      </c>
      <c r="J1802" s="1" t="str">
        <f t="shared" si="883"/>
        <v>天津福赛汽车部件有限公司</v>
      </c>
    </row>
    <row r="1803" spans="1:10">
      <c r="A1803" s="1" t="str">
        <f t="shared" si="881"/>
        <v>天津福赛汽车部件有限公司</v>
      </c>
      <c r="B1803" s="1" t="str">
        <f>"一种螺丝卡扣自动装配操作系统"</f>
        <v>一种螺丝卡扣自动装配操作系统</v>
      </c>
      <c r="C1803" s="1" t="str">
        <f>"发明公布"</f>
        <v>发明公布</v>
      </c>
      <c r="D1803" s="1" t="str">
        <f>"公布驳回"</f>
        <v>公布驳回</v>
      </c>
      <c r="E1803" s="1" t="str">
        <f>"CN202111458097.7"</f>
        <v>CN202111458097.7</v>
      </c>
      <c r="F1803" s="1" t="str">
        <f>"2021-12-01"</f>
        <v>2021-12-01</v>
      </c>
      <c r="G1803" s="1" t="str">
        <f>"CN114326920A"</f>
        <v>CN114326920A</v>
      </c>
      <c r="H1803" s="1" t="str">
        <f>"2022-04-12"</f>
        <v>2022-04-12</v>
      </c>
      <c r="I1803" s="1" t="s">
        <v>5036</v>
      </c>
      <c r="J1803" s="1" t="str">
        <f t="shared" si="883"/>
        <v>天津福赛汽车部件有限公司</v>
      </c>
    </row>
    <row r="1804" spans="1:10">
      <c r="A1804" s="1" t="str">
        <f t="shared" si="881"/>
        <v>天津福赛汽车部件有限公司</v>
      </c>
      <c r="B1804" s="1" t="str">
        <f>"一种汽车中控台右面板装配工装"</f>
        <v>一种汽车中控台右面板装配工装</v>
      </c>
      <c r="C1804" s="1" t="str">
        <f t="shared" ref="C1804:C1820" si="889">"实用新型"</f>
        <v>实用新型</v>
      </c>
      <c r="D1804" s="1" t="str">
        <f t="shared" ref="D1804:D1854" si="890">"授权"</f>
        <v>授权</v>
      </c>
      <c r="E1804" s="1" t="str">
        <f>"CN202120705579.7"</f>
        <v>CN202120705579.7</v>
      </c>
      <c r="F1804" s="1" t="str">
        <f t="shared" ref="F1804:F1808" si="891">"2021-04-08"</f>
        <v>2021-04-08</v>
      </c>
      <c r="G1804" s="1" t="str">
        <f>"CN215396629U"</f>
        <v>CN215396629U</v>
      </c>
      <c r="H1804" s="1" t="str">
        <f t="shared" ref="H1804:H1808" si="892">"2022-01-04"</f>
        <v>2022-01-04</v>
      </c>
      <c r="I1804" s="1" t="str">
        <f t="shared" ref="I1804:I1809" si="893">"许高进"</f>
        <v>许高进</v>
      </c>
      <c r="J1804" s="1" t="str">
        <f t="shared" si="883"/>
        <v>天津福赛汽车部件有限公司</v>
      </c>
    </row>
    <row r="1805" spans="1:10">
      <c r="A1805" s="1" t="str">
        <f t="shared" si="881"/>
        <v>天津福赛汽车部件有限公司</v>
      </c>
      <c r="B1805" s="1" t="str">
        <f>"一种便于成品保护的工件周转车"</f>
        <v>一种便于成品保护的工件周转车</v>
      </c>
      <c r="C1805" s="1" t="str">
        <f t="shared" si="889"/>
        <v>实用新型</v>
      </c>
      <c r="D1805" s="1" t="str">
        <f t="shared" si="890"/>
        <v>授权</v>
      </c>
      <c r="E1805" s="1" t="str">
        <f>"CN202120705573.X"</f>
        <v>CN202120705573.X</v>
      </c>
      <c r="F1805" s="1" t="str">
        <f t="shared" si="891"/>
        <v>2021-04-08</v>
      </c>
      <c r="G1805" s="1" t="str">
        <f>"CN215398752U"</f>
        <v>CN215398752U</v>
      </c>
      <c r="H1805" s="1" t="str">
        <f t="shared" si="892"/>
        <v>2022-01-04</v>
      </c>
      <c r="I1805" s="1" t="str">
        <f>"郑宏良"</f>
        <v>郑宏良</v>
      </c>
      <c r="J1805" s="1" t="str">
        <f t="shared" si="883"/>
        <v>天津福赛汽车部件有限公司</v>
      </c>
    </row>
    <row r="1806" spans="1:10">
      <c r="A1806" s="1" t="str">
        <f t="shared" si="881"/>
        <v>天津福赛汽车部件有限公司</v>
      </c>
      <c r="B1806" s="1" t="str">
        <f>"一种喷涂车间用上料输送系统"</f>
        <v>一种喷涂车间用上料输送系统</v>
      </c>
      <c r="C1806" s="1" t="str">
        <f t="shared" si="889"/>
        <v>实用新型</v>
      </c>
      <c r="D1806" s="1" t="str">
        <f t="shared" si="890"/>
        <v>授权</v>
      </c>
      <c r="E1806" s="1" t="str">
        <f>"CN202120705568.9"</f>
        <v>CN202120705568.9</v>
      </c>
      <c r="F1806" s="1" t="str">
        <f t="shared" si="891"/>
        <v>2021-04-08</v>
      </c>
      <c r="G1806" s="1" t="str">
        <f>"CN215390150U"</f>
        <v>CN215390150U</v>
      </c>
      <c r="H1806" s="1" t="str">
        <f t="shared" si="892"/>
        <v>2022-01-04</v>
      </c>
      <c r="I1806" s="1" t="str">
        <f>"陈德红"</f>
        <v>陈德红</v>
      </c>
      <c r="J1806" s="1" t="str">
        <f t="shared" si="883"/>
        <v>天津福赛汽车部件有限公司</v>
      </c>
    </row>
    <row r="1807" spans="1:10">
      <c r="A1807" s="1" t="str">
        <f t="shared" si="881"/>
        <v>天津福赛汽车部件有限公司</v>
      </c>
      <c r="B1807" s="1" t="str">
        <f>"一种汽车内饰后装饰板浇口余料切除工装"</f>
        <v>一种汽车内饰后装饰板浇口余料切除工装</v>
      </c>
      <c r="C1807" s="1" t="str">
        <f t="shared" si="889"/>
        <v>实用新型</v>
      </c>
      <c r="D1807" s="1" t="str">
        <f t="shared" si="890"/>
        <v>授权</v>
      </c>
      <c r="E1807" s="1" t="str">
        <f>"CN202120705587.1"</f>
        <v>CN202120705587.1</v>
      </c>
      <c r="F1807" s="1" t="str">
        <f t="shared" si="891"/>
        <v>2021-04-08</v>
      </c>
      <c r="G1807" s="1" t="str">
        <f>"CN215396630U"</f>
        <v>CN215396630U</v>
      </c>
      <c r="H1807" s="1" t="str">
        <f t="shared" si="892"/>
        <v>2022-01-04</v>
      </c>
      <c r="I1807" s="1" t="str">
        <f>"彭涛"</f>
        <v>彭涛</v>
      </c>
      <c r="J1807" s="1" t="str">
        <f t="shared" si="883"/>
        <v>天津福赛汽车部件有限公司</v>
      </c>
    </row>
    <row r="1808" spans="1:10">
      <c r="A1808" s="1" t="str">
        <f t="shared" si="881"/>
        <v>天津福赛汽车部件有限公司</v>
      </c>
      <c r="B1808" s="1" t="str">
        <f>"一种导滑按键缓冲垫装配工装"</f>
        <v>一种导滑按键缓冲垫装配工装</v>
      </c>
      <c r="C1808" s="1" t="str">
        <f t="shared" si="889"/>
        <v>实用新型</v>
      </c>
      <c r="D1808" s="1" t="str">
        <f t="shared" si="890"/>
        <v>授权</v>
      </c>
      <c r="E1808" s="1" t="str">
        <f>"CN202120705632.3"</f>
        <v>CN202120705632.3</v>
      </c>
      <c r="F1808" s="1" t="str">
        <f t="shared" si="891"/>
        <v>2021-04-08</v>
      </c>
      <c r="G1808" s="1" t="str">
        <f>"CN215393581U"</f>
        <v>CN215393581U</v>
      </c>
      <c r="H1808" s="1" t="str">
        <f t="shared" si="892"/>
        <v>2022-01-04</v>
      </c>
      <c r="I1808" s="1" t="str">
        <f t="shared" si="893"/>
        <v>许高进</v>
      </c>
      <c r="J1808" s="1" t="str">
        <f t="shared" si="883"/>
        <v>天津福赛汽车部件有限公司</v>
      </c>
    </row>
    <row r="1809" spans="1:10">
      <c r="A1809" s="1" t="str">
        <f t="shared" si="881"/>
        <v>天津福赛汽车部件有限公司</v>
      </c>
      <c r="B1809" s="1" t="str">
        <f>"一种汽车饰件注塑原料干燥装置"</f>
        <v>一种汽车饰件注塑原料干燥装置</v>
      </c>
      <c r="C1809" s="1" t="str">
        <f t="shared" si="889"/>
        <v>实用新型</v>
      </c>
      <c r="D1809" s="1" t="str">
        <f t="shared" si="890"/>
        <v>授权</v>
      </c>
      <c r="E1809" s="1" t="str">
        <f>"CN201921457597.7"</f>
        <v>CN201921457597.7</v>
      </c>
      <c r="F1809" s="1" t="str">
        <f t="shared" ref="F1809:F1820" si="894">"2019-09-04"</f>
        <v>2019-09-04</v>
      </c>
      <c r="G1809" s="1" t="str">
        <f>"CN211120442U"</f>
        <v>CN211120442U</v>
      </c>
      <c r="H1809" s="1" t="str">
        <f>"2020-07-28"</f>
        <v>2020-07-28</v>
      </c>
      <c r="I1809" s="1" t="str">
        <f t="shared" si="893"/>
        <v>许高进</v>
      </c>
      <c r="J1809" s="1" t="str">
        <f t="shared" si="883"/>
        <v>天津福赛汽车部件有限公司</v>
      </c>
    </row>
    <row r="1810" spans="1:10">
      <c r="A1810" s="1" t="str">
        <f t="shared" si="881"/>
        <v>天津福赛汽车部件有限公司</v>
      </c>
      <c r="B1810" s="1" t="str">
        <f>"一种汽车配件分装箱传送检验装置"</f>
        <v>一种汽车配件分装箱传送检验装置</v>
      </c>
      <c r="C1810" s="1" t="str">
        <f t="shared" si="889"/>
        <v>实用新型</v>
      </c>
      <c r="D1810" s="1" t="str">
        <f t="shared" si="890"/>
        <v>授权</v>
      </c>
      <c r="E1810" s="1" t="str">
        <f>"CN201921457644.8"</f>
        <v>CN201921457644.8</v>
      </c>
      <c r="F1810" s="1" t="str">
        <f t="shared" si="894"/>
        <v>2019-09-04</v>
      </c>
      <c r="G1810" s="1" t="str">
        <f>"CN211100250U"</f>
        <v>CN211100250U</v>
      </c>
      <c r="H1810" s="1" t="str">
        <f>"2020-07-28"</f>
        <v>2020-07-28</v>
      </c>
      <c r="I1810" s="1" t="str">
        <f t="shared" ref="I1810:I1815" si="895">"陈学帅"</f>
        <v>陈学帅</v>
      </c>
      <c r="J1810" s="1" t="str">
        <f t="shared" si="883"/>
        <v>天津福赛汽车部件有限公司</v>
      </c>
    </row>
    <row r="1811" spans="1:10">
      <c r="A1811" s="1" t="str">
        <f t="shared" si="881"/>
        <v>天津福赛汽车部件有限公司</v>
      </c>
      <c r="B1811" s="1" t="str">
        <f>"一种汽车饰件喷涂往复抓取装置"</f>
        <v>一种汽车饰件喷涂往复抓取装置</v>
      </c>
      <c r="C1811" s="1" t="str">
        <f t="shared" si="889"/>
        <v>实用新型</v>
      </c>
      <c r="D1811" s="1" t="str">
        <f t="shared" si="890"/>
        <v>授权</v>
      </c>
      <c r="E1811" s="1" t="str">
        <f>"CN201921457634.4"</f>
        <v>CN201921457634.4</v>
      </c>
      <c r="F1811" s="1" t="str">
        <f t="shared" si="894"/>
        <v>2019-09-04</v>
      </c>
      <c r="G1811" s="1" t="str">
        <f>"CN210824398U"</f>
        <v>CN210824398U</v>
      </c>
      <c r="H1811" s="1" t="str">
        <f t="shared" ref="H1811:H1820" si="896">"2020-06-23"</f>
        <v>2020-06-23</v>
      </c>
      <c r="I1811" s="1" t="str">
        <f>"许高进"</f>
        <v>许高进</v>
      </c>
      <c r="J1811" s="1" t="str">
        <f t="shared" si="883"/>
        <v>天津福赛汽车部件有限公司</v>
      </c>
    </row>
    <row r="1812" spans="1:10">
      <c r="A1812" s="1" t="str">
        <f t="shared" si="881"/>
        <v>天津福赛汽车部件有限公司</v>
      </c>
      <c r="B1812" s="1" t="str">
        <f>"一种喷漆废气处理装置"</f>
        <v>一种喷漆废气处理装置</v>
      </c>
      <c r="C1812" s="1" t="str">
        <f t="shared" si="889"/>
        <v>实用新型</v>
      </c>
      <c r="D1812" s="1" t="str">
        <f t="shared" si="890"/>
        <v>授权</v>
      </c>
      <c r="E1812" s="1" t="str">
        <f>"CN201921457859.X"</f>
        <v>CN201921457859.X</v>
      </c>
      <c r="F1812" s="1" t="str">
        <f t="shared" si="894"/>
        <v>2019-09-04</v>
      </c>
      <c r="G1812" s="1" t="str">
        <f>"CN210814711U"</f>
        <v>CN210814711U</v>
      </c>
      <c r="H1812" s="1" t="str">
        <f t="shared" si="896"/>
        <v>2020-06-23</v>
      </c>
      <c r="I1812" s="1" t="str">
        <f>"赵广云"</f>
        <v>赵广云</v>
      </c>
      <c r="J1812" s="1" t="str">
        <f t="shared" si="883"/>
        <v>天津福赛汽车部件有限公司</v>
      </c>
    </row>
    <row r="1813" spans="1:10">
      <c r="A1813" s="1" t="str">
        <f t="shared" si="881"/>
        <v>天津福赛汽车部件有限公司</v>
      </c>
      <c r="B1813" s="1" t="str">
        <f>"一种汽车装饰件浇口可调剪切工装"</f>
        <v>一种汽车装饰件浇口可调剪切工装</v>
      </c>
      <c r="C1813" s="1" t="str">
        <f t="shared" si="889"/>
        <v>实用新型</v>
      </c>
      <c r="D1813" s="1" t="str">
        <f t="shared" si="890"/>
        <v>授权</v>
      </c>
      <c r="E1813" s="1" t="str">
        <f>"CN201921457680.4"</f>
        <v>CN201921457680.4</v>
      </c>
      <c r="F1813" s="1" t="str">
        <f t="shared" si="894"/>
        <v>2019-09-04</v>
      </c>
      <c r="G1813" s="1" t="str">
        <f>"CN210817426U"</f>
        <v>CN210817426U</v>
      </c>
      <c r="H1813" s="1" t="str">
        <f t="shared" si="896"/>
        <v>2020-06-23</v>
      </c>
      <c r="I1813" s="1" t="str">
        <f t="shared" si="895"/>
        <v>陈学帅</v>
      </c>
      <c r="J1813" s="1" t="str">
        <f t="shared" si="883"/>
        <v>天津福赛汽车部件有限公司</v>
      </c>
    </row>
    <row r="1814" spans="1:10">
      <c r="A1814" s="1" t="str">
        <f t="shared" si="881"/>
        <v>天津福赛汽车部件有限公司</v>
      </c>
      <c r="B1814" s="1" t="str">
        <f>"一种汽车配件喷涂漆料混合装置"</f>
        <v>一种汽车配件喷涂漆料混合装置</v>
      </c>
      <c r="C1814" s="1" t="str">
        <f t="shared" si="889"/>
        <v>实用新型</v>
      </c>
      <c r="D1814" s="1" t="str">
        <f t="shared" si="890"/>
        <v>授权</v>
      </c>
      <c r="E1814" s="1" t="str">
        <f>"CN201921457874.4"</f>
        <v>CN201921457874.4</v>
      </c>
      <c r="F1814" s="1" t="str">
        <f t="shared" si="894"/>
        <v>2019-09-04</v>
      </c>
      <c r="G1814" s="1" t="str">
        <f>"CN210815827U"</f>
        <v>CN210815827U</v>
      </c>
      <c r="H1814" s="1" t="str">
        <f t="shared" si="896"/>
        <v>2020-06-23</v>
      </c>
      <c r="I1814" s="1" t="str">
        <f t="shared" si="895"/>
        <v>陈学帅</v>
      </c>
      <c r="J1814" s="1" t="str">
        <f t="shared" si="883"/>
        <v>天津福赛汽车部件有限公司</v>
      </c>
    </row>
    <row r="1815" spans="1:10">
      <c r="A1815" s="1" t="str">
        <f t="shared" si="881"/>
        <v>天津福赛汽车部件有限公司</v>
      </c>
      <c r="B1815" s="1" t="str">
        <f>"一种用于汽车装饰件多种浇注产品分装工装"</f>
        <v>一种用于汽车装饰件多种浇注产品分装工装</v>
      </c>
      <c r="C1815" s="1" t="str">
        <f t="shared" si="889"/>
        <v>实用新型</v>
      </c>
      <c r="D1815" s="1" t="str">
        <f t="shared" si="890"/>
        <v>授权</v>
      </c>
      <c r="E1815" s="1" t="str">
        <f>"CN201921457640.X"</f>
        <v>CN201921457640.X</v>
      </c>
      <c r="F1815" s="1" t="str">
        <f t="shared" si="894"/>
        <v>2019-09-04</v>
      </c>
      <c r="G1815" s="1" t="str">
        <f>"CN210820584U"</f>
        <v>CN210820584U</v>
      </c>
      <c r="H1815" s="1" t="str">
        <f t="shared" si="896"/>
        <v>2020-06-23</v>
      </c>
      <c r="I1815" s="1" t="str">
        <f t="shared" si="895"/>
        <v>陈学帅</v>
      </c>
      <c r="J1815" s="1" t="str">
        <f t="shared" si="883"/>
        <v>天津福赛汽车部件有限公司</v>
      </c>
    </row>
    <row r="1816" spans="1:10">
      <c r="A1816" s="1" t="str">
        <f t="shared" si="881"/>
        <v>天津福赛汽车部件有限公司</v>
      </c>
      <c r="B1816" s="1" t="str">
        <f>"一种注塑物料炮筒螺杆输送装置"</f>
        <v>一种注塑物料炮筒螺杆输送装置</v>
      </c>
      <c r="C1816" s="1" t="str">
        <f t="shared" si="889"/>
        <v>实用新型</v>
      </c>
      <c r="D1816" s="1" t="str">
        <f t="shared" si="890"/>
        <v>授权</v>
      </c>
      <c r="E1816" s="1" t="str">
        <f>"CN201921457589.2"</f>
        <v>CN201921457589.2</v>
      </c>
      <c r="F1816" s="1" t="str">
        <f t="shared" si="894"/>
        <v>2019-09-04</v>
      </c>
      <c r="G1816" s="1" t="str">
        <f>"CN210820778U"</f>
        <v>CN210820778U</v>
      </c>
      <c r="H1816" s="1" t="str">
        <f t="shared" si="896"/>
        <v>2020-06-23</v>
      </c>
      <c r="I1816" s="1" t="str">
        <f>"赵广云"</f>
        <v>赵广云</v>
      </c>
      <c r="J1816" s="1" t="str">
        <f t="shared" si="883"/>
        <v>天津福赛汽车部件有限公司</v>
      </c>
    </row>
    <row r="1817" spans="1:10">
      <c r="A1817" s="1" t="str">
        <f t="shared" si="881"/>
        <v>天津福赛汽车部件有限公司</v>
      </c>
      <c r="B1817" s="1" t="str">
        <f>"一种汽车内饰注塑件浇口剪切装置"</f>
        <v>一种汽车内饰注塑件浇口剪切装置</v>
      </c>
      <c r="C1817" s="1" t="str">
        <f t="shared" si="889"/>
        <v>实用新型</v>
      </c>
      <c r="D1817" s="1" t="str">
        <f t="shared" si="890"/>
        <v>授权</v>
      </c>
      <c r="E1817" s="1" t="str">
        <f>"CN201921457656.0"</f>
        <v>CN201921457656.0</v>
      </c>
      <c r="F1817" s="1" t="str">
        <f t="shared" si="894"/>
        <v>2019-09-04</v>
      </c>
      <c r="G1817" s="1" t="str">
        <f>"CN210820727U"</f>
        <v>CN210820727U</v>
      </c>
      <c r="H1817" s="1" t="str">
        <f t="shared" si="896"/>
        <v>2020-06-23</v>
      </c>
      <c r="I1817" s="1" t="str">
        <f t="shared" ref="I1817:I1820" si="897">"李雄"</f>
        <v>李雄</v>
      </c>
      <c r="J1817" s="1" t="str">
        <f t="shared" si="883"/>
        <v>天津福赛汽车部件有限公司</v>
      </c>
    </row>
    <row r="1818" spans="1:10">
      <c r="A1818" s="1" t="str">
        <f t="shared" si="881"/>
        <v>天津福赛汽车部件有限公司</v>
      </c>
      <c r="B1818" s="1" t="str">
        <f>"一种汽车饰件出模中转架"</f>
        <v>一种汽车饰件出模中转架</v>
      </c>
      <c r="C1818" s="1" t="str">
        <f t="shared" si="889"/>
        <v>实用新型</v>
      </c>
      <c r="D1818" s="1" t="str">
        <f t="shared" si="890"/>
        <v>授权</v>
      </c>
      <c r="E1818" s="1" t="str">
        <f>"CN201921457873.X"</f>
        <v>CN201921457873.X</v>
      </c>
      <c r="F1818" s="1" t="str">
        <f t="shared" si="894"/>
        <v>2019-09-04</v>
      </c>
      <c r="G1818" s="1" t="str">
        <f>"CN210820585U"</f>
        <v>CN210820585U</v>
      </c>
      <c r="H1818" s="1" t="str">
        <f t="shared" si="896"/>
        <v>2020-06-23</v>
      </c>
      <c r="I1818" s="1" t="str">
        <f t="shared" si="897"/>
        <v>李雄</v>
      </c>
      <c r="J1818" s="1" t="str">
        <f t="shared" si="883"/>
        <v>天津福赛汽车部件有限公司</v>
      </c>
    </row>
    <row r="1819" spans="1:10">
      <c r="A1819" s="1" t="str">
        <f t="shared" si="881"/>
        <v>天津福赛汽车部件有限公司</v>
      </c>
      <c r="B1819" s="1" t="str">
        <f>"一种汽车配件注塑成型后传送用分装箱"</f>
        <v>一种汽车配件注塑成型后传送用分装箱</v>
      </c>
      <c r="C1819" s="1" t="str">
        <f t="shared" si="889"/>
        <v>实用新型</v>
      </c>
      <c r="D1819" s="1" t="str">
        <f t="shared" si="890"/>
        <v>授权</v>
      </c>
      <c r="E1819" s="1" t="str">
        <f>"CN201921457816.1"</f>
        <v>CN201921457816.1</v>
      </c>
      <c r="F1819" s="1" t="str">
        <f t="shared" si="894"/>
        <v>2019-09-04</v>
      </c>
      <c r="G1819" s="1" t="str">
        <f>"CN210823623U"</f>
        <v>CN210823623U</v>
      </c>
      <c r="H1819" s="1" t="str">
        <f t="shared" si="896"/>
        <v>2020-06-23</v>
      </c>
      <c r="I1819" s="1" t="str">
        <f>"陈学帅"</f>
        <v>陈学帅</v>
      </c>
      <c r="J1819" s="1" t="str">
        <f t="shared" si="883"/>
        <v>天津福赛汽车部件有限公司</v>
      </c>
    </row>
    <row r="1820" spans="1:10">
      <c r="A1820" s="1" t="str">
        <f t="shared" si="881"/>
        <v>天津福赛汽车部件有限公司</v>
      </c>
      <c r="B1820" s="1" t="str">
        <f>"一种汽车配件喷涂后流平烘干装置"</f>
        <v>一种汽车配件喷涂后流平烘干装置</v>
      </c>
      <c r="C1820" s="1" t="str">
        <f t="shared" si="889"/>
        <v>实用新型</v>
      </c>
      <c r="D1820" s="1" t="str">
        <f t="shared" si="890"/>
        <v>授权</v>
      </c>
      <c r="E1820" s="1" t="str">
        <f>"CN201921457679.1"</f>
        <v>CN201921457679.1</v>
      </c>
      <c r="F1820" s="1" t="str">
        <f t="shared" si="894"/>
        <v>2019-09-04</v>
      </c>
      <c r="G1820" s="1" t="str">
        <f>"CN210816083U"</f>
        <v>CN210816083U</v>
      </c>
      <c r="H1820" s="1" t="str">
        <f t="shared" si="896"/>
        <v>2020-06-23</v>
      </c>
      <c r="I1820" s="1" t="str">
        <f t="shared" si="897"/>
        <v>李雄</v>
      </c>
      <c r="J1820" s="1" t="str">
        <f t="shared" si="883"/>
        <v>天津福赛汽车部件有限公司</v>
      </c>
    </row>
    <row r="1821" spans="1:10">
      <c r="A1821" s="1" t="str">
        <f t="shared" ref="A1821:A1824" si="898">"天津市协远汽车部品有限公司"</f>
        <v>天津市协远汽车部品有限公司</v>
      </c>
      <c r="B1821" s="1" t="str">
        <f>"汽车后视镜"</f>
        <v>汽车后视镜</v>
      </c>
      <c r="C1821" s="1" t="str">
        <f t="shared" ref="C1821:C1824" si="899">"外观设计"</f>
        <v>外观设计</v>
      </c>
      <c r="D1821" s="1" t="str">
        <f t="shared" si="890"/>
        <v>授权</v>
      </c>
      <c r="E1821" s="1" t="str">
        <f>"CN202330075642.8"</f>
        <v>CN202330075642.8</v>
      </c>
      <c r="F1821" s="1" t="str">
        <f>"2023-02-27"</f>
        <v>2023-02-27</v>
      </c>
      <c r="G1821" s="1" t="str">
        <f>"CN308063495S"</f>
        <v>CN308063495S</v>
      </c>
      <c r="H1821" s="1" t="str">
        <f>"2023-06-02"</f>
        <v>2023-06-02</v>
      </c>
      <c r="I1821" s="1" t="str">
        <f t="shared" ref="I1821:I1824" si="900">"金后军"</f>
        <v>金后军</v>
      </c>
      <c r="J1821" s="1" t="str">
        <f t="shared" ref="J1821:J1824" si="901">"天津市协远汽车部品有限公司"</f>
        <v>天津市协远汽车部品有限公司</v>
      </c>
    </row>
    <row r="1822" spans="1:10">
      <c r="A1822" s="1" t="str">
        <f t="shared" si="898"/>
        <v>天津市协远汽车部品有限公司</v>
      </c>
      <c r="B1822" s="1" t="str">
        <f>"汽车外后视镜"</f>
        <v>汽车外后视镜</v>
      </c>
      <c r="C1822" s="1" t="str">
        <f t="shared" si="899"/>
        <v>外观设计</v>
      </c>
      <c r="D1822" s="1" t="str">
        <f t="shared" si="890"/>
        <v>授权</v>
      </c>
      <c r="E1822" s="1" t="str">
        <f>"CN202230139254.7"</f>
        <v>CN202230139254.7</v>
      </c>
      <c r="F1822" s="1" t="str">
        <f>"2022-03-17"</f>
        <v>2022-03-17</v>
      </c>
      <c r="G1822" s="1" t="str">
        <f>"CN307369225S"</f>
        <v>CN307369225S</v>
      </c>
      <c r="H1822" s="1" t="str">
        <f>"2022-05-27"</f>
        <v>2022-05-27</v>
      </c>
      <c r="I1822" s="1" t="str">
        <f t="shared" si="900"/>
        <v>金后军</v>
      </c>
      <c r="J1822" s="1" t="str">
        <f t="shared" si="901"/>
        <v>天津市协远汽车部品有限公司</v>
      </c>
    </row>
    <row r="1823" spans="1:10">
      <c r="A1823" s="1" t="str">
        <f t="shared" si="898"/>
        <v>天津市协远汽车部品有限公司</v>
      </c>
      <c r="B1823" s="1" t="str">
        <f>"转动防脱机构和后视镜"</f>
        <v>转动防脱机构和后视镜</v>
      </c>
      <c r="C1823" s="1" t="str">
        <f t="shared" ref="C1823:C1854" si="902">"实用新型"</f>
        <v>实用新型</v>
      </c>
      <c r="D1823" s="1" t="str">
        <f t="shared" si="890"/>
        <v>授权</v>
      </c>
      <c r="E1823" s="1" t="str">
        <f>"CN202022159552.0"</f>
        <v>CN202022159552.0</v>
      </c>
      <c r="F1823" s="1" t="str">
        <f>"2020-09-27"</f>
        <v>2020-09-27</v>
      </c>
      <c r="G1823" s="1" t="str">
        <f>"CN212055461U"</f>
        <v>CN212055461U</v>
      </c>
      <c r="H1823" s="1" t="str">
        <f>"2020-12-01"</f>
        <v>2020-12-01</v>
      </c>
      <c r="I1823" s="1" t="str">
        <f t="shared" si="900"/>
        <v>金后军</v>
      </c>
      <c r="J1823" s="1" t="str">
        <f t="shared" si="901"/>
        <v>天津市协远汽车部品有限公司</v>
      </c>
    </row>
    <row r="1824" spans="1:10">
      <c r="A1824" s="1" t="str">
        <f t="shared" si="898"/>
        <v>天津市协远汽车部品有限公司</v>
      </c>
      <c r="B1824" s="1" t="str">
        <f>"汽车外后视镜"</f>
        <v>汽车外后视镜</v>
      </c>
      <c r="C1824" s="1" t="str">
        <f t="shared" si="899"/>
        <v>外观设计</v>
      </c>
      <c r="D1824" s="1" t="str">
        <f t="shared" si="890"/>
        <v>授权</v>
      </c>
      <c r="E1824" s="1" t="str">
        <f>"CN201930204198.9"</f>
        <v>CN201930204198.9</v>
      </c>
      <c r="F1824" s="1" t="str">
        <f>"2019-04-29"</f>
        <v>2019-04-29</v>
      </c>
      <c r="G1824" s="1" t="str">
        <f>"CN305371718S"</f>
        <v>CN305371718S</v>
      </c>
      <c r="H1824" s="1" t="str">
        <f>"2019-10-01"</f>
        <v>2019-10-01</v>
      </c>
      <c r="I1824" s="1" t="str">
        <f t="shared" si="900"/>
        <v>金后军</v>
      </c>
      <c r="J1824" s="1" t="str">
        <f t="shared" si="901"/>
        <v>天津市协远汽车部品有限公司</v>
      </c>
    </row>
    <row r="1825" spans="1:10">
      <c r="A1825" s="1" t="str">
        <f t="shared" ref="A1825:A1888" si="903">"天津市赛奥美德工贸有限公司"</f>
        <v>天津市赛奥美德工贸有限公司</v>
      </c>
      <c r="B1825" s="1" t="str">
        <f>"一种吹塑模具的辅助夹紧装置"</f>
        <v>一种吹塑模具的辅助夹紧装置</v>
      </c>
      <c r="C1825" s="1" t="str">
        <f t="shared" si="902"/>
        <v>实用新型</v>
      </c>
      <c r="D1825" s="1" t="str">
        <f t="shared" si="890"/>
        <v>授权</v>
      </c>
      <c r="E1825" s="1" t="str">
        <f>"CN202422221383.7"</f>
        <v>CN202422221383.7</v>
      </c>
      <c r="F1825" s="1" t="str">
        <f>"2024-09-10"</f>
        <v>2024-09-10</v>
      </c>
      <c r="G1825" s="1" t="str">
        <f>"CN223000916U"</f>
        <v>CN223000916U</v>
      </c>
      <c r="H1825" s="1" t="str">
        <f>"2025-06-20"</f>
        <v>2025-06-20</v>
      </c>
      <c r="I1825" s="1" t="str">
        <f t="shared" ref="I1825:I1854" si="904">"贾成忠"</f>
        <v>贾成忠</v>
      </c>
      <c r="J1825" s="1" t="str">
        <f t="shared" ref="J1825:J1888" si="905">"天津市赛奥美德工贸有限公司"</f>
        <v>天津市赛奥美德工贸有限公司</v>
      </c>
    </row>
    <row r="1826" spans="1:10">
      <c r="A1826" s="1" t="str">
        <f t="shared" si="903"/>
        <v>天津市赛奥美德工贸有限公司</v>
      </c>
      <c r="B1826" s="1" t="str">
        <f>"一种吹塑模具的防撞装置"</f>
        <v>一种吹塑模具的防撞装置</v>
      </c>
      <c r="C1826" s="1" t="str">
        <f t="shared" si="902"/>
        <v>实用新型</v>
      </c>
      <c r="D1826" s="1" t="str">
        <f t="shared" si="890"/>
        <v>授权</v>
      </c>
      <c r="E1826" s="1" t="str">
        <f>"CN202421758425.4"</f>
        <v>CN202421758425.4</v>
      </c>
      <c r="F1826" s="1" t="str">
        <f>"2024-07-24"</f>
        <v>2024-07-24</v>
      </c>
      <c r="G1826" s="1" t="str">
        <f>"CN222933327U"</f>
        <v>CN222933327U</v>
      </c>
      <c r="H1826" s="1" t="str">
        <f>"2025-06-03"</f>
        <v>2025-06-03</v>
      </c>
      <c r="I1826" s="1" t="str">
        <f t="shared" si="904"/>
        <v>贾成忠</v>
      </c>
      <c r="J1826" s="1" t="str">
        <f t="shared" si="905"/>
        <v>天津市赛奥美德工贸有限公司</v>
      </c>
    </row>
    <row r="1827" spans="1:10">
      <c r="A1827" s="1" t="str">
        <f t="shared" si="903"/>
        <v>天津市赛奥美德工贸有限公司</v>
      </c>
      <c r="B1827" s="1" t="str">
        <f>"一种吹塑模具用调节结构"</f>
        <v>一种吹塑模具用调节结构</v>
      </c>
      <c r="C1827" s="1" t="str">
        <f t="shared" si="902"/>
        <v>实用新型</v>
      </c>
      <c r="D1827" s="1" t="str">
        <f t="shared" si="890"/>
        <v>授权</v>
      </c>
      <c r="E1827" s="1" t="str">
        <f>"CN202322656539.X"</f>
        <v>CN202322656539.X</v>
      </c>
      <c r="F1827" s="1" t="str">
        <f>"2023-09-28"</f>
        <v>2023-09-28</v>
      </c>
      <c r="G1827" s="1" t="str">
        <f>"CN220946629U"</f>
        <v>CN220946629U</v>
      </c>
      <c r="H1827" s="1" t="str">
        <f>"2024-05-14"</f>
        <v>2024-05-14</v>
      </c>
      <c r="I1827" s="1" t="str">
        <f t="shared" si="904"/>
        <v>贾成忠</v>
      </c>
      <c r="J1827" s="1" t="str">
        <f t="shared" si="905"/>
        <v>天津市赛奥美德工贸有限公司</v>
      </c>
    </row>
    <row r="1828" spans="1:10">
      <c r="A1828" s="1" t="str">
        <f t="shared" si="903"/>
        <v>天津市赛奥美德工贸有限公司</v>
      </c>
      <c r="B1828" s="1" t="str">
        <f>"一种碳罐切割用工作台"</f>
        <v>一种碳罐切割用工作台</v>
      </c>
      <c r="C1828" s="1" t="str">
        <f t="shared" si="902"/>
        <v>实用新型</v>
      </c>
      <c r="D1828" s="1" t="str">
        <f t="shared" si="890"/>
        <v>授权</v>
      </c>
      <c r="E1828" s="1" t="str">
        <f>"CN202322618698.0"</f>
        <v>CN202322618698.0</v>
      </c>
      <c r="F1828" s="1" t="str">
        <f>"2023-09-26"</f>
        <v>2023-09-26</v>
      </c>
      <c r="G1828" s="1" t="str">
        <f>"CN220805695U"</f>
        <v>CN220805695U</v>
      </c>
      <c r="H1828" s="1" t="str">
        <f>"2024-04-19"</f>
        <v>2024-04-19</v>
      </c>
      <c r="I1828" s="1" t="str">
        <f t="shared" si="904"/>
        <v>贾成忠</v>
      </c>
      <c r="J1828" s="1" t="str">
        <f t="shared" si="905"/>
        <v>天津市赛奥美德工贸有限公司</v>
      </c>
    </row>
    <row r="1829" spans="1:10">
      <c r="A1829" s="1" t="str">
        <f t="shared" si="903"/>
        <v>天津市赛奥美德工贸有限公司</v>
      </c>
      <c r="B1829" s="1" t="str">
        <f>"一种具有清洁功能的监控器外壳"</f>
        <v>一种具有清洁功能的监控器外壳</v>
      </c>
      <c r="C1829" s="1" t="str">
        <f t="shared" si="902"/>
        <v>实用新型</v>
      </c>
      <c r="D1829" s="1" t="str">
        <f t="shared" si="890"/>
        <v>授权</v>
      </c>
      <c r="E1829" s="1" t="str">
        <f>"CN202322202203.6"</f>
        <v>CN202322202203.6</v>
      </c>
      <c r="F1829" s="1" t="str">
        <f>"2023-08-16"</f>
        <v>2023-08-16</v>
      </c>
      <c r="G1829" s="1" t="str">
        <f>"CN220693239U"</f>
        <v>CN220693239U</v>
      </c>
      <c r="H1829" s="1" t="str">
        <f>"2024-03-29"</f>
        <v>2024-03-29</v>
      </c>
      <c r="I1829" s="1" t="str">
        <f t="shared" si="904"/>
        <v>贾成忠</v>
      </c>
      <c r="J1829" s="1" t="str">
        <f t="shared" si="905"/>
        <v>天津市赛奥美德工贸有限公司</v>
      </c>
    </row>
    <row r="1830" spans="1:10">
      <c r="A1830" s="1" t="str">
        <f t="shared" si="903"/>
        <v>天津市赛奥美德工贸有限公司</v>
      </c>
      <c r="B1830" s="1" t="str">
        <f>"一种吹塑模具用定位装置"</f>
        <v>一种吹塑模具用定位装置</v>
      </c>
      <c r="C1830" s="1" t="str">
        <f t="shared" si="902"/>
        <v>实用新型</v>
      </c>
      <c r="D1830" s="1" t="str">
        <f t="shared" si="890"/>
        <v>授权</v>
      </c>
      <c r="E1830" s="1" t="str">
        <f>"CN202322357876.9"</f>
        <v>CN202322357876.9</v>
      </c>
      <c r="F1830" s="1" t="str">
        <f>"2023-08-31"</f>
        <v>2023-08-31</v>
      </c>
      <c r="G1830" s="1" t="str">
        <f>"CN220661692U"</f>
        <v>CN220661692U</v>
      </c>
      <c r="H1830" s="1" t="str">
        <f>"2024-03-26"</f>
        <v>2024-03-26</v>
      </c>
      <c r="I1830" s="1" t="str">
        <f t="shared" si="904"/>
        <v>贾成忠</v>
      </c>
      <c r="J1830" s="1" t="str">
        <f t="shared" si="905"/>
        <v>天津市赛奥美德工贸有限公司</v>
      </c>
    </row>
    <row r="1831" spans="1:10">
      <c r="A1831" s="1" t="str">
        <f t="shared" si="903"/>
        <v>天津市赛奥美德工贸有限公司</v>
      </c>
      <c r="B1831" s="1" t="str">
        <f>"一种抗摔的血糖仪外壳"</f>
        <v>一种抗摔的血糖仪外壳</v>
      </c>
      <c r="C1831" s="1" t="str">
        <f t="shared" si="902"/>
        <v>实用新型</v>
      </c>
      <c r="D1831" s="1" t="str">
        <f t="shared" si="890"/>
        <v>授权</v>
      </c>
      <c r="E1831" s="1" t="str">
        <f>"CN202321818376.4"</f>
        <v>CN202321818376.4</v>
      </c>
      <c r="F1831" s="1" t="str">
        <f>"2023-07-10"</f>
        <v>2023-07-10</v>
      </c>
      <c r="G1831" s="1" t="str">
        <f>"CN220526592U"</f>
        <v>CN220526592U</v>
      </c>
      <c r="H1831" s="1" t="str">
        <f>"2024-02-23"</f>
        <v>2024-02-23</v>
      </c>
      <c r="I1831" s="1" t="str">
        <f t="shared" si="904"/>
        <v>贾成忠</v>
      </c>
      <c r="J1831" s="1" t="str">
        <f t="shared" si="905"/>
        <v>天津市赛奥美德工贸有限公司</v>
      </c>
    </row>
    <row r="1832" spans="1:10">
      <c r="A1832" s="1" t="str">
        <f t="shared" si="903"/>
        <v>天津市赛奥美德工贸有限公司</v>
      </c>
      <c r="B1832" s="1" t="str">
        <f>"一种吹塑模具封口结构"</f>
        <v>一种吹塑模具封口结构</v>
      </c>
      <c r="C1832" s="1" t="str">
        <f t="shared" si="902"/>
        <v>实用新型</v>
      </c>
      <c r="D1832" s="1" t="str">
        <f t="shared" si="890"/>
        <v>授权</v>
      </c>
      <c r="E1832" s="1" t="str">
        <f>"CN202321852434.5"</f>
        <v>CN202321852434.5</v>
      </c>
      <c r="F1832" s="1" t="str">
        <f>"2023-07-14"</f>
        <v>2023-07-14</v>
      </c>
      <c r="G1832" s="1" t="str">
        <f>"CN220517519U"</f>
        <v>CN220517519U</v>
      </c>
      <c r="H1832" s="1" t="str">
        <f>"2024-02-23"</f>
        <v>2024-02-23</v>
      </c>
      <c r="I1832" s="1" t="str">
        <f t="shared" si="904"/>
        <v>贾成忠</v>
      </c>
      <c r="J1832" s="1" t="str">
        <f t="shared" si="905"/>
        <v>天津市赛奥美德工贸有限公司</v>
      </c>
    </row>
    <row r="1833" spans="1:10">
      <c r="A1833" s="1" t="str">
        <f t="shared" si="903"/>
        <v>天津市赛奥美德工贸有限公司</v>
      </c>
      <c r="B1833" s="1" t="str">
        <f>"一种用于监控外壳的防雨结构"</f>
        <v>一种用于监控外壳的防雨结构</v>
      </c>
      <c r="C1833" s="1" t="str">
        <f t="shared" si="902"/>
        <v>实用新型</v>
      </c>
      <c r="D1833" s="1" t="str">
        <f t="shared" si="890"/>
        <v>授权</v>
      </c>
      <c r="E1833" s="1" t="str">
        <f>"CN202321700032.3"</f>
        <v>CN202321700032.3</v>
      </c>
      <c r="F1833" s="1" t="str">
        <f>"2023-06-30"</f>
        <v>2023-06-30</v>
      </c>
      <c r="G1833" s="1" t="str">
        <f>"CN220156593U"</f>
        <v>CN220156593U</v>
      </c>
      <c r="H1833" s="1" t="str">
        <f>"2023-12-08"</f>
        <v>2023-12-08</v>
      </c>
      <c r="I1833" s="1" t="str">
        <f t="shared" si="904"/>
        <v>贾成忠</v>
      </c>
      <c r="J1833" s="1" t="str">
        <f t="shared" si="905"/>
        <v>天津市赛奥美德工贸有限公司</v>
      </c>
    </row>
    <row r="1834" spans="1:10">
      <c r="A1834" s="1" t="str">
        <f t="shared" si="903"/>
        <v>天津市赛奥美德工贸有限公司</v>
      </c>
      <c r="B1834" s="1" t="str">
        <f>"一种便于产品脱模的可靠型吹塑模具"</f>
        <v>一种便于产品脱模的可靠型吹塑模具</v>
      </c>
      <c r="C1834" s="1" t="str">
        <f t="shared" si="902"/>
        <v>实用新型</v>
      </c>
      <c r="D1834" s="1" t="str">
        <f t="shared" si="890"/>
        <v>授权</v>
      </c>
      <c r="E1834" s="1" t="str">
        <f>"CN202221169474.5"</f>
        <v>CN202221169474.5</v>
      </c>
      <c r="F1834" s="1" t="str">
        <f>"2022-05-16"</f>
        <v>2022-05-16</v>
      </c>
      <c r="G1834" s="1" t="str">
        <f>"CN217729628U"</f>
        <v>CN217729628U</v>
      </c>
      <c r="H1834" s="1" t="str">
        <f>"2022-11-04"</f>
        <v>2022-11-04</v>
      </c>
      <c r="I1834" s="1" t="str">
        <f t="shared" si="904"/>
        <v>贾成忠</v>
      </c>
      <c r="J1834" s="1" t="str">
        <f t="shared" si="905"/>
        <v>天津市赛奥美德工贸有限公司</v>
      </c>
    </row>
    <row r="1835" spans="1:10">
      <c r="A1835" s="1" t="str">
        <f t="shared" si="903"/>
        <v>天津市赛奥美德工贸有限公司</v>
      </c>
      <c r="B1835" s="1" t="str">
        <f>"一种具有高效更换拆装结构的吹塑模具"</f>
        <v>一种具有高效更换拆装结构的吹塑模具</v>
      </c>
      <c r="C1835" s="1" t="str">
        <f t="shared" si="902"/>
        <v>实用新型</v>
      </c>
      <c r="D1835" s="1" t="str">
        <f t="shared" si="890"/>
        <v>授权</v>
      </c>
      <c r="E1835" s="1" t="str">
        <f>"CN202221351089.2"</f>
        <v>CN202221351089.2</v>
      </c>
      <c r="F1835" s="1" t="str">
        <f>"2022-05-31"</f>
        <v>2022-05-31</v>
      </c>
      <c r="G1835" s="1" t="str">
        <f>"CN217729626U"</f>
        <v>CN217729626U</v>
      </c>
      <c r="H1835" s="1" t="str">
        <f>"2022-11-04"</f>
        <v>2022-11-04</v>
      </c>
      <c r="I1835" s="1" t="str">
        <f t="shared" si="904"/>
        <v>贾成忠</v>
      </c>
      <c r="J1835" s="1" t="str">
        <f t="shared" si="905"/>
        <v>天津市赛奥美德工贸有限公司</v>
      </c>
    </row>
    <row r="1836" spans="1:10">
      <c r="A1836" s="1" t="str">
        <f t="shared" si="903"/>
        <v>天津市赛奥美德工贸有限公司</v>
      </c>
      <c r="B1836" s="1" t="str">
        <f>"一种具有防护加强结构的汽车总成"</f>
        <v>一种具有防护加强结构的汽车总成</v>
      </c>
      <c r="C1836" s="1" t="str">
        <f t="shared" si="902"/>
        <v>实用新型</v>
      </c>
      <c r="D1836" s="1" t="str">
        <f t="shared" si="890"/>
        <v>授权</v>
      </c>
      <c r="E1836" s="1" t="str">
        <f>"CN202221533646.2"</f>
        <v>CN202221533646.2</v>
      </c>
      <c r="F1836" s="1" t="str">
        <f>"2022-06-15"</f>
        <v>2022-06-15</v>
      </c>
      <c r="G1836" s="1" t="str">
        <f>"CN217598501U"</f>
        <v>CN217598501U</v>
      </c>
      <c r="H1836" s="1" t="str">
        <f>"2022-10-18"</f>
        <v>2022-10-18</v>
      </c>
      <c r="I1836" s="1" t="str">
        <f t="shared" si="904"/>
        <v>贾成忠</v>
      </c>
      <c r="J1836" s="1" t="str">
        <f t="shared" si="905"/>
        <v>天津市赛奥美德工贸有限公司</v>
      </c>
    </row>
    <row r="1837" spans="1:10">
      <c r="A1837" s="1" t="str">
        <f t="shared" si="903"/>
        <v>天津市赛奥美德工贸有限公司</v>
      </c>
      <c r="B1837" s="1" t="str">
        <f>"一种具有便于拆装清洗防护网的汽车冷凝器"</f>
        <v>一种具有便于拆装清洗防护网的汽车冷凝器</v>
      </c>
      <c r="C1837" s="1" t="str">
        <f t="shared" si="902"/>
        <v>实用新型</v>
      </c>
      <c r="D1837" s="1" t="str">
        <f t="shared" si="890"/>
        <v>授权</v>
      </c>
      <c r="E1837" s="1" t="str">
        <f>"CN202221344929.2"</f>
        <v>CN202221344929.2</v>
      </c>
      <c r="F1837" s="1" t="str">
        <f>"2022-05-31"</f>
        <v>2022-05-31</v>
      </c>
      <c r="G1837" s="1" t="str">
        <f>"CN217477037U"</f>
        <v>CN217477037U</v>
      </c>
      <c r="H1837" s="1" t="str">
        <f>"2022-09-23"</f>
        <v>2022-09-23</v>
      </c>
      <c r="I1837" s="1" t="str">
        <f t="shared" si="904"/>
        <v>贾成忠</v>
      </c>
      <c r="J1837" s="1" t="str">
        <f t="shared" si="905"/>
        <v>天津市赛奥美德工贸有限公司</v>
      </c>
    </row>
    <row r="1838" spans="1:10">
      <c r="A1838" s="1" t="str">
        <f t="shared" si="903"/>
        <v>天津市赛奥美德工贸有限公司</v>
      </c>
      <c r="B1838" s="1" t="str">
        <f>"一种新型多功能血糖仪外壳"</f>
        <v>一种新型多功能血糖仪外壳</v>
      </c>
      <c r="C1838" s="1" t="str">
        <f t="shared" si="902"/>
        <v>实用新型</v>
      </c>
      <c r="D1838" s="1" t="str">
        <f t="shared" si="890"/>
        <v>授权</v>
      </c>
      <c r="E1838" s="1" t="str">
        <f>"CN202221153492.4"</f>
        <v>CN202221153492.4</v>
      </c>
      <c r="F1838" s="1" t="str">
        <f>"2022-05-13"</f>
        <v>2022-05-13</v>
      </c>
      <c r="G1838" s="1" t="str">
        <f>"CN217471948U"</f>
        <v>CN217471948U</v>
      </c>
      <c r="H1838" s="1" t="str">
        <f>"2022-09-23"</f>
        <v>2022-09-23</v>
      </c>
      <c r="I1838" s="1" t="str">
        <f t="shared" si="904"/>
        <v>贾成忠</v>
      </c>
      <c r="J1838" s="1" t="str">
        <f t="shared" si="905"/>
        <v>天津市赛奥美德工贸有限公司</v>
      </c>
    </row>
    <row r="1839" spans="1:10">
      <c r="A1839" s="1" t="str">
        <f t="shared" si="903"/>
        <v>天津市赛奥美德工贸有限公司</v>
      </c>
      <c r="B1839" s="1" t="str">
        <f>"一种带有引水口的防进水碳罐外壳"</f>
        <v>一种带有引水口的防进水碳罐外壳</v>
      </c>
      <c r="C1839" s="1" t="str">
        <f t="shared" si="902"/>
        <v>实用新型</v>
      </c>
      <c r="D1839" s="1" t="str">
        <f t="shared" si="890"/>
        <v>授权</v>
      </c>
      <c r="E1839" s="1" t="str">
        <f>"CN202122229468.6"</f>
        <v>CN202122229468.6</v>
      </c>
      <c r="F1839" s="1" t="str">
        <f>"2021-09-15"</f>
        <v>2021-09-15</v>
      </c>
      <c r="G1839" s="1" t="str">
        <f>"CN215804864U"</f>
        <v>CN215804864U</v>
      </c>
      <c r="H1839" s="1" t="str">
        <f>"2022-02-11"</f>
        <v>2022-02-11</v>
      </c>
      <c r="I1839" s="1" t="str">
        <f t="shared" si="904"/>
        <v>贾成忠</v>
      </c>
      <c r="J1839" s="1" t="str">
        <f t="shared" si="905"/>
        <v>天津市赛奥美德工贸有限公司</v>
      </c>
    </row>
    <row r="1840" spans="1:10">
      <c r="A1840" s="1" t="str">
        <f t="shared" si="903"/>
        <v>天津市赛奥美德工贸有限公司</v>
      </c>
      <c r="B1840" s="1" t="str">
        <f>"一种带有防水夹层的全景球外壳"</f>
        <v>一种带有防水夹层的全景球外壳</v>
      </c>
      <c r="C1840" s="1" t="str">
        <f t="shared" si="902"/>
        <v>实用新型</v>
      </c>
      <c r="D1840" s="1" t="str">
        <f t="shared" si="890"/>
        <v>授权</v>
      </c>
      <c r="E1840" s="1" t="str">
        <f>"CN202121116411.9"</f>
        <v>CN202121116411.9</v>
      </c>
      <c r="F1840" s="1" t="str">
        <f>"2021-05-24"</f>
        <v>2021-05-24</v>
      </c>
      <c r="G1840" s="1" t="str">
        <f>"CN215581341U"</f>
        <v>CN215581341U</v>
      </c>
      <c r="H1840" s="1" t="str">
        <f t="shared" ref="H1840:H1842" si="906">"2022-01-18"</f>
        <v>2022-01-18</v>
      </c>
      <c r="I1840" s="1" t="str">
        <f t="shared" si="904"/>
        <v>贾成忠</v>
      </c>
      <c r="J1840" s="1" t="str">
        <f t="shared" si="905"/>
        <v>天津市赛奥美德工贸有限公司</v>
      </c>
    </row>
    <row r="1841" spans="1:10">
      <c r="A1841" s="1" t="str">
        <f t="shared" si="903"/>
        <v>天津市赛奥美德工贸有限公司</v>
      </c>
      <c r="B1841" s="1" t="str">
        <f>"一种具有遮雨板的摄像头防潮外壳"</f>
        <v>一种具有遮雨板的摄像头防潮外壳</v>
      </c>
      <c r="C1841" s="1" t="str">
        <f t="shared" si="902"/>
        <v>实用新型</v>
      </c>
      <c r="D1841" s="1" t="str">
        <f t="shared" si="890"/>
        <v>授权</v>
      </c>
      <c r="E1841" s="1" t="str">
        <f>"CN202121116412.3"</f>
        <v>CN202121116412.3</v>
      </c>
      <c r="F1841" s="1" t="str">
        <f>"2021-05-24"</f>
        <v>2021-05-24</v>
      </c>
      <c r="G1841" s="1" t="str">
        <f>"CN215581342U"</f>
        <v>CN215581342U</v>
      </c>
      <c r="H1841" s="1" t="str">
        <f t="shared" si="906"/>
        <v>2022-01-18</v>
      </c>
      <c r="I1841" s="1" t="str">
        <f t="shared" si="904"/>
        <v>贾成忠</v>
      </c>
      <c r="J1841" s="1" t="str">
        <f t="shared" si="905"/>
        <v>天津市赛奥美德工贸有限公司</v>
      </c>
    </row>
    <row r="1842" spans="1:10">
      <c r="A1842" s="1" t="str">
        <f t="shared" si="903"/>
        <v>天津市赛奥美德工贸有限公司</v>
      </c>
      <c r="B1842" s="1" t="str">
        <f>"一种多级防灰尘的后吹头导风壳体"</f>
        <v>一种多级防灰尘的后吹头导风壳体</v>
      </c>
      <c r="C1842" s="1" t="str">
        <f t="shared" si="902"/>
        <v>实用新型</v>
      </c>
      <c r="D1842" s="1" t="str">
        <f t="shared" si="890"/>
        <v>授权</v>
      </c>
      <c r="E1842" s="1" t="str">
        <f>"CN202121057178.1"</f>
        <v>CN202121057178.1</v>
      </c>
      <c r="F1842" s="1" t="str">
        <f>"2021-05-18"</f>
        <v>2021-05-18</v>
      </c>
      <c r="G1842" s="1" t="str">
        <f>"CN215552422U"</f>
        <v>CN215552422U</v>
      </c>
      <c r="H1842" s="1" t="str">
        <f t="shared" si="906"/>
        <v>2022-01-18</v>
      </c>
      <c r="I1842" s="1" t="str">
        <f t="shared" si="904"/>
        <v>贾成忠</v>
      </c>
      <c r="J1842" s="1" t="str">
        <f t="shared" si="905"/>
        <v>天津市赛奥美德工贸有限公司</v>
      </c>
    </row>
    <row r="1843" spans="1:10">
      <c r="A1843" s="1" t="str">
        <f t="shared" si="903"/>
        <v>天津市赛奥美德工贸有限公司</v>
      </c>
      <c r="B1843" s="1" t="str">
        <f>"一种具有冷却效果的自除臭碳罐"</f>
        <v>一种具有冷却效果的自除臭碳罐</v>
      </c>
      <c r="C1843" s="1" t="str">
        <f t="shared" si="902"/>
        <v>实用新型</v>
      </c>
      <c r="D1843" s="1" t="str">
        <f t="shared" si="890"/>
        <v>授权</v>
      </c>
      <c r="E1843" s="1" t="str">
        <f>"CN202121194335.3"</f>
        <v>CN202121194335.3</v>
      </c>
      <c r="F1843" s="1" t="str">
        <f t="shared" ref="F1843:F1845" si="907">"2021-05-31"</f>
        <v>2021-05-31</v>
      </c>
      <c r="G1843" s="1" t="str">
        <f>"CN215099421U"</f>
        <v>CN215099421U</v>
      </c>
      <c r="H1843" s="1" t="str">
        <f>"2021-12-10"</f>
        <v>2021-12-10</v>
      </c>
      <c r="I1843" s="1" t="str">
        <f t="shared" si="904"/>
        <v>贾成忠</v>
      </c>
      <c r="J1843" s="1" t="str">
        <f t="shared" si="905"/>
        <v>天津市赛奥美德工贸有限公司</v>
      </c>
    </row>
    <row r="1844" spans="1:10">
      <c r="A1844" s="1" t="str">
        <f t="shared" si="903"/>
        <v>天津市赛奥美德工贸有限公司</v>
      </c>
      <c r="B1844" s="1" t="str">
        <f>"一种格栅散热的全景球后盖"</f>
        <v>一种格栅散热的全景球后盖</v>
      </c>
      <c r="C1844" s="1" t="str">
        <f t="shared" si="902"/>
        <v>实用新型</v>
      </c>
      <c r="D1844" s="1" t="str">
        <f t="shared" si="890"/>
        <v>授权</v>
      </c>
      <c r="E1844" s="1" t="str">
        <f>"CN202121194349.5"</f>
        <v>CN202121194349.5</v>
      </c>
      <c r="F1844" s="1" t="str">
        <f t="shared" si="907"/>
        <v>2021-05-31</v>
      </c>
      <c r="G1844" s="1" t="str">
        <f>"CN214896172U"</f>
        <v>CN214896172U</v>
      </c>
      <c r="H1844" s="1" t="str">
        <f>"2021-11-26"</f>
        <v>2021-11-26</v>
      </c>
      <c r="I1844" s="1" t="str">
        <f t="shared" si="904"/>
        <v>贾成忠</v>
      </c>
      <c r="J1844" s="1" t="str">
        <f t="shared" si="905"/>
        <v>天津市赛奥美德工贸有限公司</v>
      </c>
    </row>
    <row r="1845" spans="1:10">
      <c r="A1845" s="1" t="str">
        <f t="shared" si="903"/>
        <v>天津市赛奥美德工贸有限公司</v>
      </c>
      <c r="B1845" s="1" t="str">
        <f>"一种具有推钮的插接式摄像头机箱面板"</f>
        <v>一种具有推钮的插接式摄像头机箱面板</v>
      </c>
      <c r="C1845" s="1" t="str">
        <f t="shared" si="902"/>
        <v>实用新型</v>
      </c>
      <c r="D1845" s="1" t="str">
        <f t="shared" si="890"/>
        <v>授权</v>
      </c>
      <c r="E1845" s="1" t="str">
        <f>"CN202121197147.6"</f>
        <v>CN202121197147.6</v>
      </c>
      <c r="F1845" s="1" t="str">
        <f t="shared" si="907"/>
        <v>2021-05-31</v>
      </c>
      <c r="G1845" s="1" t="str">
        <f>"CN214901105U"</f>
        <v>CN214901105U</v>
      </c>
      <c r="H1845" s="1" t="str">
        <f>"2021-11-26"</f>
        <v>2021-11-26</v>
      </c>
      <c r="I1845" s="1" t="str">
        <f t="shared" si="904"/>
        <v>贾成忠</v>
      </c>
      <c r="J1845" s="1" t="str">
        <f t="shared" si="905"/>
        <v>天津市赛奥美德工贸有限公司</v>
      </c>
    </row>
    <row r="1846" spans="1:10">
      <c r="A1846" s="1" t="str">
        <f t="shared" si="903"/>
        <v>天津市赛奥美德工贸有限公司</v>
      </c>
      <c r="B1846" s="1" t="str">
        <f>"一种摄像机固定架用安装结构"</f>
        <v>一种摄像机固定架用安装结构</v>
      </c>
      <c r="C1846" s="1" t="str">
        <f t="shared" si="902"/>
        <v>实用新型</v>
      </c>
      <c r="D1846" s="1" t="str">
        <f t="shared" si="890"/>
        <v>授权</v>
      </c>
      <c r="E1846" s="1" t="str">
        <f>"CN202021306490.5"</f>
        <v>CN202021306490.5</v>
      </c>
      <c r="F1846" s="1" t="str">
        <f t="shared" ref="F1846:F1849" si="908">"2020-07-06"</f>
        <v>2020-07-06</v>
      </c>
      <c r="G1846" s="1" t="str">
        <f>"CN213541703U"</f>
        <v>CN213541703U</v>
      </c>
      <c r="H1846" s="1" t="str">
        <f>"2021-06-25"</f>
        <v>2021-06-25</v>
      </c>
      <c r="I1846" s="1" t="str">
        <f t="shared" si="904"/>
        <v>贾成忠</v>
      </c>
      <c r="J1846" s="1" t="str">
        <f t="shared" si="905"/>
        <v>天津市赛奥美德工贸有限公司</v>
      </c>
    </row>
    <row r="1847" spans="1:10">
      <c r="A1847" s="1" t="str">
        <f t="shared" si="903"/>
        <v>天津市赛奥美德工贸有限公司</v>
      </c>
      <c r="B1847" s="1" t="str">
        <f>"一种带有减震效果的汽车碳罐安装支架"</f>
        <v>一种带有减震效果的汽车碳罐安装支架</v>
      </c>
      <c r="C1847" s="1" t="str">
        <f t="shared" si="902"/>
        <v>实用新型</v>
      </c>
      <c r="D1847" s="1" t="str">
        <f t="shared" si="890"/>
        <v>授权</v>
      </c>
      <c r="E1847" s="1" t="str">
        <f>"CN202021401838.9"</f>
        <v>CN202021401838.9</v>
      </c>
      <c r="F1847" s="1" t="str">
        <f>"2020-07-16"</f>
        <v>2020-07-16</v>
      </c>
      <c r="G1847" s="1" t="str">
        <f>"CN213540589U"</f>
        <v>CN213540589U</v>
      </c>
      <c r="H1847" s="1" t="str">
        <f>"2021-06-25"</f>
        <v>2021-06-25</v>
      </c>
      <c r="I1847" s="1" t="str">
        <f t="shared" si="904"/>
        <v>贾成忠</v>
      </c>
      <c r="J1847" s="1" t="str">
        <f t="shared" si="905"/>
        <v>天津市赛奥美德工贸有限公司</v>
      </c>
    </row>
    <row r="1848" spans="1:10">
      <c r="A1848" s="1" t="str">
        <f t="shared" si="903"/>
        <v>天津市赛奥美德工贸有限公司</v>
      </c>
      <c r="B1848" s="1" t="str">
        <f>"一种汽车碳罐安装用定位机构"</f>
        <v>一种汽车碳罐安装用定位机构</v>
      </c>
      <c r="C1848" s="1" t="str">
        <f t="shared" si="902"/>
        <v>实用新型</v>
      </c>
      <c r="D1848" s="1" t="str">
        <f t="shared" si="890"/>
        <v>授权</v>
      </c>
      <c r="E1848" s="1" t="str">
        <f>"CN202021302696.0"</f>
        <v>CN202021302696.0</v>
      </c>
      <c r="F1848" s="1" t="str">
        <f t="shared" si="908"/>
        <v>2020-07-06</v>
      </c>
      <c r="G1848" s="1" t="str">
        <f>"CN213063786U"</f>
        <v>CN213063786U</v>
      </c>
      <c r="H1848" s="1" t="str">
        <f>"2021-04-27"</f>
        <v>2021-04-27</v>
      </c>
      <c r="I1848" s="1" t="str">
        <f t="shared" si="904"/>
        <v>贾成忠</v>
      </c>
      <c r="J1848" s="1" t="str">
        <f t="shared" si="905"/>
        <v>天津市赛奥美德工贸有限公司</v>
      </c>
    </row>
    <row r="1849" spans="1:10">
      <c r="A1849" s="1" t="str">
        <f t="shared" si="903"/>
        <v>天津市赛奥美德工贸有限公司</v>
      </c>
      <c r="B1849" s="1" t="str">
        <f>"汽车碳罐用燃油滤清装置"</f>
        <v>汽车碳罐用燃油滤清装置</v>
      </c>
      <c r="C1849" s="1" t="str">
        <f t="shared" si="902"/>
        <v>实用新型</v>
      </c>
      <c r="D1849" s="1" t="str">
        <f t="shared" si="890"/>
        <v>授权</v>
      </c>
      <c r="E1849" s="1" t="str">
        <f>"CN202021308531.4"</f>
        <v>CN202021308531.4</v>
      </c>
      <c r="F1849" s="1" t="str">
        <f t="shared" si="908"/>
        <v>2020-07-06</v>
      </c>
      <c r="G1849" s="1" t="str">
        <f>"CN213063787U"</f>
        <v>CN213063787U</v>
      </c>
      <c r="H1849" s="1" t="str">
        <f>"2021-04-27"</f>
        <v>2021-04-27</v>
      </c>
      <c r="I1849" s="1" t="str">
        <f t="shared" si="904"/>
        <v>贾成忠</v>
      </c>
      <c r="J1849" s="1" t="str">
        <f t="shared" si="905"/>
        <v>天津市赛奥美德工贸有限公司</v>
      </c>
    </row>
    <row r="1850" spans="1:10">
      <c r="A1850" s="1" t="str">
        <f t="shared" si="903"/>
        <v>天津市赛奥美德工贸有限公司</v>
      </c>
      <c r="B1850" s="1" t="str">
        <f>"一种汽车碳罐用隔热装置"</f>
        <v>一种汽车碳罐用隔热装置</v>
      </c>
      <c r="C1850" s="1" t="str">
        <f t="shared" si="902"/>
        <v>实用新型</v>
      </c>
      <c r="D1850" s="1" t="str">
        <f t="shared" si="890"/>
        <v>授权</v>
      </c>
      <c r="E1850" s="1" t="str">
        <f>"CN202021604747.5"</f>
        <v>CN202021604747.5</v>
      </c>
      <c r="F1850" s="1" t="str">
        <f>"2020-08-05"</f>
        <v>2020-08-05</v>
      </c>
      <c r="G1850" s="1" t="str">
        <f>"CN213039375U"</f>
        <v>CN213039375U</v>
      </c>
      <c r="H1850" s="1" t="str">
        <f>"2021-04-23"</f>
        <v>2021-04-23</v>
      </c>
      <c r="I1850" s="1" t="str">
        <f t="shared" si="904"/>
        <v>贾成忠</v>
      </c>
      <c r="J1850" s="1" t="str">
        <f t="shared" si="905"/>
        <v>天津市赛奥美德工贸有限公司</v>
      </c>
    </row>
    <row r="1851" spans="1:10">
      <c r="A1851" s="1" t="str">
        <f t="shared" si="903"/>
        <v>天津市赛奥美德工贸有限公司</v>
      </c>
      <c r="B1851" s="1" t="str">
        <f>"一种汽车碳罐的活性炭更换装置"</f>
        <v>一种汽车碳罐的活性炭更换装置</v>
      </c>
      <c r="C1851" s="1" t="str">
        <f t="shared" si="902"/>
        <v>实用新型</v>
      </c>
      <c r="D1851" s="1" t="str">
        <f t="shared" si="890"/>
        <v>授权</v>
      </c>
      <c r="E1851" s="1" t="str">
        <f>"CN202021349752.6"</f>
        <v>CN202021349752.6</v>
      </c>
      <c r="F1851" s="1" t="str">
        <f>"2020-07-10"</f>
        <v>2020-07-10</v>
      </c>
      <c r="G1851" s="1" t="str">
        <f>"CN212803419U"</f>
        <v>CN212803419U</v>
      </c>
      <c r="H1851" s="1" t="str">
        <f>"2021-03-26"</f>
        <v>2021-03-26</v>
      </c>
      <c r="I1851" s="1" t="str">
        <f t="shared" si="904"/>
        <v>贾成忠</v>
      </c>
      <c r="J1851" s="1" t="str">
        <f t="shared" si="905"/>
        <v>天津市赛奥美德工贸有限公司</v>
      </c>
    </row>
    <row r="1852" spans="1:10">
      <c r="A1852" s="1" t="str">
        <f t="shared" si="903"/>
        <v>天津市赛奥美德工贸有限公司</v>
      </c>
      <c r="B1852" s="1" t="str">
        <f>"摄像头壳体的防护结构"</f>
        <v>摄像头壳体的防护结构</v>
      </c>
      <c r="C1852" s="1" t="str">
        <f t="shared" si="902"/>
        <v>实用新型</v>
      </c>
      <c r="D1852" s="1" t="str">
        <f t="shared" si="890"/>
        <v>授权</v>
      </c>
      <c r="E1852" s="1" t="str">
        <f>"CN202021508035.3"</f>
        <v>CN202021508035.3</v>
      </c>
      <c r="F1852" s="1" t="str">
        <f>"2020-07-27"</f>
        <v>2020-07-27</v>
      </c>
      <c r="G1852" s="1" t="str">
        <f>"CN212519155U"</f>
        <v>CN212519155U</v>
      </c>
      <c r="H1852" s="1" t="str">
        <f t="shared" ref="H1852:H1854" si="909">"2021-02-09"</f>
        <v>2021-02-09</v>
      </c>
      <c r="I1852" s="1" t="str">
        <f t="shared" si="904"/>
        <v>贾成忠</v>
      </c>
      <c r="J1852" s="1" t="str">
        <f t="shared" si="905"/>
        <v>天津市赛奥美德工贸有限公司</v>
      </c>
    </row>
    <row r="1853" spans="1:10">
      <c r="A1853" s="1" t="str">
        <f t="shared" si="903"/>
        <v>天津市赛奥美德工贸有限公司</v>
      </c>
      <c r="B1853" s="1" t="str">
        <f>"多重紧固功能的摄像头安装底座"</f>
        <v>多重紧固功能的摄像头安装底座</v>
      </c>
      <c r="C1853" s="1" t="str">
        <f t="shared" si="902"/>
        <v>实用新型</v>
      </c>
      <c r="D1853" s="1" t="str">
        <f t="shared" si="890"/>
        <v>授权</v>
      </c>
      <c r="E1853" s="1" t="str">
        <f>"CN202021359485.0"</f>
        <v>CN202021359485.0</v>
      </c>
      <c r="F1853" s="1" t="str">
        <f>"2020-07-10"</f>
        <v>2020-07-10</v>
      </c>
      <c r="G1853" s="1" t="str">
        <f>"CN212519145U"</f>
        <v>CN212519145U</v>
      </c>
      <c r="H1853" s="1" t="str">
        <f t="shared" si="909"/>
        <v>2021-02-09</v>
      </c>
      <c r="I1853" s="1" t="str">
        <f t="shared" si="904"/>
        <v>贾成忠</v>
      </c>
      <c r="J1853" s="1" t="str">
        <f t="shared" si="905"/>
        <v>天津市赛奥美德工贸有限公司</v>
      </c>
    </row>
    <row r="1854" spans="1:10">
      <c r="A1854" s="1" t="str">
        <f t="shared" si="903"/>
        <v>天津市赛奥美德工贸有限公司</v>
      </c>
      <c r="B1854" s="1" t="str">
        <f>"具有定位功能的摄像头安装用外壳"</f>
        <v>具有定位功能的摄像头安装用外壳</v>
      </c>
      <c r="C1854" s="1" t="str">
        <f t="shared" si="902"/>
        <v>实用新型</v>
      </c>
      <c r="D1854" s="1" t="str">
        <f t="shared" si="890"/>
        <v>授权</v>
      </c>
      <c r="E1854" s="1" t="str">
        <f>"CN202021506706.2"</f>
        <v>CN202021506706.2</v>
      </c>
      <c r="F1854" s="1" t="str">
        <f>"2020-07-27"</f>
        <v>2020-07-27</v>
      </c>
      <c r="G1854" s="1" t="str">
        <f>"CN212519153U"</f>
        <v>CN212519153U</v>
      </c>
      <c r="H1854" s="1" t="str">
        <f t="shared" si="909"/>
        <v>2021-02-09</v>
      </c>
      <c r="I1854" s="1" t="str">
        <f t="shared" si="904"/>
        <v>贾成忠</v>
      </c>
      <c r="J1854" s="1" t="str">
        <f t="shared" si="905"/>
        <v>天津市赛奥美德工贸有限公司</v>
      </c>
    </row>
    <row r="1855" spans="1:10">
      <c r="A1855" s="1" t="str">
        <f t="shared" si="903"/>
        <v>天津市赛奥美德工贸有限公司</v>
      </c>
      <c r="B1855" s="1" t="str">
        <f>"一种汽车过滤油箱油气用进气孔结构"</f>
        <v>一种汽车过滤油箱油气用进气孔结构</v>
      </c>
      <c r="C1855" s="1" t="str">
        <f>"发明公布"</f>
        <v>发明公布</v>
      </c>
      <c r="D1855" s="1" t="str">
        <f>"公布视为撤回"</f>
        <v>公布视为撤回</v>
      </c>
      <c r="E1855" s="1" t="str">
        <f>"CN201910513348.3"</f>
        <v>CN201910513348.3</v>
      </c>
      <c r="F1855" s="1" t="str">
        <f t="shared" ref="F1855:F1860" si="910">"2019-06-14"</f>
        <v>2019-06-14</v>
      </c>
      <c r="G1855" s="1" t="str">
        <f>"CN112081695A"</f>
        <v>CN112081695A</v>
      </c>
      <c r="H1855" s="1" t="str">
        <f>"2020-12-15"</f>
        <v>2020-12-15</v>
      </c>
      <c r="I1855" s="1" t="s">
        <v>5044</v>
      </c>
      <c r="J1855" s="1" t="str">
        <f t="shared" si="905"/>
        <v>天津市赛奥美德工贸有限公司</v>
      </c>
    </row>
    <row r="1856" spans="1:10">
      <c r="A1856" s="1" t="str">
        <f t="shared" si="903"/>
        <v>天津市赛奥美德工贸有限公司</v>
      </c>
      <c r="B1856" s="1" t="str">
        <f>"一种汽车空调线束"</f>
        <v>一种汽车空调线束</v>
      </c>
      <c r="C1856" s="1" t="str">
        <f t="shared" ref="C1856:C1864" si="911">"实用新型"</f>
        <v>实用新型</v>
      </c>
      <c r="D1856" s="1" t="str">
        <f t="shared" ref="D1856:D1864" si="912">"未缴年费专利权终止"</f>
        <v>未缴年费专利权终止</v>
      </c>
      <c r="E1856" s="1" t="str">
        <f>"CN201920976311.X"</f>
        <v>CN201920976311.X</v>
      </c>
      <c r="F1856" s="1" t="str">
        <f t="shared" ref="F1856:F1858" si="913">"2019-06-25"</f>
        <v>2019-06-25</v>
      </c>
      <c r="G1856" s="1" t="str">
        <f>"CN211222953U"</f>
        <v>CN211222953U</v>
      </c>
      <c r="H1856" s="1" t="str">
        <f>"2020-08-11"</f>
        <v>2020-08-11</v>
      </c>
      <c r="I1856" s="1" t="s">
        <v>5044</v>
      </c>
      <c r="J1856" s="1" t="str">
        <f t="shared" si="905"/>
        <v>天津市赛奥美德工贸有限公司</v>
      </c>
    </row>
    <row r="1857" spans="1:10">
      <c r="A1857" s="1" t="str">
        <f t="shared" si="903"/>
        <v>天津市赛奥美德工贸有限公司</v>
      </c>
      <c r="B1857" s="1" t="str">
        <f>"一种便于安装固定的血压计外壳"</f>
        <v>一种便于安装固定的血压计外壳</v>
      </c>
      <c r="C1857" s="1" t="str">
        <f t="shared" si="911"/>
        <v>实用新型</v>
      </c>
      <c r="D1857" s="1" t="str">
        <f t="shared" si="912"/>
        <v>未缴年费专利权终止</v>
      </c>
      <c r="E1857" s="1" t="str">
        <f>"CN201920976188.1"</f>
        <v>CN201920976188.1</v>
      </c>
      <c r="F1857" s="1" t="str">
        <f t="shared" si="913"/>
        <v>2019-06-25</v>
      </c>
      <c r="G1857" s="1" t="str">
        <f>"CN211213120U"</f>
        <v>CN211213120U</v>
      </c>
      <c r="H1857" s="1" t="str">
        <f>"2020-08-11"</f>
        <v>2020-08-11</v>
      </c>
      <c r="I1857" s="1" t="s">
        <v>5044</v>
      </c>
      <c r="J1857" s="1" t="str">
        <f t="shared" si="905"/>
        <v>天津市赛奥美德工贸有限公司</v>
      </c>
    </row>
    <row r="1858" spans="1:10">
      <c r="A1858" s="1" t="str">
        <f t="shared" si="903"/>
        <v>天津市赛奥美德工贸有限公司</v>
      </c>
      <c r="B1858" s="1" t="str">
        <f>"一种血压计的液晶架结构"</f>
        <v>一种血压计的液晶架结构</v>
      </c>
      <c r="C1858" s="1" t="str">
        <f t="shared" si="911"/>
        <v>实用新型</v>
      </c>
      <c r="D1858" s="1" t="str">
        <f t="shared" si="912"/>
        <v>未缴年费专利权终止</v>
      </c>
      <c r="E1858" s="1" t="str">
        <f>"CN201920977286.7"</f>
        <v>CN201920977286.7</v>
      </c>
      <c r="F1858" s="1" t="str">
        <f t="shared" si="913"/>
        <v>2019-06-25</v>
      </c>
      <c r="G1858" s="1" t="str">
        <f>"CN210749187U"</f>
        <v>CN210749187U</v>
      </c>
      <c r="H1858" s="1" t="str">
        <f>"2020-06-16"</f>
        <v>2020-06-16</v>
      </c>
      <c r="I1858" s="1" t="s">
        <v>5044</v>
      </c>
      <c r="J1858" s="1" t="str">
        <f t="shared" si="905"/>
        <v>天津市赛奥美德工贸有限公司</v>
      </c>
    </row>
    <row r="1859" spans="1:10">
      <c r="A1859" s="1" t="str">
        <f t="shared" si="903"/>
        <v>天津市赛奥美德工贸有限公司</v>
      </c>
      <c r="B1859" s="1" t="str">
        <f>"一种汽车后保线束"</f>
        <v>一种汽车后保线束</v>
      </c>
      <c r="C1859" s="1" t="str">
        <f t="shared" si="911"/>
        <v>实用新型</v>
      </c>
      <c r="D1859" s="1" t="str">
        <f t="shared" si="912"/>
        <v>未缴年费专利权终止</v>
      </c>
      <c r="E1859" s="1" t="str">
        <f>"CN201920894688.0"</f>
        <v>CN201920894688.0</v>
      </c>
      <c r="F1859" s="1" t="str">
        <f t="shared" si="910"/>
        <v>2019-06-14</v>
      </c>
      <c r="G1859" s="1" t="str">
        <f>"CN210760593U"</f>
        <v>CN210760593U</v>
      </c>
      <c r="H1859" s="1" t="str">
        <f>"2020-06-16"</f>
        <v>2020-06-16</v>
      </c>
      <c r="I1859" s="1" t="s">
        <v>5044</v>
      </c>
      <c r="J1859" s="1" t="str">
        <f t="shared" si="905"/>
        <v>天津市赛奥美德工贸有限公司</v>
      </c>
    </row>
    <row r="1860" spans="1:10">
      <c r="A1860" s="1" t="str">
        <f t="shared" si="903"/>
        <v>天津市赛奥美德工贸有限公司</v>
      </c>
      <c r="B1860" s="1" t="str">
        <f>"一种防水式汽车大灯内壳"</f>
        <v>一种防水式汽车大灯内壳</v>
      </c>
      <c r="C1860" s="1" t="str">
        <f t="shared" si="911"/>
        <v>实用新型</v>
      </c>
      <c r="D1860" s="1" t="str">
        <f t="shared" si="912"/>
        <v>未缴年费专利权终止</v>
      </c>
      <c r="E1860" s="1" t="str">
        <f>"CN201920894687.6"</f>
        <v>CN201920894687.6</v>
      </c>
      <c r="F1860" s="1" t="str">
        <f t="shared" si="910"/>
        <v>2019-06-14</v>
      </c>
      <c r="G1860" s="1" t="str">
        <f>"CN210733968U"</f>
        <v>CN210733968U</v>
      </c>
      <c r="H1860" s="1" t="str">
        <f>"2020-06-12"</f>
        <v>2020-06-12</v>
      </c>
      <c r="I1860" s="1" t="s">
        <v>5044</v>
      </c>
      <c r="J1860" s="1" t="str">
        <f t="shared" si="905"/>
        <v>天津市赛奥美德工贸有限公司</v>
      </c>
    </row>
    <row r="1861" spans="1:10">
      <c r="A1861" s="1" t="str">
        <f t="shared" si="903"/>
        <v>天津市赛奥美德工贸有限公司</v>
      </c>
      <c r="B1861" s="1" t="str">
        <f>"具有防潮功能的血糖仪电池壳"</f>
        <v>具有防潮功能的血糖仪电池壳</v>
      </c>
      <c r="C1861" s="1" t="str">
        <f t="shared" si="911"/>
        <v>实用新型</v>
      </c>
      <c r="D1861" s="1" t="str">
        <f t="shared" si="912"/>
        <v>未缴年费专利权终止</v>
      </c>
      <c r="E1861" s="1" t="str">
        <f>"CN201920952624.1"</f>
        <v>CN201920952624.1</v>
      </c>
      <c r="F1861" s="1" t="str">
        <f>"2019-06-25"</f>
        <v>2019-06-25</v>
      </c>
      <c r="G1861" s="1" t="str">
        <f>"CN210668448U"</f>
        <v>CN210668448U</v>
      </c>
      <c r="H1861" s="1" t="str">
        <f>"2020-06-02"</f>
        <v>2020-06-02</v>
      </c>
      <c r="I1861" s="1" t="s">
        <v>5044</v>
      </c>
      <c r="J1861" s="1" t="str">
        <f t="shared" si="905"/>
        <v>天津市赛奥美德工贸有限公司</v>
      </c>
    </row>
    <row r="1862" spans="1:10">
      <c r="A1862" s="1" t="str">
        <f t="shared" si="903"/>
        <v>天津市赛奥美德工贸有限公司</v>
      </c>
      <c r="B1862" s="1" t="str">
        <f>"汽车空气滤清器进气导管"</f>
        <v>汽车空气滤清器进气导管</v>
      </c>
      <c r="C1862" s="1" t="str">
        <f t="shared" si="911"/>
        <v>实用新型</v>
      </c>
      <c r="D1862" s="1" t="str">
        <f t="shared" si="912"/>
        <v>未缴年费专利权终止</v>
      </c>
      <c r="E1862" s="1" t="str">
        <f>"CN201920891890.8"</f>
        <v>CN201920891890.8</v>
      </c>
      <c r="F1862" s="1" t="str">
        <f t="shared" ref="F1862:F1864" si="914">"2019-06-14"</f>
        <v>2019-06-14</v>
      </c>
      <c r="G1862" s="1" t="str">
        <f>"CN210390679U"</f>
        <v>CN210390679U</v>
      </c>
      <c r="H1862" s="1" t="str">
        <f>"2020-04-24"</f>
        <v>2020-04-24</v>
      </c>
      <c r="I1862" s="1" t="s">
        <v>5044</v>
      </c>
      <c r="J1862" s="1" t="str">
        <f t="shared" si="905"/>
        <v>天津市赛奥美德工贸有限公司</v>
      </c>
    </row>
    <row r="1863" spans="1:10">
      <c r="A1863" s="1" t="str">
        <f t="shared" si="903"/>
        <v>天津市赛奥美德工贸有限公司</v>
      </c>
      <c r="B1863" s="1" t="str">
        <f>"一种汽车过滤油箱油气用进气孔结构"</f>
        <v>一种汽车过滤油箱油气用进气孔结构</v>
      </c>
      <c r="C1863" s="1" t="str">
        <f t="shared" si="911"/>
        <v>实用新型</v>
      </c>
      <c r="D1863" s="1" t="str">
        <f t="shared" si="912"/>
        <v>未缴年费专利权终止</v>
      </c>
      <c r="E1863" s="1" t="str">
        <f>"CN201920902371.7"</f>
        <v>CN201920902371.7</v>
      </c>
      <c r="F1863" s="1" t="str">
        <f t="shared" si="914"/>
        <v>2019-06-14</v>
      </c>
      <c r="G1863" s="1" t="str">
        <f>"CN210396934U"</f>
        <v>CN210396934U</v>
      </c>
      <c r="H1863" s="1" t="str">
        <f>"2020-04-24"</f>
        <v>2020-04-24</v>
      </c>
      <c r="I1863" s="1" t="s">
        <v>5044</v>
      </c>
      <c r="J1863" s="1" t="str">
        <f t="shared" si="905"/>
        <v>天津市赛奥美德工贸有限公司</v>
      </c>
    </row>
    <row r="1864" spans="1:10">
      <c r="A1864" s="1" t="str">
        <f t="shared" si="903"/>
        <v>天津市赛奥美德工贸有限公司</v>
      </c>
      <c r="B1864" s="1" t="str">
        <f>"汽车空气滤清器出气导管"</f>
        <v>汽车空气滤清器出气导管</v>
      </c>
      <c r="C1864" s="1" t="str">
        <f t="shared" si="911"/>
        <v>实用新型</v>
      </c>
      <c r="D1864" s="1" t="str">
        <f t="shared" si="912"/>
        <v>未缴年费专利权终止</v>
      </c>
      <c r="E1864" s="1" t="str">
        <f>"CN201920902267.8"</f>
        <v>CN201920902267.8</v>
      </c>
      <c r="F1864" s="1" t="str">
        <f t="shared" si="914"/>
        <v>2019-06-14</v>
      </c>
      <c r="G1864" s="1" t="str">
        <f>"CN210239878U"</f>
        <v>CN210239878U</v>
      </c>
      <c r="H1864" s="1" t="str">
        <f>"2020-04-03"</f>
        <v>2020-04-03</v>
      </c>
      <c r="I1864" s="1" t="s">
        <v>5044</v>
      </c>
      <c r="J1864" s="1" t="str">
        <f t="shared" si="905"/>
        <v>天津市赛奥美德工贸有限公司</v>
      </c>
    </row>
    <row r="1865" spans="1:10">
      <c r="A1865" s="1" t="str">
        <f t="shared" si="903"/>
        <v>天津市赛奥美德工贸有限公司</v>
      </c>
      <c r="B1865" s="1" t="str">
        <f>"一种便于安装的摄像头外壳"</f>
        <v>一种便于安装的摄像头外壳</v>
      </c>
      <c r="C1865" s="1" t="str">
        <f>"发明公布"</f>
        <v>发明公布</v>
      </c>
      <c r="D1865" s="1" t="str">
        <f>"公布驳回"</f>
        <v>公布驳回</v>
      </c>
      <c r="E1865" s="1" t="str">
        <f>"CN201811100925.8"</f>
        <v>CN201811100925.8</v>
      </c>
      <c r="F1865" s="1" t="str">
        <f>"2018-09-20"</f>
        <v>2018-09-20</v>
      </c>
      <c r="G1865" s="1" t="str">
        <f>"CN110933259A"</f>
        <v>CN110933259A</v>
      </c>
      <c r="H1865" s="1" t="str">
        <f>"2020-03-27"</f>
        <v>2020-03-27</v>
      </c>
      <c r="I1865" s="1" t="str">
        <f t="shared" ref="I1865:I1868" si="915">"吴建稳"</f>
        <v>吴建稳</v>
      </c>
      <c r="J1865" s="1" t="str">
        <f t="shared" si="905"/>
        <v>天津市赛奥美德工贸有限公司</v>
      </c>
    </row>
    <row r="1866" spans="1:10">
      <c r="A1866" s="1" t="str">
        <f t="shared" si="903"/>
        <v>天津市赛奥美德工贸有限公司</v>
      </c>
      <c r="B1866" s="1" t="str">
        <f>"一种便于安装的塑料摄像头外壳"</f>
        <v>一种便于安装的塑料摄像头外壳</v>
      </c>
      <c r="C1866" s="1" t="str">
        <f>"发明公布"</f>
        <v>发明公布</v>
      </c>
      <c r="D1866" s="1" t="str">
        <f>"公布驳回"</f>
        <v>公布驳回</v>
      </c>
      <c r="E1866" s="1" t="str">
        <f>"CN201811072824.4"</f>
        <v>CN201811072824.4</v>
      </c>
      <c r="F1866" s="1" t="str">
        <f>"2018-09-14"</f>
        <v>2018-09-14</v>
      </c>
      <c r="G1866" s="1" t="str">
        <f>"CN110913094A"</f>
        <v>CN110913094A</v>
      </c>
      <c r="H1866" s="1" t="str">
        <f>"2020-03-24"</f>
        <v>2020-03-24</v>
      </c>
      <c r="I1866" s="1" t="str">
        <f t="shared" si="915"/>
        <v>吴建稳</v>
      </c>
      <c r="J1866" s="1" t="str">
        <f t="shared" si="905"/>
        <v>天津市赛奥美德工贸有限公司</v>
      </c>
    </row>
    <row r="1867" spans="1:10">
      <c r="A1867" s="1" t="str">
        <f t="shared" si="903"/>
        <v>天津市赛奥美德工贸有限公司</v>
      </c>
      <c r="B1867" s="1" t="str">
        <f>"一种汽车仪表透明罩组件"</f>
        <v>一种汽车仪表透明罩组件</v>
      </c>
      <c r="C1867" s="1" t="str">
        <f t="shared" ref="C1867:C1881" si="916">"实用新型"</f>
        <v>实用新型</v>
      </c>
      <c r="D1867" s="1" t="str">
        <f t="shared" ref="D1867:D1881" si="917">"未缴年费专利权终止"</f>
        <v>未缴年费专利权终止</v>
      </c>
      <c r="E1867" s="1" t="str">
        <f>"CN201920638537.9"</f>
        <v>CN201920638537.9</v>
      </c>
      <c r="F1867" s="1" t="str">
        <f>"2019-05-06"</f>
        <v>2019-05-06</v>
      </c>
      <c r="G1867" s="1" t="str">
        <f>"CN209921065U"</f>
        <v>CN209921065U</v>
      </c>
      <c r="H1867" s="1" t="str">
        <f>"2020-01-10"</f>
        <v>2020-01-10</v>
      </c>
      <c r="I1867" s="1" t="str">
        <f t="shared" si="915"/>
        <v>吴建稳</v>
      </c>
      <c r="J1867" s="1" t="str">
        <f t="shared" si="905"/>
        <v>天津市赛奥美德工贸有限公司</v>
      </c>
    </row>
    <row r="1868" spans="1:10">
      <c r="A1868" s="1" t="str">
        <f t="shared" si="903"/>
        <v>天津市赛奥美德工贸有限公司</v>
      </c>
      <c r="B1868" s="1" t="str">
        <f>"一种汽车备胎保护套"</f>
        <v>一种汽车备胎保护套</v>
      </c>
      <c r="C1868" s="1" t="str">
        <f t="shared" si="916"/>
        <v>实用新型</v>
      </c>
      <c r="D1868" s="1" t="str">
        <f t="shared" si="917"/>
        <v>未缴年费专利权终止</v>
      </c>
      <c r="E1868" s="1" t="str">
        <f>"CN201822169656.2"</f>
        <v>CN201822169656.2</v>
      </c>
      <c r="F1868" s="1" t="str">
        <f t="shared" ref="F1868:F1873" si="918">"2018-12-21"</f>
        <v>2018-12-21</v>
      </c>
      <c r="G1868" s="1" t="str">
        <f>"CN209852453U"</f>
        <v>CN209852453U</v>
      </c>
      <c r="H1868" s="1" t="str">
        <f>"2019-12-27"</f>
        <v>2019-12-27</v>
      </c>
      <c r="I1868" s="1" t="str">
        <f t="shared" si="915"/>
        <v>吴建稳</v>
      </c>
      <c r="J1868" s="1" t="str">
        <f t="shared" si="905"/>
        <v>天津市赛奥美德工贸有限公司</v>
      </c>
    </row>
    <row r="1869" spans="1:10">
      <c r="A1869" s="1" t="str">
        <f t="shared" si="903"/>
        <v>天津市赛奥美德工贸有限公司</v>
      </c>
      <c r="B1869" s="1" t="str">
        <f>"一种防摔型血糖仪外壳"</f>
        <v>一种防摔型血糖仪外壳</v>
      </c>
      <c r="C1869" s="1" t="str">
        <f t="shared" si="916"/>
        <v>实用新型</v>
      </c>
      <c r="D1869" s="1" t="str">
        <f t="shared" si="917"/>
        <v>未缴年费专利权终止</v>
      </c>
      <c r="E1869" s="1" t="str">
        <f>"CN201920977346.5"</f>
        <v>CN201920977346.5</v>
      </c>
      <c r="F1869" s="1" t="str">
        <f>"2019-06-25"</f>
        <v>2019-06-25</v>
      </c>
      <c r="G1869" s="1" t="str">
        <f>"CN209822281U"</f>
        <v>CN209822281U</v>
      </c>
      <c r="H1869" s="1" t="str">
        <f>"2019-12-20"</f>
        <v>2019-12-20</v>
      </c>
      <c r="I1869" s="1" t="s">
        <v>5044</v>
      </c>
      <c r="J1869" s="1" t="str">
        <f t="shared" si="905"/>
        <v>天津市赛奥美德工贸有限公司</v>
      </c>
    </row>
    <row r="1870" spans="1:10">
      <c r="A1870" s="1" t="str">
        <f t="shared" si="903"/>
        <v>天津市赛奥美德工贸有限公司</v>
      </c>
      <c r="B1870" s="1" t="str">
        <f>"一种血糖仪红外感应盛放盒"</f>
        <v>一种血糖仪红外感应盛放盒</v>
      </c>
      <c r="C1870" s="1" t="str">
        <f t="shared" si="916"/>
        <v>实用新型</v>
      </c>
      <c r="D1870" s="1" t="str">
        <f t="shared" si="917"/>
        <v>未缴年费专利权终止</v>
      </c>
      <c r="E1870" s="1" t="str">
        <f>"CN201821280339.1"</f>
        <v>CN201821280339.1</v>
      </c>
      <c r="F1870" s="1" t="str">
        <f>"2018-08-09"</f>
        <v>2018-08-09</v>
      </c>
      <c r="G1870" s="1" t="str">
        <f>"CN209770545U"</f>
        <v>CN209770545U</v>
      </c>
      <c r="H1870" s="1" t="str">
        <f>"2019-12-13"</f>
        <v>2019-12-13</v>
      </c>
      <c r="I1870" s="1" t="str">
        <f t="shared" ref="I1870:I1893" si="919">"吴建稳"</f>
        <v>吴建稳</v>
      </c>
      <c r="J1870" s="1" t="str">
        <f t="shared" si="905"/>
        <v>天津市赛奥美德工贸有限公司</v>
      </c>
    </row>
    <row r="1871" spans="1:10">
      <c r="A1871" s="1" t="str">
        <f t="shared" si="903"/>
        <v>天津市赛奥美德工贸有限公司</v>
      </c>
      <c r="B1871" s="1" t="str">
        <f>"一种汽车零件定位冲压模具"</f>
        <v>一种汽车零件定位冲压模具</v>
      </c>
      <c r="C1871" s="1" t="str">
        <f t="shared" si="916"/>
        <v>实用新型</v>
      </c>
      <c r="D1871" s="1" t="str">
        <f t="shared" si="917"/>
        <v>未缴年费专利权终止</v>
      </c>
      <c r="E1871" s="1" t="str">
        <f>"CN201821541409.4"</f>
        <v>CN201821541409.4</v>
      </c>
      <c r="F1871" s="1" t="str">
        <f>"2018-09-20"</f>
        <v>2018-09-20</v>
      </c>
      <c r="G1871" s="1" t="str">
        <f>"CN209439295U"</f>
        <v>CN209439295U</v>
      </c>
      <c r="H1871" s="1" t="str">
        <f>"2019-09-27"</f>
        <v>2019-09-27</v>
      </c>
      <c r="I1871" s="1" t="str">
        <f t="shared" si="919"/>
        <v>吴建稳</v>
      </c>
      <c r="J1871" s="1" t="str">
        <f t="shared" si="905"/>
        <v>天津市赛奥美德工贸有限公司</v>
      </c>
    </row>
    <row r="1872" spans="1:10">
      <c r="A1872" s="1" t="str">
        <f t="shared" si="903"/>
        <v>天津市赛奥美德工贸有限公司</v>
      </c>
      <c r="B1872" s="1" t="str">
        <f>"一种高安全性汽车线束保护套"</f>
        <v>一种高安全性汽车线束保护套</v>
      </c>
      <c r="C1872" s="1" t="str">
        <f t="shared" si="916"/>
        <v>实用新型</v>
      </c>
      <c r="D1872" s="1" t="str">
        <f t="shared" si="917"/>
        <v>未缴年费专利权终止</v>
      </c>
      <c r="E1872" s="1" t="str">
        <f>"CN201822167843.7"</f>
        <v>CN201822167843.7</v>
      </c>
      <c r="F1872" s="1" t="str">
        <f t="shared" si="918"/>
        <v>2018-12-21</v>
      </c>
      <c r="G1872" s="1" t="str">
        <f>"CN209200569U"</f>
        <v>CN209200569U</v>
      </c>
      <c r="H1872" s="1" t="str">
        <f>"2019-08-02"</f>
        <v>2019-08-02</v>
      </c>
      <c r="I1872" s="1" t="str">
        <f t="shared" si="919"/>
        <v>吴建稳</v>
      </c>
      <c r="J1872" s="1" t="str">
        <f t="shared" si="905"/>
        <v>天津市赛奥美德工贸有限公司</v>
      </c>
    </row>
    <row r="1873" spans="1:10">
      <c r="A1873" s="1" t="str">
        <f t="shared" si="903"/>
        <v>天津市赛奥美德工贸有限公司</v>
      </c>
      <c r="B1873" s="1" t="str">
        <f>"一种汽车用电池箱"</f>
        <v>一种汽车用电池箱</v>
      </c>
      <c r="C1873" s="1" t="str">
        <f t="shared" si="916"/>
        <v>实用新型</v>
      </c>
      <c r="D1873" s="1" t="str">
        <f t="shared" si="917"/>
        <v>未缴年费专利权终止</v>
      </c>
      <c r="E1873" s="1" t="str">
        <f>"CN201822167842.2"</f>
        <v>CN201822167842.2</v>
      </c>
      <c r="F1873" s="1" t="str">
        <f t="shared" si="918"/>
        <v>2018-12-21</v>
      </c>
      <c r="G1873" s="1" t="str">
        <f>"CN209133578U"</f>
        <v>CN209133578U</v>
      </c>
      <c r="H1873" s="1" t="str">
        <f>"2019-07-19"</f>
        <v>2019-07-19</v>
      </c>
      <c r="I1873" s="1" t="str">
        <f t="shared" si="919"/>
        <v>吴建稳</v>
      </c>
      <c r="J1873" s="1" t="str">
        <f t="shared" si="905"/>
        <v>天津市赛奥美德工贸有限公司</v>
      </c>
    </row>
    <row r="1874" spans="1:10">
      <c r="A1874" s="1" t="str">
        <f t="shared" si="903"/>
        <v>天津市赛奥美德工贸有限公司</v>
      </c>
      <c r="B1874" s="1" t="str">
        <f>"一种塑料件生产的高效冷却装置"</f>
        <v>一种塑料件生产的高效冷却装置</v>
      </c>
      <c r="C1874" s="1" t="str">
        <f t="shared" si="916"/>
        <v>实用新型</v>
      </c>
      <c r="D1874" s="1" t="str">
        <f t="shared" si="917"/>
        <v>未缴年费专利权终止</v>
      </c>
      <c r="E1874" s="1" t="str">
        <f>"CN201821504822.3"</f>
        <v>CN201821504822.3</v>
      </c>
      <c r="F1874" s="1" t="str">
        <f>"2018-09-14"</f>
        <v>2018-09-14</v>
      </c>
      <c r="G1874" s="1" t="str">
        <f>"CN209036809U"</f>
        <v>CN209036809U</v>
      </c>
      <c r="H1874" s="1" t="str">
        <f>"2019-06-28"</f>
        <v>2019-06-28</v>
      </c>
      <c r="I1874" s="1" t="str">
        <f t="shared" si="919"/>
        <v>吴建稳</v>
      </c>
      <c r="J1874" s="1" t="str">
        <f t="shared" si="905"/>
        <v>天津市赛奥美德工贸有限公司</v>
      </c>
    </row>
    <row r="1875" spans="1:10">
      <c r="A1875" s="1" t="str">
        <f t="shared" si="903"/>
        <v>天津市赛奥美德工贸有限公司</v>
      </c>
      <c r="B1875" s="1" t="str">
        <f>"一种汽车零件的冲压模具"</f>
        <v>一种汽车零件的冲压模具</v>
      </c>
      <c r="C1875" s="1" t="str">
        <f t="shared" si="916"/>
        <v>实用新型</v>
      </c>
      <c r="D1875" s="1" t="str">
        <f t="shared" si="917"/>
        <v>未缴年费专利权终止</v>
      </c>
      <c r="E1875" s="1" t="str">
        <f>"CN201821544445.6"</f>
        <v>CN201821544445.6</v>
      </c>
      <c r="F1875" s="1" t="str">
        <f>"2018-09-20"</f>
        <v>2018-09-20</v>
      </c>
      <c r="G1875" s="1" t="str">
        <f>"CN209035281U"</f>
        <v>CN209035281U</v>
      </c>
      <c r="H1875" s="1" t="str">
        <f>"2019-06-28"</f>
        <v>2019-06-28</v>
      </c>
      <c r="I1875" s="1" t="str">
        <f t="shared" si="919"/>
        <v>吴建稳</v>
      </c>
      <c r="J1875" s="1" t="str">
        <f t="shared" si="905"/>
        <v>天津市赛奥美德工贸有限公司</v>
      </c>
    </row>
    <row r="1876" spans="1:10">
      <c r="A1876" s="1" t="str">
        <f t="shared" si="903"/>
        <v>天津市赛奥美德工贸有限公司</v>
      </c>
      <c r="B1876" s="1" t="str">
        <f>"一种新型汽车碳罐"</f>
        <v>一种新型汽车碳罐</v>
      </c>
      <c r="C1876" s="1" t="str">
        <f t="shared" si="916"/>
        <v>实用新型</v>
      </c>
      <c r="D1876" s="1" t="str">
        <f t="shared" si="917"/>
        <v>未缴年费专利权终止</v>
      </c>
      <c r="E1876" s="1" t="str">
        <f>"CN201821428791.8"</f>
        <v>CN201821428791.8</v>
      </c>
      <c r="F1876" s="1" t="str">
        <f t="shared" ref="F1876:F1878" si="920">"2018-08-30"</f>
        <v>2018-08-30</v>
      </c>
      <c r="G1876" s="1" t="str">
        <f>"CN208900239U"</f>
        <v>CN208900239U</v>
      </c>
      <c r="H1876" s="1" t="str">
        <f>"2019-05-24"</f>
        <v>2019-05-24</v>
      </c>
      <c r="I1876" s="1" t="str">
        <f t="shared" si="919"/>
        <v>吴建稳</v>
      </c>
      <c r="J1876" s="1" t="str">
        <f t="shared" si="905"/>
        <v>天津市赛奥美德工贸有限公司</v>
      </c>
    </row>
    <row r="1877" spans="1:10">
      <c r="A1877" s="1" t="str">
        <f t="shared" si="903"/>
        <v>天津市赛奥美德工贸有限公司</v>
      </c>
      <c r="B1877" s="1" t="str">
        <f>"一种防水防尘式监控摄像头外壳"</f>
        <v>一种防水防尘式监控摄像头外壳</v>
      </c>
      <c r="C1877" s="1" t="str">
        <f t="shared" si="916"/>
        <v>实用新型</v>
      </c>
      <c r="D1877" s="1" t="str">
        <f t="shared" si="917"/>
        <v>未缴年费专利权终止</v>
      </c>
      <c r="E1877" s="1" t="str">
        <f>"CN201821412148.6"</f>
        <v>CN201821412148.6</v>
      </c>
      <c r="F1877" s="1" t="str">
        <f t="shared" si="920"/>
        <v>2018-08-30</v>
      </c>
      <c r="G1877" s="1" t="str">
        <f>"CN208905064U"</f>
        <v>CN208905064U</v>
      </c>
      <c r="H1877" s="1" t="str">
        <f>"2019-05-24"</f>
        <v>2019-05-24</v>
      </c>
      <c r="I1877" s="1" t="str">
        <f t="shared" si="919"/>
        <v>吴建稳</v>
      </c>
      <c r="J1877" s="1" t="str">
        <f t="shared" si="905"/>
        <v>天津市赛奥美德工贸有限公司</v>
      </c>
    </row>
    <row r="1878" spans="1:10">
      <c r="A1878" s="1" t="str">
        <f t="shared" si="903"/>
        <v>天津市赛奥美德工贸有限公司</v>
      </c>
      <c r="B1878" s="1" t="str">
        <f>"一种具有防止粉尘排出结构的汽车碳罐"</f>
        <v>一种具有防止粉尘排出结构的汽车碳罐</v>
      </c>
      <c r="C1878" s="1" t="str">
        <f t="shared" si="916"/>
        <v>实用新型</v>
      </c>
      <c r="D1878" s="1" t="str">
        <f t="shared" si="917"/>
        <v>未缴年费专利权终止</v>
      </c>
      <c r="E1878" s="1" t="str">
        <f>"CN201821412144.8"</f>
        <v>CN201821412144.8</v>
      </c>
      <c r="F1878" s="1" t="str">
        <f t="shared" si="920"/>
        <v>2018-08-30</v>
      </c>
      <c r="G1878" s="1" t="str">
        <f>"CN208734456U"</f>
        <v>CN208734456U</v>
      </c>
      <c r="H1878" s="1" t="str">
        <f>"2019-04-12"</f>
        <v>2019-04-12</v>
      </c>
      <c r="I1878" s="1" t="str">
        <f t="shared" si="919"/>
        <v>吴建稳</v>
      </c>
      <c r="J1878" s="1" t="str">
        <f t="shared" si="905"/>
        <v>天津市赛奥美德工贸有限公司</v>
      </c>
    </row>
    <row r="1879" spans="1:10">
      <c r="A1879" s="1" t="str">
        <f t="shared" si="903"/>
        <v>天津市赛奥美德工贸有限公司</v>
      </c>
      <c r="B1879" s="1" t="str">
        <f>"一种注塑件生产用磨床"</f>
        <v>一种注塑件生产用磨床</v>
      </c>
      <c r="C1879" s="1" t="str">
        <f t="shared" si="916"/>
        <v>实用新型</v>
      </c>
      <c r="D1879" s="1" t="str">
        <f t="shared" si="917"/>
        <v>未缴年费专利权终止</v>
      </c>
      <c r="E1879" s="1" t="str">
        <f>"CN201821504445.3"</f>
        <v>CN201821504445.3</v>
      </c>
      <c r="F1879" s="1" t="str">
        <f>"2018-09-14"</f>
        <v>2018-09-14</v>
      </c>
      <c r="G1879" s="1" t="str">
        <f>"CN208729377U"</f>
        <v>CN208729377U</v>
      </c>
      <c r="H1879" s="1" t="str">
        <f>"2019-04-12"</f>
        <v>2019-04-12</v>
      </c>
      <c r="I1879" s="1" t="str">
        <f t="shared" si="919"/>
        <v>吴建稳</v>
      </c>
      <c r="J1879" s="1" t="str">
        <f t="shared" si="905"/>
        <v>天津市赛奥美德工贸有限公司</v>
      </c>
    </row>
    <row r="1880" spans="1:10">
      <c r="A1880" s="1" t="str">
        <f t="shared" si="903"/>
        <v>天津市赛奥美德工贸有限公司</v>
      </c>
      <c r="B1880" s="1" t="str">
        <f>"一种便于安装的摄像头外壳"</f>
        <v>一种便于安装的摄像头外壳</v>
      </c>
      <c r="C1880" s="1" t="str">
        <f t="shared" si="916"/>
        <v>实用新型</v>
      </c>
      <c r="D1880" s="1" t="str">
        <f t="shared" si="917"/>
        <v>未缴年费专利权终止</v>
      </c>
      <c r="E1880" s="1" t="str">
        <f>"CN201821541434.2"</f>
        <v>CN201821541434.2</v>
      </c>
      <c r="F1880" s="1" t="str">
        <f>"2018-09-20"</f>
        <v>2018-09-20</v>
      </c>
      <c r="G1880" s="1" t="str">
        <f>"CN208707766U"</f>
        <v>CN208707766U</v>
      </c>
      <c r="H1880" s="1" t="str">
        <f>"2019-04-05"</f>
        <v>2019-04-05</v>
      </c>
      <c r="I1880" s="1" t="str">
        <f t="shared" si="919"/>
        <v>吴建稳</v>
      </c>
      <c r="J1880" s="1" t="str">
        <f t="shared" si="905"/>
        <v>天津市赛奥美德工贸有限公司</v>
      </c>
    </row>
    <row r="1881" spans="1:10">
      <c r="A1881" s="1" t="str">
        <f t="shared" si="903"/>
        <v>天津市赛奥美德工贸有限公司</v>
      </c>
      <c r="B1881" s="1" t="str">
        <f>"一种便于安装的塑料摄像头外壳"</f>
        <v>一种便于安装的塑料摄像头外壳</v>
      </c>
      <c r="C1881" s="1" t="str">
        <f t="shared" si="916"/>
        <v>实用新型</v>
      </c>
      <c r="D1881" s="1" t="str">
        <f t="shared" si="917"/>
        <v>未缴年费专利权终止</v>
      </c>
      <c r="E1881" s="1" t="str">
        <f>"CN201821504490.9"</f>
        <v>CN201821504490.9</v>
      </c>
      <c r="F1881" s="1" t="str">
        <f>"2018-09-14"</f>
        <v>2018-09-14</v>
      </c>
      <c r="G1881" s="1" t="str">
        <f>"CN208707764U"</f>
        <v>CN208707764U</v>
      </c>
      <c r="H1881" s="1" t="str">
        <f>"2019-04-05"</f>
        <v>2019-04-05</v>
      </c>
      <c r="I1881" s="1" t="str">
        <f t="shared" si="919"/>
        <v>吴建稳</v>
      </c>
      <c r="J1881" s="1" t="str">
        <f t="shared" si="905"/>
        <v>天津市赛奥美德工贸有限公司</v>
      </c>
    </row>
    <row r="1882" spans="1:10">
      <c r="A1882" s="1" t="str">
        <f t="shared" si="903"/>
        <v>天津市赛奥美德工贸有限公司</v>
      </c>
      <c r="B1882" s="1" t="str">
        <f>"一种具有密封效果的血糖仪外壳"</f>
        <v>一种具有密封效果的血糖仪外壳</v>
      </c>
      <c r="C1882" s="1" t="str">
        <f>"发明公布"</f>
        <v>发明公布</v>
      </c>
      <c r="D1882" s="1" t="str">
        <f>"公布视为撤回"</f>
        <v>公布视为撤回</v>
      </c>
      <c r="E1882" s="1" t="str">
        <f>"CN201710356965.8"</f>
        <v>CN201710356965.8</v>
      </c>
      <c r="F1882" s="1" t="str">
        <f>"2017-05-19"</f>
        <v>2017-05-19</v>
      </c>
      <c r="G1882" s="1" t="str">
        <f>"CN108956995A"</f>
        <v>CN108956995A</v>
      </c>
      <c r="H1882" s="1" t="str">
        <f>"2018-12-07"</f>
        <v>2018-12-07</v>
      </c>
      <c r="I1882" s="1" t="str">
        <f t="shared" si="919"/>
        <v>吴建稳</v>
      </c>
      <c r="J1882" s="1" t="str">
        <f t="shared" si="905"/>
        <v>天津市赛奥美德工贸有限公司</v>
      </c>
    </row>
    <row r="1883" spans="1:10">
      <c r="A1883" s="1" t="str">
        <f t="shared" si="903"/>
        <v>天津市赛奥美德工贸有限公司</v>
      </c>
      <c r="B1883" s="1" t="str">
        <f>"一种具有密封效果的血糖仪外壳"</f>
        <v>一种具有密封效果的血糖仪外壳</v>
      </c>
      <c r="C1883" s="1" t="str">
        <f t="shared" ref="C1883:C1905" si="921">"实用新型"</f>
        <v>实用新型</v>
      </c>
      <c r="D1883" s="1" t="str">
        <f t="shared" ref="D1883:D1905" si="922">"未缴年费专利权终止"</f>
        <v>未缴年费专利权终止</v>
      </c>
      <c r="E1883" s="1" t="str">
        <f>"CN201720561345.3"</f>
        <v>CN201720561345.3</v>
      </c>
      <c r="F1883" s="1" t="str">
        <f>"2017-05-19"</f>
        <v>2017-05-19</v>
      </c>
      <c r="G1883" s="1" t="str">
        <f>"CN207623348U"</f>
        <v>CN207623348U</v>
      </c>
      <c r="H1883" s="1" t="str">
        <f>"2018-07-17"</f>
        <v>2018-07-17</v>
      </c>
      <c r="I1883" s="1" t="str">
        <f t="shared" si="919"/>
        <v>吴建稳</v>
      </c>
      <c r="J1883" s="1" t="str">
        <f t="shared" si="905"/>
        <v>天津市赛奥美德工贸有限公司</v>
      </c>
    </row>
    <row r="1884" spans="1:10">
      <c r="A1884" s="1" t="str">
        <f t="shared" si="903"/>
        <v>天津市赛奥美德工贸有限公司</v>
      </c>
      <c r="B1884" s="1" t="str">
        <f>"用于汽车中门踏板到右轮包处的线束保护壳"</f>
        <v>用于汽车中门踏板到右轮包处的线束保护壳</v>
      </c>
      <c r="C1884" s="1" t="str">
        <f t="shared" si="921"/>
        <v>实用新型</v>
      </c>
      <c r="D1884" s="1" t="str">
        <f t="shared" si="922"/>
        <v>未缴年费专利权终止</v>
      </c>
      <c r="E1884" s="1" t="str">
        <f>"CN201621422728.4"</f>
        <v>CN201621422728.4</v>
      </c>
      <c r="F1884" s="1" t="str">
        <f t="shared" ref="F1884:F1886" si="923">"2016-12-23"</f>
        <v>2016-12-23</v>
      </c>
      <c r="G1884" s="1" t="str">
        <f>"CN207045273U"</f>
        <v>CN207045273U</v>
      </c>
      <c r="H1884" s="1" t="str">
        <f t="shared" ref="H1884:H1887" si="924">"2018-02-27"</f>
        <v>2018-02-27</v>
      </c>
      <c r="I1884" s="1" t="str">
        <f t="shared" si="919"/>
        <v>吴建稳</v>
      </c>
      <c r="J1884" s="1" t="str">
        <f t="shared" si="905"/>
        <v>天津市赛奥美德工贸有限公司</v>
      </c>
    </row>
    <row r="1885" spans="1:10">
      <c r="A1885" s="1" t="str">
        <f t="shared" si="903"/>
        <v>天津市赛奥美德工贸有限公司</v>
      </c>
      <c r="B1885" s="1" t="str">
        <f>"一种提高汽车安全性的蓄电池盖"</f>
        <v>一种提高汽车安全性的蓄电池盖</v>
      </c>
      <c r="C1885" s="1" t="str">
        <f t="shared" si="921"/>
        <v>实用新型</v>
      </c>
      <c r="D1885" s="1" t="str">
        <f t="shared" si="922"/>
        <v>未缴年费专利权终止</v>
      </c>
      <c r="E1885" s="1" t="str">
        <f>"CN201621422892.5"</f>
        <v>CN201621422892.5</v>
      </c>
      <c r="F1885" s="1" t="str">
        <f t="shared" si="923"/>
        <v>2016-12-23</v>
      </c>
      <c r="G1885" s="1" t="str">
        <f>"CN207052635U"</f>
        <v>CN207052635U</v>
      </c>
      <c r="H1885" s="1" t="str">
        <f t="shared" si="924"/>
        <v>2018-02-27</v>
      </c>
      <c r="I1885" s="1" t="str">
        <f t="shared" si="919"/>
        <v>吴建稳</v>
      </c>
      <c r="J1885" s="1" t="str">
        <f t="shared" si="905"/>
        <v>天津市赛奥美德工贸有限公司</v>
      </c>
    </row>
    <row r="1886" spans="1:10">
      <c r="A1886" s="1" t="str">
        <f t="shared" si="903"/>
        <v>天津市赛奥美德工贸有限公司</v>
      </c>
      <c r="B1886" s="1" t="str">
        <f>"一种汽车雨刷复位触片"</f>
        <v>一种汽车雨刷复位触片</v>
      </c>
      <c r="C1886" s="1" t="str">
        <f t="shared" si="921"/>
        <v>实用新型</v>
      </c>
      <c r="D1886" s="1" t="str">
        <f t="shared" si="922"/>
        <v>未缴年费专利权终止</v>
      </c>
      <c r="E1886" s="1" t="str">
        <f>"CN201621422863.9"</f>
        <v>CN201621422863.9</v>
      </c>
      <c r="F1886" s="1" t="str">
        <f t="shared" si="923"/>
        <v>2016-12-23</v>
      </c>
      <c r="G1886" s="1" t="str">
        <f>"CN207045302U"</f>
        <v>CN207045302U</v>
      </c>
      <c r="H1886" s="1" t="str">
        <f t="shared" si="924"/>
        <v>2018-02-27</v>
      </c>
      <c r="I1886" s="1" t="str">
        <f t="shared" si="919"/>
        <v>吴建稳</v>
      </c>
      <c r="J1886" s="1" t="str">
        <f t="shared" si="905"/>
        <v>天津市赛奥美德工贸有限公司</v>
      </c>
    </row>
    <row r="1887" spans="1:10">
      <c r="A1887" s="1" t="str">
        <f t="shared" si="903"/>
        <v>天津市赛奥美德工贸有限公司</v>
      </c>
      <c r="B1887" s="1" t="str">
        <f>"一种带有防撞胶角的血糖仪盛放盒"</f>
        <v>一种带有防撞胶角的血糖仪盛放盒</v>
      </c>
      <c r="C1887" s="1" t="str">
        <f t="shared" si="921"/>
        <v>实用新型</v>
      </c>
      <c r="D1887" s="1" t="str">
        <f t="shared" si="922"/>
        <v>未缴年费专利权终止</v>
      </c>
      <c r="E1887" s="1" t="str">
        <f>"CN201720922206.9"</f>
        <v>CN201720922206.9</v>
      </c>
      <c r="F1887" s="1" t="str">
        <f>"2017-07-27"</f>
        <v>2017-07-27</v>
      </c>
      <c r="G1887" s="1" t="str">
        <f>"CN207046008U"</f>
        <v>CN207046008U</v>
      </c>
      <c r="H1887" s="1" t="str">
        <f t="shared" si="924"/>
        <v>2018-02-27</v>
      </c>
      <c r="I1887" s="1" t="str">
        <f t="shared" si="919"/>
        <v>吴建稳</v>
      </c>
      <c r="J1887" s="1" t="str">
        <f t="shared" si="905"/>
        <v>天津市赛奥美德工贸有限公司</v>
      </c>
    </row>
    <row r="1888" spans="1:10">
      <c r="A1888" s="1" t="str">
        <f t="shared" si="903"/>
        <v>天津市赛奥美德工贸有限公司</v>
      </c>
      <c r="B1888" s="1" t="str">
        <f>"一种血糖仪盛放盒"</f>
        <v>一种血糖仪盛放盒</v>
      </c>
      <c r="C1888" s="1" t="str">
        <f t="shared" si="921"/>
        <v>实用新型</v>
      </c>
      <c r="D1888" s="1" t="str">
        <f t="shared" si="922"/>
        <v>未缴年费专利权终止</v>
      </c>
      <c r="E1888" s="1" t="str">
        <f>"CN201720560955.1"</f>
        <v>CN201720560955.1</v>
      </c>
      <c r="F1888" s="1" t="str">
        <f>"2017-05-19"</f>
        <v>2017-05-19</v>
      </c>
      <c r="G1888" s="1" t="str">
        <f>"CN206782461U"</f>
        <v>CN206782461U</v>
      </c>
      <c r="H1888" s="1" t="str">
        <f>"2017-12-22"</f>
        <v>2017-12-22</v>
      </c>
      <c r="I1888" s="1" t="str">
        <f t="shared" si="919"/>
        <v>吴建稳</v>
      </c>
      <c r="J1888" s="1" t="str">
        <f t="shared" si="905"/>
        <v>天津市赛奥美德工贸有限公司</v>
      </c>
    </row>
    <row r="1889" spans="1:10">
      <c r="A1889" s="1" t="str">
        <f t="shared" ref="A1889:A1905" si="925">"天津市赛奥美德工贸有限公司"</f>
        <v>天津市赛奥美德工贸有限公司</v>
      </c>
      <c r="B1889" s="1" t="str">
        <f>"一种汽车电池保护盖"</f>
        <v>一种汽车电池保护盖</v>
      </c>
      <c r="C1889" s="1" t="str">
        <f t="shared" si="921"/>
        <v>实用新型</v>
      </c>
      <c r="D1889" s="1" t="str">
        <f t="shared" si="922"/>
        <v>未缴年费专利权终止</v>
      </c>
      <c r="E1889" s="1" t="str">
        <f>"CN201621452060.8"</f>
        <v>CN201621452060.8</v>
      </c>
      <c r="F1889" s="1" t="str">
        <f>"2016-12-28"</f>
        <v>2016-12-28</v>
      </c>
      <c r="G1889" s="1" t="str">
        <f>"CN206650110U"</f>
        <v>CN206650110U</v>
      </c>
      <c r="H1889" s="1" t="str">
        <f>"2017-11-17"</f>
        <v>2017-11-17</v>
      </c>
      <c r="I1889" s="1" t="str">
        <f t="shared" si="919"/>
        <v>吴建稳</v>
      </c>
      <c r="J1889" s="1" t="str">
        <f t="shared" ref="J1889:J1905" si="926">"天津市赛奥美德工贸有限公司"</f>
        <v>天津市赛奥美德工贸有限公司</v>
      </c>
    </row>
    <row r="1890" spans="1:10">
      <c r="A1890" s="1" t="str">
        <f t="shared" si="925"/>
        <v>天津市赛奥美德工贸有限公司</v>
      </c>
      <c r="B1890" s="1" t="str">
        <f>"汽车油箱附近用线束壳体"</f>
        <v>汽车油箱附近用线束壳体</v>
      </c>
      <c r="C1890" s="1" t="str">
        <f t="shared" si="921"/>
        <v>实用新型</v>
      </c>
      <c r="D1890" s="1" t="str">
        <f t="shared" si="922"/>
        <v>未缴年费专利权终止</v>
      </c>
      <c r="E1890" s="1" t="str">
        <f>"CN201621454215.1"</f>
        <v>CN201621454215.1</v>
      </c>
      <c r="F1890" s="1" t="str">
        <f>"2016-12-28"</f>
        <v>2016-12-28</v>
      </c>
      <c r="G1890" s="1" t="str">
        <f>"CN206436953U"</f>
        <v>CN206436953U</v>
      </c>
      <c r="H1890" s="1" t="str">
        <f>"2017-08-25"</f>
        <v>2017-08-25</v>
      </c>
      <c r="I1890" s="1" t="str">
        <f t="shared" si="919"/>
        <v>吴建稳</v>
      </c>
      <c r="J1890" s="1" t="str">
        <f t="shared" si="926"/>
        <v>天津市赛奥美德工贸有限公司</v>
      </c>
    </row>
    <row r="1891" spans="1:10">
      <c r="A1891" s="1" t="str">
        <f t="shared" si="925"/>
        <v>天津市赛奥美德工贸有限公司</v>
      </c>
      <c r="B1891" s="1" t="str">
        <f>"一种汽车气门锁片"</f>
        <v>一种汽车气门锁片</v>
      </c>
      <c r="C1891" s="1" t="str">
        <f t="shared" si="921"/>
        <v>实用新型</v>
      </c>
      <c r="D1891" s="1" t="str">
        <f t="shared" si="922"/>
        <v>未缴年费专利权终止</v>
      </c>
      <c r="E1891" s="1" t="str">
        <f>"CN201621461228.1"</f>
        <v>CN201621461228.1</v>
      </c>
      <c r="F1891" s="1" t="str">
        <f>"2016-12-29"</f>
        <v>2016-12-29</v>
      </c>
      <c r="G1891" s="1" t="str">
        <f>"CN206397553U"</f>
        <v>CN206397553U</v>
      </c>
      <c r="H1891" s="1" t="str">
        <f>"2017-08-11"</f>
        <v>2017-08-11</v>
      </c>
      <c r="I1891" s="1" t="str">
        <f t="shared" si="919"/>
        <v>吴建稳</v>
      </c>
      <c r="J1891" s="1" t="str">
        <f t="shared" si="926"/>
        <v>天津市赛奥美德工贸有限公司</v>
      </c>
    </row>
    <row r="1892" spans="1:10">
      <c r="A1892" s="1" t="str">
        <f t="shared" si="925"/>
        <v>天津市赛奥美德工贸有限公司</v>
      </c>
      <c r="B1892" s="1" t="str">
        <f>"一种方便拆装的汽车气门锁片"</f>
        <v>一种方便拆装的汽车气门锁片</v>
      </c>
      <c r="C1892" s="1" t="str">
        <f t="shared" si="921"/>
        <v>实用新型</v>
      </c>
      <c r="D1892" s="1" t="str">
        <f t="shared" si="922"/>
        <v>未缴年费专利权终止</v>
      </c>
      <c r="E1892" s="1" t="str">
        <f>"CN201621461382.9"</f>
        <v>CN201621461382.9</v>
      </c>
      <c r="F1892" s="1" t="str">
        <f>"2016-12-29"</f>
        <v>2016-12-29</v>
      </c>
      <c r="G1892" s="1" t="str">
        <f>"CN206397554U"</f>
        <v>CN206397554U</v>
      </c>
      <c r="H1892" s="1" t="str">
        <f>"2017-08-11"</f>
        <v>2017-08-11</v>
      </c>
      <c r="I1892" s="1" t="str">
        <f t="shared" si="919"/>
        <v>吴建稳</v>
      </c>
      <c r="J1892" s="1" t="str">
        <f t="shared" si="926"/>
        <v>天津市赛奥美德工贸有限公司</v>
      </c>
    </row>
    <row r="1893" spans="1:10">
      <c r="A1893" s="1" t="str">
        <f t="shared" si="925"/>
        <v>天津市赛奥美德工贸有限公司</v>
      </c>
      <c r="B1893" s="1" t="str">
        <f>"一种新型光耦挡片"</f>
        <v>一种新型光耦挡片</v>
      </c>
      <c r="C1893" s="1" t="str">
        <f t="shared" si="921"/>
        <v>实用新型</v>
      </c>
      <c r="D1893" s="1" t="str">
        <f t="shared" si="922"/>
        <v>未缴年费专利权终止</v>
      </c>
      <c r="E1893" s="1" t="str">
        <f>"CN201621422891.0"</f>
        <v>CN201621422891.0</v>
      </c>
      <c r="F1893" s="1" t="str">
        <f>"2016-12-23"</f>
        <v>2016-12-23</v>
      </c>
      <c r="G1893" s="1" t="str">
        <f>"CN206330990U"</f>
        <v>CN206330990U</v>
      </c>
      <c r="H1893" s="1" t="str">
        <f>"2017-07-14"</f>
        <v>2017-07-14</v>
      </c>
      <c r="I1893" s="1" t="str">
        <f t="shared" si="919"/>
        <v>吴建稳</v>
      </c>
      <c r="J1893" s="1" t="str">
        <f t="shared" si="926"/>
        <v>天津市赛奥美德工贸有限公司</v>
      </c>
    </row>
    <row r="1894" spans="1:10">
      <c r="A1894" s="1" t="str">
        <f t="shared" si="925"/>
        <v>天津市赛奥美德工贸有限公司</v>
      </c>
      <c r="B1894" s="1" t="str">
        <f>"一种安装多种调节结构的溜冰鞋"</f>
        <v>一种安装多种调节结构的溜冰鞋</v>
      </c>
      <c r="C1894" s="1" t="str">
        <f t="shared" si="921"/>
        <v>实用新型</v>
      </c>
      <c r="D1894" s="1" t="str">
        <f t="shared" si="922"/>
        <v>未缴年费专利权终止</v>
      </c>
      <c r="E1894" s="1" t="str">
        <f>"CN201520434879.0"</f>
        <v>CN201520434879.0</v>
      </c>
      <c r="F1894" s="1" t="str">
        <f t="shared" ref="F1894:F1900" si="927">"2015-06-23"</f>
        <v>2015-06-23</v>
      </c>
      <c r="G1894" s="1" t="str">
        <f>"CN204952211U"</f>
        <v>CN204952211U</v>
      </c>
      <c r="H1894" s="1" t="str">
        <f>"2016-01-13"</f>
        <v>2016-01-13</v>
      </c>
      <c r="I1894" s="1" t="str">
        <f t="shared" ref="I1894:I1905" si="928">"贾成忠"</f>
        <v>贾成忠</v>
      </c>
      <c r="J1894" s="1" t="str">
        <f t="shared" si="926"/>
        <v>天津市赛奥美德工贸有限公司</v>
      </c>
    </row>
    <row r="1895" spans="1:10">
      <c r="A1895" s="1" t="str">
        <f t="shared" si="925"/>
        <v>天津市赛奥美德工贸有限公司</v>
      </c>
      <c r="B1895" s="1" t="str">
        <f>"一种多功能可调溜冰鞋"</f>
        <v>一种多功能可调溜冰鞋</v>
      </c>
      <c r="C1895" s="1" t="str">
        <f t="shared" si="921"/>
        <v>实用新型</v>
      </c>
      <c r="D1895" s="1" t="str">
        <f t="shared" si="922"/>
        <v>未缴年费专利权终止</v>
      </c>
      <c r="E1895" s="1" t="str">
        <f>"CN201520435504.6"</f>
        <v>CN201520435504.6</v>
      </c>
      <c r="F1895" s="1" t="str">
        <f t="shared" si="927"/>
        <v>2015-06-23</v>
      </c>
      <c r="G1895" s="1" t="str">
        <f>"CN204861432U"</f>
        <v>CN204861432U</v>
      </c>
      <c r="H1895" s="1" t="str">
        <f t="shared" ref="H1895:H1903" si="929">"2015-12-16"</f>
        <v>2015-12-16</v>
      </c>
      <c r="I1895" s="1" t="str">
        <f t="shared" si="928"/>
        <v>贾成忠</v>
      </c>
      <c r="J1895" s="1" t="str">
        <f t="shared" si="926"/>
        <v>天津市赛奥美德工贸有限公司</v>
      </c>
    </row>
    <row r="1896" spans="1:10">
      <c r="A1896" s="1" t="str">
        <f t="shared" si="925"/>
        <v>天津市赛奥美德工贸有限公司</v>
      </c>
      <c r="B1896" s="1" t="str">
        <f>"一种儿童溜冰鞋护腿结构"</f>
        <v>一种儿童溜冰鞋护腿结构</v>
      </c>
      <c r="C1896" s="1" t="str">
        <f t="shared" si="921"/>
        <v>实用新型</v>
      </c>
      <c r="D1896" s="1" t="str">
        <f t="shared" si="922"/>
        <v>未缴年费专利权终止</v>
      </c>
      <c r="E1896" s="1" t="str">
        <f>"CN201520435599.1"</f>
        <v>CN201520435599.1</v>
      </c>
      <c r="F1896" s="1" t="str">
        <f t="shared" si="927"/>
        <v>2015-06-23</v>
      </c>
      <c r="G1896" s="1" t="str">
        <f>"CN204864862U"</f>
        <v>CN204864862U</v>
      </c>
      <c r="H1896" s="1" t="str">
        <f t="shared" si="929"/>
        <v>2015-12-16</v>
      </c>
      <c r="I1896" s="1" t="str">
        <f t="shared" si="928"/>
        <v>贾成忠</v>
      </c>
      <c r="J1896" s="1" t="str">
        <f t="shared" si="926"/>
        <v>天津市赛奥美德工贸有限公司</v>
      </c>
    </row>
    <row r="1897" spans="1:10">
      <c r="A1897" s="1" t="str">
        <f t="shared" si="925"/>
        <v>天津市赛奥美德工贸有限公司</v>
      </c>
      <c r="B1897" s="1" t="str">
        <f>"一种安装后置锁扣的儿童溜冰鞋"</f>
        <v>一种安装后置锁扣的儿童溜冰鞋</v>
      </c>
      <c r="C1897" s="1" t="str">
        <f t="shared" si="921"/>
        <v>实用新型</v>
      </c>
      <c r="D1897" s="1" t="str">
        <f t="shared" si="922"/>
        <v>未缴年费专利权终止</v>
      </c>
      <c r="E1897" s="1" t="str">
        <f>"CN201520435596.8"</f>
        <v>CN201520435596.8</v>
      </c>
      <c r="F1897" s="1" t="str">
        <f t="shared" si="927"/>
        <v>2015-06-23</v>
      </c>
      <c r="G1897" s="1" t="str">
        <f>"CN204864859U"</f>
        <v>CN204864859U</v>
      </c>
      <c r="H1897" s="1" t="str">
        <f t="shared" si="929"/>
        <v>2015-12-16</v>
      </c>
      <c r="I1897" s="1" t="str">
        <f t="shared" si="928"/>
        <v>贾成忠</v>
      </c>
      <c r="J1897" s="1" t="str">
        <f t="shared" si="926"/>
        <v>天津市赛奥美德工贸有限公司</v>
      </c>
    </row>
    <row r="1898" spans="1:10">
      <c r="A1898" s="1" t="str">
        <f t="shared" si="925"/>
        <v>天津市赛奥美德工贸有限公司</v>
      </c>
      <c r="B1898" s="1" t="str">
        <f>"一种鞋内空间可调的溜冰鞋"</f>
        <v>一种鞋内空间可调的溜冰鞋</v>
      </c>
      <c r="C1898" s="1" t="str">
        <f t="shared" si="921"/>
        <v>实用新型</v>
      </c>
      <c r="D1898" s="1" t="str">
        <f t="shared" si="922"/>
        <v>未缴年费专利权终止</v>
      </c>
      <c r="E1898" s="1" t="str">
        <f>"CN201520435501.2"</f>
        <v>CN201520435501.2</v>
      </c>
      <c r="F1898" s="1" t="str">
        <f t="shared" si="927"/>
        <v>2015-06-23</v>
      </c>
      <c r="G1898" s="1" t="str">
        <f>"CN204864858U"</f>
        <v>CN204864858U</v>
      </c>
      <c r="H1898" s="1" t="str">
        <f t="shared" si="929"/>
        <v>2015-12-16</v>
      </c>
      <c r="I1898" s="1" t="str">
        <f t="shared" si="928"/>
        <v>贾成忠</v>
      </c>
      <c r="J1898" s="1" t="str">
        <f t="shared" si="926"/>
        <v>天津市赛奥美德工贸有限公司</v>
      </c>
    </row>
    <row r="1899" spans="1:10">
      <c r="A1899" s="1" t="str">
        <f t="shared" si="925"/>
        <v>天津市赛奥美德工贸有限公司</v>
      </c>
      <c r="B1899" s="1" t="str">
        <f>"一种用于溜冰鞋的后置式绑带结构"</f>
        <v>一种用于溜冰鞋的后置式绑带结构</v>
      </c>
      <c r="C1899" s="1" t="str">
        <f t="shared" si="921"/>
        <v>实用新型</v>
      </c>
      <c r="D1899" s="1" t="str">
        <f t="shared" si="922"/>
        <v>未缴年费专利权终止</v>
      </c>
      <c r="E1899" s="1" t="str">
        <f>"CN201520434876.7"</f>
        <v>CN201520434876.7</v>
      </c>
      <c r="F1899" s="1" t="str">
        <f t="shared" si="927"/>
        <v>2015-06-23</v>
      </c>
      <c r="G1899" s="1" t="str">
        <f>"CN204864856U"</f>
        <v>CN204864856U</v>
      </c>
      <c r="H1899" s="1" t="str">
        <f t="shared" si="929"/>
        <v>2015-12-16</v>
      </c>
      <c r="I1899" s="1" t="str">
        <f t="shared" si="928"/>
        <v>贾成忠</v>
      </c>
      <c r="J1899" s="1" t="str">
        <f t="shared" si="926"/>
        <v>天津市赛奥美德工贸有限公司</v>
      </c>
    </row>
    <row r="1900" spans="1:10">
      <c r="A1900" s="1" t="str">
        <f t="shared" si="925"/>
        <v>天津市赛奥美德工贸有限公司</v>
      </c>
      <c r="B1900" s="1" t="str">
        <f>"一种儿童溜冰鞋鞋底结构"</f>
        <v>一种儿童溜冰鞋鞋底结构</v>
      </c>
      <c r="C1900" s="1" t="str">
        <f t="shared" si="921"/>
        <v>实用新型</v>
      </c>
      <c r="D1900" s="1" t="str">
        <f t="shared" si="922"/>
        <v>未缴年费专利权终止</v>
      </c>
      <c r="E1900" s="1" t="str">
        <f>"CN201520434878.6"</f>
        <v>CN201520434878.6</v>
      </c>
      <c r="F1900" s="1" t="str">
        <f t="shared" si="927"/>
        <v>2015-06-23</v>
      </c>
      <c r="G1900" s="1" t="str">
        <f>"CN204864857U"</f>
        <v>CN204864857U</v>
      </c>
      <c r="H1900" s="1" t="str">
        <f t="shared" si="929"/>
        <v>2015-12-16</v>
      </c>
      <c r="I1900" s="1" t="str">
        <f t="shared" si="928"/>
        <v>贾成忠</v>
      </c>
      <c r="J1900" s="1" t="str">
        <f t="shared" si="926"/>
        <v>天津市赛奥美德工贸有限公司</v>
      </c>
    </row>
    <row r="1901" spans="1:10">
      <c r="A1901" s="1" t="str">
        <f t="shared" si="925"/>
        <v>天津市赛奥美德工贸有限公司</v>
      </c>
      <c r="B1901" s="1" t="str">
        <f>"一种安装可调式锁扣的溜冰鞋"</f>
        <v>一种安装可调式锁扣的溜冰鞋</v>
      </c>
      <c r="C1901" s="1" t="str">
        <f t="shared" si="921"/>
        <v>实用新型</v>
      </c>
      <c r="D1901" s="1" t="str">
        <f t="shared" si="922"/>
        <v>未缴年费专利权终止</v>
      </c>
      <c r="E1901" s="1" t="str">
        <f>"CN201520434820.1"</f>
        <v>CN201520434820.1</v>
      </c>
      <c r="F1901" s="1" t="str">
        <f>"2015-06-22"</f>
        <v>2015-06-22</v>
      </c>
      <c r="G1901" s="1" t="str">
        <f>"CN204864855U"</f>
        <v>CN204864855U</v>
      </c>
      <c r="H1901" s="1" t="str">
        <f t="shared" si="929"/>
        <v>2015-12-16</v>
      </c>
      <c r="I1901" s="1" t="str">
        <f t="shared" si="928"/>
        <v>贾成忠</v>
      </c>
      <c r="J1901" s="1" t="str">
        <f t="shared" si="926"/>
        <v>天津市赛奥美德工贸有限公司</v>
      </c>
    </row>
    <row r="1902" spans="1:10">
      <c r="A1902" s="1" t="str">
        <f t="shared" si="925"/>
        <v>天津市赛奥美德工贸有限公司</v>
      </c>
      <c r="B1902" s="1" t="str">
        <f>"一种方便穿戴的儿童溜冰鞋"</f>
        <v>一种方便穿戴的儿童溜冰鞋</v>
      </c>
      <c r="C1902" s="1" t="str">
        <f t="shared" si="921"/>
        <v>实用新型</v>
      </c>
      <c r="D1902" s="1" t="str">
        <f t="shared" si="922"/>
        <v>未缴年费专利权终止</v>
      </c>
      <c r="E1902" s="1" t="str">
        <f>"CN201520435598.7"</f>
        <v>CN201520435598.7</v>
      </c>
      <c r="F1902" s="1" t="str">
        <f>"2015-06-23"</f>
        <v>2015-06-23</v>
      </c>
      <c r="G1902" s="1" t="str">
        <f>"CN204864861U"</f>
        <v>CN204864861U</v>
      </c>
      <c r="H1902" s="1" t="str">
        <f t="shared" si="929"/>
        <v>2015-12-16</v>
      </c>
      <c r="I1902" s="1" t="str">
        <f t="shared" si="928"/>
        <v>贾成忠</v>
      </c>
      <c r="J1902" s="1" t="str">
        <f t="shared" si="926"/>
        <v>天津市赛奥美德工贸有限公司</v>
      </c>
    </row>
    <row r="1903" spans="1:10">
      <c r="A1903" s="1" t="str">
        <f t="shared" si="925"/>
        <v>天津市赛奥美德工贸有限公司</v>
      </c>
      <c r="B1903" s="1" t="str">
        <f>"一种多功能儿童溜冰鞋"</f>
        <v>一种多功能儿童溜冰鞋</v>
      </c>
      <c r="C1903" s="1" t="str">
        <f t="shared" si="921"/>
        <v>实用新型</v>
      </c>
      <c r="D1903" s="1" t="str">
        <f t="shared" si="922"/>
        <v>未缴年费专利权终止</v>
      </c>
      <c r="E1903" s="1" t="str">
        <f>"CN201520435597.2"</f>
        <v>CN201520435597.2</v>
      </c>
      <c r="F1903" s="1" t="str">
        <f>"2015-06-23"</f>
        <v>2015-06-23</v>
      </c>
      <c r="G1903" s="1" t="str">
        <f>"CN204864860U"</f>
        <v>CN204864860U</v>
      </c>
      <c r="H1903" s="1" t="str">
        <f t="shared" si="929"/>
        <v>2015-12-16</v>
      </c>
      <c r="I1903" s="1" t="str">
        <f t="shared" si="928"/>
        <v>贾成忠</v>
      </c>
      <c r="J1903" s="1" t="str">
        <f t="shared" si="926"/>
        <v>天津市赛奥美德工贸有限公司</v>
      </c>
    </row>
    <row r="1904" spans="1:10">
      <c r="A1904" s="1" t="str">
        <f t="shared" si="925"/>
        <v>天津市赛奥美德工贸有限公司</v>
      </c>
      <c r="B1904" s="1" t="str">
        <f>"汽车蒸发油管结构"</f>
        <v>汽车蒸发油管结构</v>
      </c>
      <c r="C1904" s="1" t="str">
        <f t="shared" si="921"/>
        <v>实用新型</v>
      </c>
      <c r="D1904" s="1" t="str">
        <f t="shared" si="922"/>
        <v>未缴年费专利权终止</v>
      </c>
      <c r="E1904" s="1" t="str">
        <f>"CN201320159627.2"</f>
        <v>CN201320159627.2</v>
      </c>
      <c r="F1904" s="1" t="str">
        <f>"2013-04-02"</f>
        <v>2013-04-02</v>
      </c>
      <c r="G1904" s="1" t="str">
        <f>"CN203189169U"</f>
        <v>CN203189169U</v>
      </c>
      <c r="H1904" s="1" t="str">
        <f>"2013-09-11"</f>
        <v>2013-09-11</v>
      </c>
      <c r="I1904" s="1" t="str">
        <f t="shared" si="928"/>
        <v>贾成忠</v>
      </c>
      <c r="J1904" s="1" t="str">
        <f t="shared" si="926"/>
        <v>天津市赛奥美德工贸有限公司</v>
      </c>
    </row>
    <row r="1905" spans="1:10">
      <c r="A1905" s="1" t="str">
        <f t="shared" si="925"/>
        <v>天津市赛奥美德工贸有限公司</v>
      </c>
      <c r="B1905" s="1" t="str">
        <f>"汽车金属进油管"</f>
        <v>汽车金属进油管</v>
      </c>
      <c r="C1905" s="1" t="str">
        <f t="shared" si="921"/>
        <v>实用新型</v>
      </c>
      <c r="D1905" s="1" t="str">
        <f t="shared" si="922"/>
        <v>未缴年费专利权终止</v>
      </c>
      <c r="E1905" s="1" t="str">
        <f>"CN201320160825.0"</f>
        <v>CN201320160825.0</v>
      </c>
      <c r="F1905" s="1" t="str">
        <f>"2013-04-02"</f>
        <v>2013-04-02</v>
      </c>
      <c r="G1905" s="1" t="str">
        <f>"CN203189883U"</f>
        <v>CN203189883U</v>
      </c>
      <c r="H1905" s="1" t="str">
        <f>"2013-09-11"</f>
        <v>2013-09-11</v>
      </c>
      <c r="I1905" s="1" t="str">
        <f t="shared" si="928"/>
        <v>贾成忠</v>
      </c>
      <c r="J1905" s="1" t="str">
        <f t="shared" si="926"/>
        <v>天津市赛奥美德工贸有限公司</v>
      </c>
    </row>
    <row r="1906" spans="1:10">
      <c r="A1906" s="1" t="str">
        <f t="shared" ref="A1906:A1931" si="930">"天津电达汽车部件有限公司"</f>
        <v>天津电达汽车部件有限公司</v>
      </c>
      <c r="B1906" s="1" t="str">
        <f>"助力转向控制器的密封端盖"</f>
        <v>助力转向控制器的密封端盖</v>
      </c>
      <c r="C1906" s="1" t="str">
        <f>"外观设计"</f>
        <v>外观设计</v>
      </c>
      <c r="D1906" s="1" t="str">
        <f t="shared" ref="D1906:D1963" si="931">"授权"</f>
        <v>授权</v>
      </c>
      <c r="E1906" s="1" t="str">
        <f>"CN202430265271.4"</f>
        <v>CN202430265271.4</v>
      </c>
      <c r="F1906" s="1" t="str">
        <f>"2024-05-08"</f>
        <v>2024-05-08</v>
      </c>
      <c r="G1906" s="1" t="str">
        <f>"CN309367865S"</f>
        <v>CN309367865S</v>
      </c>
      <c r="H1906" s="1" t="str">
        <f>"2025-07-04"</f>
        <v>2025-07-04</v>
      </c>
      <c r="I1906" s="1" t="s">
        <v>5045</v>
      </c>
      <c r="J1906" s="1" t="str">
        <f t="shared" ref="J1906:J1931" si="932">"天津电达汽车部件有限公司"</f>
        <v>天津电达汽车部件有限公司</v>
      </c>
    </row>
    <row r="1907" spans="1:10">
      <c r="A1907" s="1" t="str">
        <f t="shared" si="930"/>
        <v>天津电达汽车部件有限公司</v>
      </c>
      <c r="B1907" s="1" t="str">
        <f>"中框式全防水无刷助力转向控制器的散热器"</f>
        <v>中框式全防水无刷助力转向控制器的散热器</v>
      </c>
      <c r="C1907" s="1" t="str">
        <f>"外观设计"</f>
        <v>外观设计</v>
      </c>
      <c r="D1907" s="1" t="str">
        <f t="shared" si="931"/>
        <v>授权</v>
      </c>
      <c r="E1907" s="1" t="str">
        <f>"CN202430255525.4"</f>
        <v>CN202430255525.4</v>
      </c>
      <c r="F1907" s="1" t="str">
        <f>"2024-04-30"</f>
        <v>2024-04-30</v>
      </c>
      <c r="G1907" s="1" t="str">
        <f>"CN309280728S"</f>
        <v>CN309280728S</v>
      </c>
      <c r="H1907" s="1" t="str">
        <f>"2025-05-09"</f>
        <v>2025-05-09</v>
      </c>
      <c r="I1907" s="1" t="s">
        <v>5045</v>
      </c>
      <c r="J1907" s="1" t="str">
        <f t="shared" si="932"/>
        <v>天津电达汽车部件有限公司</v>
      </c>
    </row>
    <row r="1908" spans="1:10">
      <c r="A1908" s="1" t="str">
        <f t="shared" si="930"/>
        <v>天津电达汽车部件有限公司</v>
      </c>
      <c r="B1908" s="1" t="str">
        <f>"一种控制器PCBA插件自动浸焊设备"</f>
        <v>一种控制器PCBA插件自动浸焊设备</v>
      </c>
      <c r="C1908" s="1" t="str">
        <f t="shared" ref="C1908:C1912" si="933">"实用新型"</f>
        <v>实用新型</v>
      </c>
      <c r="D1908" s="1" t="str">
        <f t="shared" si="931"/>
        <v>授权</v>
      </c>
      <c r="E1908" s="1" t="str">
        <f>"CN202320897210.X"</f>
        <v>CN202320897210.X</v>
      </c>
      <c r="F1908" s="1" t="str">
        <f>"2023-04-20"</f>
        <v>2023-04-20</v>
      </c>
      <c r="G1908" s="1" t="str">
        <f>"CN219520761U"</f>
        <v>CN219520761U</v>
      </c>
      <c r="H1908" s="1" t="str">
        <f t="shared" ref="H1908:H1911" si="934">"2023-08-15"</f>
        <v>2023-08-15</v>
      </c>
      <c r="I1908" s="1" t="s">
        <v>5045</v>
      </c>
      <c r="J1908" s="1" t="str">
        <f t="shared" si="932"/>
        <v>天津电达汽车部件有限公司</v>
      </c>
    </row>
    <row r="1909" spans="1:10">
      <c r="A1909" s="1" t="str">
        <f t="shared" si="930"/>
        <v>天津电达汽车部件有限公司</v>
      </c>
      <c r="B1909" s="1" t="str">
        <f>"基于Windows硬件的EPS转向助力控制系统演示设备"</f>
        <v>基于Windows硬件的EPS转向助力控制系统演示设备</v>
      </c>
      <c r="C1909" s="1" t="str">
        <f t="shared" si="933"/>
        <v>实用新型</v>
      </c>
      <c r="D1909" s="1" t="str">
        <f t="shared" si="931"/>
        <v>授权</v>
      </c>
      <c r="E1909" s="1" t="str">
        <f>"CN202320897202.5"</f>
        <v>CN202320897202.5</v>
      </c>
      <c r="F1909" s="1" t="str">
        <f>"2023-04-20"</f>
        <v>2023-04-20</v>
      </c>
      <c r="G1909" s="1" t="str">
        <f>"CN219533600U"</f>
        <v>CN219533600U</v>
      </c>
      <c r="H1909" s="1" t="str">
        <f t="shared" si="934"/>
        <v>2023-08-15</v>
      </c>
      <c r="I1909" s="1" t="s">
        <v>5045</v>
      </c>
      <c r="J1909" s="1" t="str">
        <f t="shared" si="932"/>
        <v>天津电达汽车部件有限公司</v>
      </c>
    </row>
    <row r="1910" spans="1:10">
      <c r="A1910" s="1" t="str">
        <f t="shared" si="930"/>
        <v>天津电达汽车部件有限公司</v>
      </c>
      <c r="B1910" s="1" t="str">
        <f>"一种用于无人驾驶场景EPS模拟控制的智能驾舱设备"</f>
        <v>一种用于无人驾驶场景EPS模拟控制的智能驾舱设备</v>
      </c>
      <c r="C1910" s="1" t="str">
        <f t="shared" si="933"/>
        <v>实用新型</v>
      </c>
      <c r="D1910" s="1" t="str">
        <f t="shared" si="931"/>
        <v>授权</v>
      </c>
      <c r="E1910" s="1" t="str">
        <f>"CN202320656170.X"</f>
        <v>CN202320656170.X</v>
      </c>
      <c r="F1910" s="1" t="str">
        <f>"2023-03-29"</f>
        <v>2023-03-29</v>
      </c>
      <c r="G1910" s="1" t="str">
        <f>"CN219533668U"</f>
        <v>CN219533668U</v>
      </c>
      <c r="H1910" s="1" t="str">
        <f t="shared" si="934"/>
        <v>2023-08-15</v>
      </c>
      <c r="I1910" s="1" t="s">
        <v>5045</v>
      </c>
      <c r="J1910" s="1" t="str">
        <f t="shared" si="932"/>
        <v>天津电达汽车部件有限公司</v>
      </c>
    </row>
    <row r="1911" spans="1:10">
      <c r="A1911" s="1" t="str">
        <f t="shared" si="930"/>
        <v>天津电达汽车部件有限公司</v>
      </c>
      <c r="B1911" s="1" t="str">
        <f>"一种模块化芯片烧录设备"</f>
        <v>一种模块化芯片烧录设备</v>
      </c>
      <c r="C1911" s="1" t="str">
        <f t="shared" si="933"/>
        <v>实用新型</v>
      </c>
      <c r="D1911" s="1" t="str">
        <f t="shared" si="931"/>
        <v>授权</v>
      </c>
      <c r="E1911" s="1" t="str">
        <f>"CN202320656192.6"</f>
        <v>CN202320656192.6</v>
      </c>
      <c r="F1911" s="1" t="str">
        <f>"2023-03-29"</f>
        <v>2023-03-29</v>
      </c>
      <c r="G1911" s="1" t="str">
        <f>"CN219525131U"</f>
        <v>CN219525131U</v>
      </c>
      <c r="H1911" s="1" t="str">
        <f t="shared" si="934"/>
        <v>2023-08-15</v>
      </c>
      <c r="I1911" s="1" t="s">
        <v>5045</v>
      </c>
      <c r="J1911" s="1" t="str">
        <f t="shared" si="932"/>
        <v>天津电达汽车部件有限公司</v>
      </c>
    </row>
    <row r="1912" spans="1:10">
      <c r="A1912" s="1" t="str">
        <f t="shared" si="930"/>
        <v>天津电达汽车部件有限公司</v>
      </c>
      <c r="B1912" s="1" t="str">
        <f>"一种EPS转向控制器电流校准仪"</f>
        <v>一种EPS转向控制器电流校准仪</v>
      </c>
      <c r="C1912" s="1" t="str">
        <f t="shared" si="933"/>
        <v>实用新型</v>
      </c>
      <c r="D1912" s="1" t="str">
        <f t="shared" si="931"/>
        <v>授权</v>
      </c>
      <c r="E1912" s="1" t="str">
        <f>"CN202222069861.8"</f>
        <v>CN202222069861.8</v>
      </c>
      <c r="F1912" s="1" t="str">
        <f>"2022-08-08"</f>
        <v>2022-08-08</v>
      </c>
      <c r="G1912" s="1" t="str">
        <f>"CN218100012U"</f>
        <v>CN218100012U</v>
      </c>
      <c r="H1912" s="1" t="str">
        <f>"2022-12-20"</f>
        <v>2022-12-20</v>
      </c>
      <c r="I1912" s="1" t="s">
        <v>5045</v>
      </c>
      <c r="J1912" s="1" t="str">
        <f t="shared" si="932"/>
        <v>天津电达汽车部件有限公司</v>
      </c>
    </row>
    <row r="1913" spans="1:10">
      <c r="A1913" s="1" t="str">
        <f t="shared" si="930"/>
        <v>天津电达汽车部件有限公司</v>
      </c>
      <c r="B1913" s="1" t="str">
        <f>"助力转向控制器用散热器"</f>
        <v>助力转向控制器用散热器</v>
      </c>
      <c r="C1913" s="1" t="str">
        <f>"外观设计"</f>
        <v>外观设计</v>
      </c>
      <c r="D1913" s="1" t="str">
        <f t="shared" si="931"/>
        <v>授权</v>
      </c>
      <c r="E1913" s="1" t="str">
        <f>"CN202230064929.6"</f>
        <v>CN202230064929.6</v>
      </c>
      <c r="F1913" s="1" t="str">
        <f>"2022-02-08"</f>
        <v>2022-02-08</v>
      </c>
      <c r="G1913" s="1" t="str">
        <f>"CN307486021S"</f>
        <v>CN307486021S</v>
      </c>
      <c r="H1913" s="1" t="str">
        <f>"2022-08-05"</f>
        <v>2022-08-05</v>
      </c>
      <c r="I1913" s="1" t="s">
        <v>5045</v>
      </c>
      <c r="J1913" s="1" t="str">
        <f t="shared" si="932"/>
        <v>天津电达汽车部件有限公司</v>
      </c>
    </row>
    <row r="1914" spans="1:10">
      <c r="A1914" s="1" t="str">
        <f t="shared" si="930"/>
        <v>天津电达汽车部件有限公司</v>
      </c>
      <c r="B1914" s="1" t="str">
        <f>"一种用于电动助力转向系统的新型扭角一体式传感器"</f>
        <v>一种用于电动助力转向系统的新型扭角一体式传感器</v>
      </c>
      <c r="C1914" s="1" t="str">
        <f t="shared" ref="C1914:C1923" si="935">"实用新型"</f>
        <v>实用新型</v>
      </c>
      <c r="D1914" s="1" t="str">
        <f t="shared" si="931"/>
        <v>授权</v>
      </c>
      <c r="E1914" s="1" t="str">
        <f>"CN202220638707.5"</f>
        <v>CN202220638707.5</v>
      </c>
      <c r="F1914" s="1" t="str">
        <f>"2022-03-22"</f>
        <v>2022-03-22</v>
      </c>
      <c r="G1914" s="1" t="str">
        <f>"CN217032837U"</f>
        <v>CN217032837U</v>
      </c>
      <c r="H1914" s="1" t="str">
        <f>"2022-07-22"</f>
        <v>2022-07-22</v>
      </c>
      <c r="I1914" s="1" t="s">
        <v>5045</v>
      </c>
      <c r="J1914" s="1" t="str">
        <f t="shared" si="932"/>
        <v>天津电达汽车部件有限公司</v>
      </c>
    </row>
    <row r="1915" spans="1:10">
      <c r="A1915" s="1" t="str">
        <f t="shared" si="930"/>
        <v>天津电达汽车部件有限公司</v>
      </c>
      <c r="B1915" s="1" t="str">
        <f>"一种疲劳驾驶提醒及车道保持辅助控制系统"</f>
        <v>一种疲劳驾驶提醒及车道保持辅助控制系统</v>
      </c>
      <c r="C1915" s="1" t="str">
        <f t="shared" si="935"/>
        <v>实用新型</v>
      </c>
      <c r="D1915" s="1" t="str">
        <f t="shared" si="931"/>
        <v>授权</v>
      </c>
      <c r="E1915" s="1" t="str">
        <f>"CN202123187425.2"</f>
        <v>CN202123187425.2</v>
      </c>
      <c r="F1915" s="1" t="str">
        <f>"2021-12-17"</f>
        <v>2021-12-17</v>
      </c>
      <c r="G1915" s="1" t="str">
        <f>"CN216331999U"</f>
        <v>CN216331999U</v>
      </c>
      <c r="H1915" s="1" t="str">
        <f>"2022-04-19"</f>
        <v>2022-04-19</v>
      </c>
      <c r="I1915" s="1" t="s">
        <v>5045</v>
      </c>
      <c r="J1915" s="1" t="str">
        <f t="shared" si="932"/>
        <v>天津电达汽车部件有限公司</v>
      </c>
    </row>
    <row r="1916" spans="1:10">
      <c r="A1916" s="1" t="str">
        <f t="shared" si="930"/>
        <v>天津电达汽车部件有限公司</v>
      </c>
      <c r="B1916" s="1" t="str">
        <f>"一种EPS控制器多维度智能检测设备"</f>
        <v>一种EPS控制器多维度智能检测设备</v>
      </c>
      <c r="C1916" s="1" t="str">
        <f t="shared" si="935"/>
        <v>实用新型</v>
      </c>
      <c r="D1916" s="1" t="str">
        <f t="shared" si="931"/>
        <v>授权</v>
      </c>
      <c r="E1916" s="1" t="str">
        <f>"CN202122773065.8"</f>
        <v>CN202122773065.8</v>
      </c>
      <c r="F1916" s="1" t="str">
        <f>"2021-11-12"</f>
        <v>2021-11-12</v>
      </c>
      <c r="G1916" s="1" t="str">
        <f>"CN216034631U"</f>
        <v>CN216034631U</v>
      </c>
      <c r="H1916" s="1" t="str">
        <f>"2022-03-15"</f>
        <v>2022-03-15</v>
      </c>
      <c r="I1916" s="1" t="s">
        <v>5045</v>
      </c>
      <c r="J1916" s="1" t="str">
        <f t="shared" si="932"/>
        <v>天津电达汽车部件有限公司</v>
      </c>
    </row>
    <row r="1917" spans="1:10">
      <c r="A1917" s="1" t="str">
        <f t="shared" si="930"/>
        <v>天津电达汽车部件有限公司</v>
      </c>
      <c r="B1917" s="1" t="str">
        <f>"一种具有双电机安全冗余控制的线控转向EPS控制器"</f>
        <v>一种具有双电机安全冗余控制的线控转向EPS控制器</v>
      </c>
      <c r="C1917" s="1" t="str">
        <f t="shared" si="935"/>
        <v>实用新型</v>
      </c>
      <c r="D1917" s="1" t="str">
        <f t="shared" si="931"/>
        <v>授权</v>
      </c>
      <c r="E1917" s="1" t="str">
        <f>"CN202023080435.1"</f>
        <v>CN202023080435.1</v>
      </c>
      <c r="F1917" s="1" t="str">
        <f>"2020-12-18"</f>
        <v>2020-12-18</v>
      </c>
      <c r="G1917" s="1" t="str">
        <f>"CN214420544U"</f>
        <v>CN214420544U</v>
      </c>
      <c r="H1917" s="1" t="str">
        <f>"2021-10-19"</f>
        <v>2021-10-19</v>
      </c>
      <c r="I1917" s="1" t="s">
        <v>5045</v>
      </c>
      <c r="J1917" s="1" t="str">
        <f t="shared" si="932"/>
        <v>天津电达汽车部件有限公司</v>
      </c>
    </row>
    <row r="1918" spans="1:10">
      <c r="A1918" s="1" t="str">
        <f t="shared" si="930"/>
        <v>天津电达汽车部件有限公司</v>
      </c>
      <c r="B1918" s="1" t="str">
        <f>"一种基于转向角度传感器的可变齿比线控转向装置"</f>
        <v>一种基于转向角度传感器的可变齿比线控转向装置</v>
      </c>
      <c r="C1918" s="1" t="str">
        <f t="shared" si="935"/>
        <v>实用新型</v>
      </c>
      <c r="D1918" s="1" t="str">
        <f t="shared" si="931"/>
        <v>授权</v>
      </c>
      <c r="E1918" s="1" t="str">
        <f>"CN202023067995.3"</f>
        <v>CN202023067995.3</v>
      </c>
      <c r="F1918" s="1" t="str">
        <f>"2020-12-18"</f>
        <v>2020-12-18</v>
      </c>
      <c r="G1918" s="1" t="str">
        <f>"CN214138682U"</f>
        <v>CN214138682U</v>
      </c>
      <c r="H1918" s="1" t="str">
        <f>"2021-09-07"</f>
        <v>2021-09-07</v>
      </c>
      <c r="I1918" s="1" t="s">
        <v>5045</v>
      </c>
      <c r="J1918" s="1" t="str">
        <f t="shared" si="932"/>
        <v>天津电达汽车部件有限公司</v>
      </c>
    </row>
    <row r="1919" spans="1:10">
      <c r="A1919" s="1" t="str">
        <f t="shared" si="930"/>
        <v>天津电达汽车部件有限公司</v>
      </c>
      <c r="B1919" s="1" t="str">
        <f>"一种新型汽车电动助力转向控制器壳体铆压设备"</f>
        <v>一种新型汽车电动助力转向控制器壳体铆压设备</v>
      </c>
      <c r="C1919" s="1" t="str">
        <f t="shared" si="935"/>
        <v>实用新型</v>
      </c>
      <c r="D1919" s="1" t="str">
        <f t="shared" si="931"/>
        <v>授权</v>
      </c>
      <c r="E1919" s="1" t="str">
        <f>"CN201921784883.4"</f>
        <v>CN201921784883.4</v>
      </c>
      <c r="F1919" s="1" t="str">
        <f>"2019-10-23"</f>
        <v>2019-10-23</v>
      </c>
      <c r="G1919" s="1" t="str">
        <f>"CN211990610U"</f>
        <v>CN211990610U</v>
      </c>
      <c r="H1919" s="1" t="str">
        <f>"2020-11-24"</f>
        <v>2020-11-24</v>
      </c>
      <c r="I1919" s="1" t="s">
        <v>5046</v>
      </c>
      <c r="J1919" s="1" t="str">
        <f t="shared" si="932"/>
        <v>天津电达汽车部件有限公司</v>
      </c>
    </row>
    <row r="1920" spans="1:10">
      <c r="A1920" s="1" t="str">
        <f t="shared" si="930"/>
        <v>天津电达汽车部件有限公司</v>
      </c>
      <c r="B1920" s="1" t="str">
        <f>"新型汽车电动助力转向控制器电路板插件自动焊接机器人"</f>
        <v>新型汽车电动助力转向控制器电路板插件自动焊接机器人</v>
      </c>
      <c r="C1920" s="1" t="str">
        <f t="shared" si="935"/>
        <v>实用新型</v>
      </c>
      <c r="D1920" s="1" t="str">
        <f t="shared" si="931"/>
        <v>授权</v>
      </c>
      <c r="E1920" s="1" t="str">
        <f>"CN201921869341.7"</f>
        <v>CN201921869341.7</v>
      </c>
      <c r="F1920" s="1" t="str">
        <f t="shared" ref="F1920:F1924" si="936">"2019-11-01"</f>
        <v>2019-11-01</v>
      </c>
      <c r="G1920" s="1" t="str">
        <f>"CN210937789U"</f>
        <v>CN210937789U</v>
      </c>
      <c r="H1920" s="1" t="str">
        <f>"2020-07-07"</f>
        <v>2020-07-07</v>
      </c>
      <c r="I1920" s="1" t="s">
        <v>5046</v>
      </c>
      <c r="J1920" s="1" t="str">
        <f t="shared" si="932"/>
        <v>天津电达汽车部件有限公司</v>
      </c>
    </row>
    <row r="1921" spans="1:10">
      <c r="A1921" s="1" t="str">
        <f t="shared" si="930"/>
        <v>天津电达汽车部件有限公司</v>
      </c>
      <c r="B1921" s="1" t="str">
        <f>"一种新型电动助力转向EPS控制器的防水结构"</f>
        <v>一种新型电动助力转向EPS控制器的防水结构</v>
      </c>
      <c r="C1921" s="1" t="str">
        <f t="shared" si="935"/>
        <v>实用新型</v>
      </c>
      <c r="D1921" s="1" t="str">
        <f t="shared" si="931"/>
        <v>授权</v>
      </c>
      <c r="E1921" s="1" t="str">
        <f>"CN201921889518.X"</f>
        <v>CN201921889518.X</v>
      </c>
      <c r="F1921" s="1" t="str">
        <f>"2019-11-05"</f>
        <v>2019-11-05</v>
      </c>
      <c r="G1921" s="1" t="str">
        <f>"CN210882297U"</f>
        <v>CN210882297U</v>
      </c>
      <c r="H1921" s="1" t="str">
        <f>"2020-06-30"</f>
        <v>2020-06-30</v>
      </c>
      <c r="I1921" s="1" t="s">
        <v>5046</v>
      </c>
      <c r="J1921" s="1" t="str">
        <f t="shared" si="932"/>
        <v>天津电达汽车部件有限公司</v>
      </c>
    </row>
    <row r="1922" spans="1:10">
      <c r="A1922" s="1" t="str">
        <f t="shared" si="930"/>
        <v>天津电达汽车部件有限公司</v>
      </c>
      <c r="B1922" s="1" t="str">
        <f>"一种汽车电动助力转向系统用传感器校准及标定设备"</f>
        <v>一种汽车电动助力转向系统用传感器校准及标定设备</v>
      </c>
      <c r="C1922" s="1" t="str">
        <f t="shared" si="935"/>
        <v>实用新型</v>
      </c>
      <c r="D1922" s="1" t="str">
        <f t="shared" si="931"/>
        <v>授权</v>
      </c>
      <c r="E1922" s="1" t="str">
        <f>"CN201921887780.0"</f>
        <v>CN201921887780.0</v>
      </c>
      <c r="F1922" s="1" t="str">
        <f>"2019-11-05"</f>
        <v>2019-11-05</v>
      </c>
      <c r="G1922" s="1" t="str">
        <f>"CN210802770U"</f>
        <v>CN210802770U</v>
      </c>
      <c r="H1922" s="1" t="str">
        <f>"2020-06-19"</f>
        <v>2020-06-19</v>
      </c>
      <c r="I1922" s="1" t="s">
        <v>5046</v>
      </c>
      <c r="J1922" s="1" t="str">
        <f t="shared" si="932"/>
        <v>天津电达汽车部件有限公司</v>
      </c>
    </row>
    <row r="1923" spans="1:10">
      <c r="A1923" s="1" t="str">
        <f t="shared" si="930"/>
        <v>天津电达汽车部件有限公司</v>
      </c>
      <c r="B1923" s="1" t="str">
        <f>"一种汽车线控转向控制器模拟测试台架"</f>
        <v>一种汽车线控转向控制器模拟测试台架</v>
      </c>
      <c r="C1923" s="1" t="str">
        <f t="shared" si="935"/>
        <v>实用新型</v>
      </c>
      <c r="D1923" s="1" t="str">
        <f t="shared" si="931"/>
        <v>授权</v>
      </c>
      <c r="E1923" s="1" t="str">
        <f>"CN201921868807.1"</f>
        <v>CN201921868807.1</v>
      </c>
      <c r="F1923" s="1" t="str">
        <f t="shared" si="936"/>
        <v>2019-11-01</v>
      </c>
      <c r="G1923" s="1" t="str">
        <f>"CN210666479U"</f>
        <v>CN210666479U</v>
      </c>
      <c r="H1923" s="1" t="str">
        <f t="shared" ref="H1923:H1925" si="937">"2020-06-02"</f>
        <v>2020-06-02</v>
      </c>
      <c r="I1923" s="1" t="s">
        <v>5046</v>
      </c>
      <c r="J1923" s="1" t="str">
        <f t="shared" si="932"/>
        <v>天津电达汽车部件有限公司</v>
      </c>
    </row>
    <row r="1924" spans="1:10">
      <c r="A1924" s="1" t="str">
        <f t="shared" si="930"/>
        <v>天津电达汽车部件有限公司</v>
      </c>
      <c r="B1924" s="1" t="str">
        <f>"平台电动助力转向控制器的散热装置"</f>
        <v>平台电动助力转向控制器的散热装置</v>
      </c>
      <c r="C1924" s="1" t="str">
        <f>"外观设计"</f>
        <v>外观设计</v>
      </c>
      <c r="D1924" s="1" t="str">
        <f t="shared" si="931"/>
        <v>授权</v>
      </c>
      <c r="E1924" s="1" t="str">
        <f>"CN201930600172.6"</f>
        <v>CN201930600172.6</v>
      </c>
      <c r="F1924" s="1" t="str">
        <f t="shared" si="936"/>
        <v>2019-11-01</v>
      </c>
      <c r="G1924" s="1" t="str">
        <f>"CN305821962S"</f>
        <v>CN305821962S</v>
      </c>
      <c r="H1924" s="1" t="str">
        <f t="shared" si="937"/>
        <v>2020-06-02</v>
      </c>
      <c r="I1924" s="1" t="s">
        <v>5046</v>
      </c>
      <c r="J1924" s="1" t="str">
        <f t="shared" si="932"/>
        <v>天津电达汽车部件有限公司</v>
      </c>
    </row>
    <row r="1925" spans="1:10">
      <c r="A1925" s="1" t="str">
        <f t="shared" si="930"/>
        <v>天津电达汽车部件有限公司</v>
      </c>
      <c r="B1925" s="1" t="str">
        <f>"一种新型汽车电动助力转向控制器用防水接插件"</f>
        <v>一种新型汽车电动助力转向控制器用防水接插件</v>
      </c>
      <c r="C1925" s="1" t="str">
        <f t="shared" ref="C1925:C1930" si="938">"实用新型"</f>
        <v>实用新型</v>
      </c>
      <c r="D1925" s="1" t="str">
        <f t="shared" si="931"/>
        <v>授权</v>
      </c>
      <c r="E1925" s="1" t="str">
        <f>"CN201921785289.7"</f>
        <v>CN201921785289.7</v>
      </c>
      <c r="F1925" s="1" t="str">
        <f t="shared" ref="F1925:F1928" si="939">"2019-10-23"</f>
        <v>2019-10-23</v>
      </c>
      <c r="G1925" s="1" t="str">
        <f>"CN210668817U"</f>
        <v>CN210668817U</v>
      </c>
      <c r="H1925" s="1" t="str">
        <f t="shared" si="937"/>
        <v>2020-06-02</v>
      </c>
      <c r="I1925" s="1" t="s">
        <v>5046</v>
      </c>
      <c r="J1925" s="1" t="str">
        <f t="shared" si="932"/>
        <v>天津电达汽车部件有限公司</v>
      </c>
    </row>
    <row r="1926" spans="1:10">
      <c r="A1926" s="1" t="str">
        <f t="shared" si="930"/>
        <v>天津电达汽车部件有限公司</v>
      </c>
      <c r="B1926" s="1" t="str">
        <f>"一种新型的汽车电动助力转向控制系统手持标定仪"</f>
        <v>一种新型的汽车电动助力转向控制系统手持标定仪</v>
      </c>
      <c r="C1926" s="1" t="str">
        <f t="shared" si="938"/>
        <v>实用新型</v>
      </c>
      <c r="D1926" s="1" t="str">
        <f t="shared" si="931"/>
        <v>授权</v>
      </c>
      <c r="E1926" s="1" t="str">
        <f>"CN201921794279.X"</f>
        <v>CN201921794279.X</v>
      </c>
      <c r="F1926" s="1" t="str">
        <f t="shared" si="939"/>
        <v>2019-10-23</v>
      </c>
      <c r="G1926" s="1" t="str">
        <f>"CN210533728U"</f>
        <v>CN210533728U</v>
      </c>
      <c r="H1926" s="1" t="str">
        <f t="shared" ref="H1926:H1928" si="940">"2020-05-15"</f>
        <v>2020-05-15</v>
      </c>
      <c r="I1926" s="1" t="s">
        <v>5046</v>
      </c>
      <c r="J1926" s="1" t="str">
        <f t="shared" si="932"/>
        <v>天津电达汽车部件有限公司</v>
      </c>
    </row>
    <row r="1927" spans="1:10">
      <c r="A1927" s="1" t="str">
        <f t="shared" si="930"/>
        <v>天津电达汽车部件有限公司</v>
      </c>
      <c r="B1927" s="1" t="str">
        <f>"一种新型汽车电动助力转向控制器弹簧可变负载测试台架"</f>
        <v>一种新型汽车电动助力转向控制器弹簧可变负载测试台架</v>
      </c>
      <c r="C1927" s="1" t="str">
        <f t="shared" si="938"/>
        <v>实用新型</v>
      </c>
      <c r="D1927" s="1" t="str">
        <f t="shared" si="931"/>
        <v>授权</v>
      </c>
      <c r="E1927" s="1" t="str">
        <f>"CN201921784932.4"</f>
        <v>CN201921784932.4</v>
      </c>
      <c r="F1927" s="1" t="str">
        <f t="shared" si="939"/>
        <v>2019-10-23</v>
      </c>
      <c r="G1927" s="1" t="str">
        <f>"CN210533689U"</f>
        <v>CN210533689U</v>
      </c>
      <c r="H1927" s="1" t="str">
        <f t="shared" si="940"/>
        <v>2020-05-15</v>
      </c>
      <c r="I1927" s="1" t="s">
        <v>5046</v>
      </c>
      <c r="J1927" s="1" t="str">
        <f t="shared" si="932"/>
        <v>天津电达汽车部件有限公司</v>
      </c>
    </row>
    <row r="1928" spans="1:10">
      <c r="A1928" s="1" t="str">
        <f t="shared" si="930"/>
        <v>天津电达汽车部件有限公司</v>
      </c>
      <c r="B1928" s="1" t="str">
        <f>"一种汽车电动助力转向系统电路板视觉识别检测设备"</f>
        <v>一种汽车电动助力转向系统电路板视觉识别检测设备</v>
      </c>
      <c r="C1928" s="1" t="str">
        <f t="shared" si="938"/>
        <v>实用新型</v>
      </c>
      <c r="D1928" s="1" t="str">
        <f t="shared" si="931"/>
        <v>授权</v>
      </c>
      <c r="E1928" s="1" t="str">
        <f>"CN201921785301.4"</f>
        <v>CN201921785301.4</v>
      </c>
      <c r="F1928" s="1" t="str">
        <f t="shared" si="939"/>
        <v>2019-10-23</v>
      </c>
      <c r="G1928" s="1" t="str">
        <f>"CN210533293U"</f>
        <v>CN210533293U</v>
      </c>
      <c r="H1928" s="1" t="str">
        <f t="shared" si="940"/>
        <v>2020-05-15</v>
      </c>
      <c r="I1928" s="1" t="s">
        <v>5046</v>
      </c>
      <c r="J1928" s="1" t="str">
        <f t="shared" si="932"/>
        <v>天津电达汽车部件有限公司</v>
      </c>
    </row>
    <row r="1929" spans="1:10">
      <c r="A1929" s="1" t="str">
        <f t="shared" si="930"/>
        <v>天津电达汽车部件有限公司</v>
      </c>
      <c r="B1929" s="1" t="str">
        <f>"一种新型电动助力转向控制器的散热器"</f>
        <v>一种新型电动助力转向控制器的散热器</v>
      </c>
      <c r="C1929" s="1" t="str">
        <f t="shared" si="938"/>
        <v>实用新型</v>
      </c>
      <c r="D1929" s="1" t="str">
        <f t="shared" si="931"/>
        <v>授权</v>
      </c>
      <c r="E1929" s="1" t="str">
        <f>"CN201920467538.1"</f>
        <v>CN201920467538.1</v>
      </c>
      <c r="F1929" s="1" t="str">
        <f>"2019-04-09"</f>
        <v>2019-04-09</v>
      </c>
      <c r="G1929" s="1" t="str">
        <f>"CN209739149U"</f>
        <v>CN209739149U</v>
      </c>
      <c r="H1929" s="1" t="str">
        <f>"2019-12-06"</f>
        <v>2019-12-06</v>
      </c>
      <c r="I1929" s="1" t="s">
        <v>5047</v>
      </c>
      <c r="J1929" s="1" t="str">
        <f t="shared" si="932"/>
        <v>天津电达汽车部件有限公司</v>
      </c>
    </row>
    <row r="1930" spans="1:10">
      <c r="A1930" s="1" t="str">
        <f t="shared" si="930"/>
        <v>天津电达汽车部件有限公司</v>
      </c>
      <c r="B1930" s="1" t="str">
        <f>"一种新型电动助力转向控制器性能测试台"</f>
        <v>一种新型电动助力转向控制器性能测试台</v>
      </c>
      <c r="C1930" s="1" t="str">
        <f t="shared" si="938"/>
        <v>实用新型</v>
      </c>
      <c r="D1930" s="1" t="str">
        <f t="shared" si="931"/>
        <v>授权</v>
      </c>
      <c r="E1930" s="1" t="str">
        <f>"CN201920467556.X"</f>
        <v>CN201920467556.X</v>
      </c>
      <c r="F1930" s="1" t="str">
        <f>"2019-04-09"</f>
        <v>2019-04-09</v>
      </c>
      <c r="G1930" s="1" t="str">
        <f>"CN209606098U"</f>
        <v>CN209606098U</v>
      </c>
      <c r="H1930" s="1" t="str">
        <f>"2019-11-08"</f>
        <v>2019-11-08</v>
      </c>
      <c r="I1930" s="1" t="str">
        <f>"李吉祥"</f>
        <v>李吉祥</v>
      </c>
      <c r="J1930" s="1" t="str">
        <f t="shared" si="932"/>
        <v>天津电达汽车部件有限公司</v>
      </c>
    </row>
    <row r="1931" spans="1:10">
      <c r="A1931" s="1" t="str">
        <f t="shared" si="930"/>
        <v>天津电达汽车部件有限公司</v>
      </c>
      <c r="B1931" s="1" t="str">
        <f>"电动助力转向控制器的散热装置"</f>
        <v>电动助力转向控制器的散热装置</v>
      </c>
      <c r="C1931" s="1" t="str">
        <f>"外观设计"</f>
        <v>外观设计</v>
      </c>
      <c r="D1931" s="1" t="str">
        <f t="shared" si="931"/>
        <v>授权</v>
      </c>
      <c r="E1931" s="1" t="str">
        <f>"CN201830707536.6"</f>
        <v>CN201830707536.6</v>
      </c>
      <c r="F1931" s="1" t="str">
        <f>"2018-12-07"</f>
        <v>2018-12-07</v>
      </c>
      <c r="G1931" s="1" t="str">
        <f>"CN305116178S"</f>
        <v>CN305116178S</v>
      </c>
      <c r="H1931" s="1" t="str">
        <f>"2019-04-16"</f>
        <v>2019-04-16</v>
      </c>
      <c r="I1931" s="1" t="s">
        <v>5047</v>
      </c>
      <c r="J1931" s="1" t="str">
        <f t="shared" si="932"/>
        <v>天津电达汽车部件有限公司</v>
      </c>
    </row>
    <row r="1932" spans="1:10">
      <c r="A1932" s="1" t="str">
        <f t="shared" ref="A1932:A1983" si="941">"天津日马精密锻压有限公司"</f>
        <v>天津日马精密锻压有限公司</v>
      </c>
      <c r="B1932" s="1" t="str">
        <f>"一种汽车零部件镗孔夹紧装置"</f>
        <v>一种汽车零部件镗孔夹紧装置</v>
      </c>
      <c r="C1932" s="1" t="str">
        <f t="shared" ref="C1932:C1981" si="942">"实用新型"</f>
        <v>实用新型</v>
      </c>
      <c r="D1932" s="1" t="str">
        <f t="shared" si="931"/>
        <v>授权</v>
      </c>
      <c r="E1932" s="1" t="str">
        <f>"CN202421584120.6"</f>
        <v>CN202421584120.6</v>
      </c>
      <c r="F1932" s="1" t="str">
        <f>"2024-07-05"</f>
        <v>2024-07-05</v>
      </c>
      <c r="G1932" s="1" t="str">
        <f>"CN223044118U"</f>
        <v>CN223044118U</v>
      </c>
      <c r="H1932" s="1" t="str">
        <f>"2025-07-01"</f>
        <v>2025-07-01</v>
      </c>
      <c r="I1932" s="1" t="s">
        <v>5048</v>
      </c>
      <c r="J1932" s="1" t="str">
        <f t="shared" ref="J1932:J1983" si="943">"天津日马精密锻压有限公司"</f>
        <v>天津日马精密锻压有限公司</v>
      </c>
    </row>
    <row r="1933" spans="1:10">
      <c r="A1933" s="1" t="str">
        <f t="shared" si="941"/>
        <v>天津日马精密锻压有限公司</v>
      </c>
      <c r="B1933" s="1" t="str">
        <f>"一种汽车阻尼器外套加工装置"</f>
        <v>一种汽车阻尼器外套加工装置</v>
      </c>
      <c r="C1933" s="1" t="str">
        <f t="shared" si="942"/>
        <v>实用新型</v>
      </c>
      <c r="D1933" s="1" t="str">
        <f t="shared" si="931"/>
        <v>授权</v>
      </c>
      <c r="E1933" s="1" t="str">
        <f>"CN202420493702.7"</f>
        <v>CN202420493702.7</v>
      </c>
      <c r="F1933" s="1" t="str">
        <f t="shared" ref="F1933:F1937" si="944">"2024-03-14"</f>
        <v>2024-03-14</v>
      </c>
      <c r="G1933" s="1" t="str">
        <f>"CN222308054U"</f>
        <v>CN222308054U</v>
      </c>
      <c r="H1933" s="1" t="str">
        <f>"2025-01-07"</f>
        <v>2025-01-07</v>
      </c>
      <c r="I1933" s="1" t="s">
        <v>5049</v>
      </c>
      <c r="J1933" s="1" t="str">
        <f t="shared" si="943"/>
        <v>天津日马精密锻压有限公司</v>
      </c>
    </row>
    <row r="1934" spans="1:10">
      <c r="A1934" s="1" t="str">
        <f t="shared" si="941"/>
        <v>天津日马精密锻压有限公司</v>
      </c>
      <c r="B1934" s="1" t="str">
        <f>"一种轴承动平衡度检测装置"</f>
        <v>一种轴承动平衡度检测装置</v>
      </c>
      <c r="C1934" s="1" t="str">
        <f t="shared" si="942"/>
        <v>实用新型</v>
      </c>
      <c r="D1934" s="1" t="str">
        <f t="shared" si="931"/>
        <v>授权</v>
      </c>
      <c r="E1934" s="1" t="str">
        <f>"CN202420493706.5"</f>
        <v>CN202420493706.5</v>
      </c>
      <c r="F1934" s="1" t="str">
        <f t="shared" si="944"/>
        <v>2024-03-14</v>
      </c>
      <c r="G1934" s="1" t="str">
        <f>"CN222013407U"</f>
        <v>CN222013407U</v>
      </c>
      <c r="H1934" s="1" t="str">
        <f>"2024-11-15"</f>
        <v>2024-11-15</v>
      </c>
      <c r="I1934" s="1" t="s">
        <v>5049</v>
      </c>
      <c r="J1934" s="1" t="str">
        <f t="shared" si="943"/>
        <v>天津日马精密锻压有限公司</v>
      </c>
    </row>
    <row r="1935" spans="1:10">
      <c r="A1935" s="1" t="str">
        <f t="shared" si="941"/>
        <v>天津日马精密锻压有限公司</v>
      </c>
      <c r="B1935" s="1" t="str">
        <f>"一种汽车轴承车削装置"</f>
        <v>一种汽车轴承车削装置</v>
      </c>
      <c r="C1935" s="1" t="str">
        <f t="shared" si="942"/>
        <v>实用新型</v>
      </c>
      <c r="D1935" s="1" t="str">
        <f t="shared" si="931"/>
        <v>授权</v>
      </c>
      <c r="E1935" s="1" t="str">
        <f>"CN202420367003.8"</f>
        <v>CN202420367003.8</v>
      </c>
      <c r="F1935" s="1" t="str">
        <f t="shared" ref="F1935:F1938" si="945">"2024-02-28"</f>
        <v>2024-02-28</v>
      </c>
      <c r="G1935" s="1" t="str">
        <f>"CN222002769U"</f>
        <v>CN222002769U</v>
      </c>
      <c r="H1935" s="1" t="str">
        <f>"2024-11-15"</f>
        <v>2024-11-15</v>
      </c>
      <c r="I1935" s="1" t="s">
        <v>5049</v>
      </c>
      <c r="J1935" s="1" t="str">
        <f t="shared" si="943"/>
        <v>天津日马精密锻压有限公司</v>
      </c>
    </row>
    <row r="1936" spans="1:10">
      <c r="A1936" s="1" t="str">
        <f t="shared" si="941"/>
        <v>天津日马精密锻压有限公司</v>
      </c>
      <c r="B1936" s="1" t="str">
        <f>"一种汽车轴承输送装置"</f>
        <v>一种汽车轴承输送装置</v>
      </c>
      <c r="C1936" s="1" t="str">
        <f t="shared" si="942"/>
        <v>实用新型</v>
      </c>
      <c r="D1936" s="1" t="str">
        <f t="shared" si="931"/>
        <v>授权</v>
      </c>
      <c r="E1936" s="1" t="str">
        <f>"CN202420367000.4"</f>
        <v>CN202420367000.4</v>
      </c>
      <c r="F1936" s="1" t="str">
        <f t="shared" si="945"/>
        <v>2024-02-28</v>
      </c>
      <c r="G1936" s="1" t="str">
        <f>"CN221821162U"</f>
        <v>CN221821162U</v>
      </c>
      <c r="H1936" s="1" t="str">
        <f t="shared" ref="H1936:H1938" si="946">"2024-10-11"</f>
        <v>2024-10-11</v>
      </c>
      <c r="I1936" s="1" t="s">
        <v>5049</v>
      </c>
      <c r="J1936" s="1" t="str">
        <f t="shared" si="943"/>
        <v>天津日马精密锻压有限公司</v>
      </c>
    </row>
    <row r="1937" spans="1:10">
      <c r="A1937" s="1" t="str">
        <f t="shared" si="941"/>
        <v>天津日马精密锻压有限公司</v>
      </c>
      <c r="B1937" s="1" t="str">
        <f>"一种汽车轴承提升传送装置"</f>
        <v>一种汽车轴承提升传送装置</v>
      </c>
      <c r="C1937" s="1" t="str">
        <f t="shared" si="942"/>
        <v>实用新型</v>
      </c>
      <c r="D1937" s="1" t="str">
        <f t="shared" si="931"/>
        <v>授权</v>
      </c>
      <c r="E1937" s="1" t="str">
        <f>"CN202420493701.2"</f>
        <v>CN202420493701.2</v>
      </c>
      <c r="F1937" s="1" t="str">
        <f t="shared" si="944"/>
        <v>2024-03-14</v>
      </c>
      <c r="G1937" s="1" t="str">
        <f>"CN221820957U"</f>
        <v>CN221820957U</v>
      </c>
      <c r="H1937" s="1" t="str">
        <f t="shared" si="946"/>
        <v>2024-10-11</v>
      </c>
      <c r="I1937" s="1" t="s">
        <v>5049</v>
      </c>
      <c r="J1937" s="1" t="str">
        <f t="shared" si="943"/>
        <v>天津日马精密锻压有限公司</v>
      </c>
    </row>
    <row r="1938" spans="1:10">
      <c r="A1938" s="1" t="str">
        <f t="shared" si="941"/>
        <v>天津日马精密锻压有限公司</v>
      </c>
      <c r="B1938" s="1" t="str">
        <f>"一种汽车阻尼器外套的上料装置"</f>
        <v>一种汽车阻尼器外套的上料装置</v>
      </c>
      <c r="C1938" s="1" t="str">
        <f t="shared" si="942"/>
        <v>实用新型</v>
      </c>
      <c r="D1938" s="1" t="str">
        <f t="shared" si="931"/>
        <v>授权</v>
      </c>
      <c r="E1938" s="1" t="str">
        <f>"CN202420367004.2"</f>
        <v>CN202420367004.2</v>
      </c>
      <c r="F1938" s="1" t="str">
        <f t="shared" si="945"/>
        <v>2024-02-28</v>
      </c>
      <c r="G1938" s="1" t="str">
        <f>"CN221821117U"</f>
        <v>CN221821117U</v>
      </c>
      <c r="H1938" s="1" t="str">
        <f t="shared" si="946"/>
        <v>2024-10-11</v>
      </c>
      <c r="I1938" s="1" t="s">
        <v>5049</v>
      </c>
      <c r="J1938" s="1" t="str">
        <f t="shared" si="943"/>
        <v>天津日马精密锻压有限公司</v>
      </c>
    </row>
    <row r="1939" spans="1:10">
      <c r="A1939" s="1" t="str">
        <f t="shared" si="941"/>
        <v>天津日马精密锻压有限公司</v>
      </c>
      <c r="B1939" s="1" t="str">
        <f>"一种用于环状零件的磨削夹具"</f>
        <v>一种用于环状零件的磨削夹具</v>
      </c>
      <c r="C1939" s="1" t="str">
        <f t="shared" si="942"/>
        <v>实用新型</v>
      </c>
      <c r="D1939" s="1" t="str">
        <f t="shared" si="931"/>
        <v>授权</v>
      </c>
      <c r="E1939" s="1" t="str">
        <f>"CN202321408812.0"</f>
        <v>CN202321408812.0</v>
      </c>
      <c r="F1939" s="1" t="str">
        <f t="shared" ref="F1939:F1944" si="947">"2023-06-05"</f>
        <v>2023-06-05</v>
      </c>
      <c r="G1939" s="1" t="str">
        <f>"CN220637444U"</f>
        <v>CN220637444U</v>
      </c>
      <c r="H1939" s="1" t="str">
        <f t="shared" ref="H1939:H1942" si="948">"2024-03-22"</f>
        <v>2024-03-22</v>
      </c>
      <c r="I1939" s="1" t="s">
        <v>5050</v>
      </c>
      <c r="J1939" s="1" t="str">
        <f t="shared" si="943"/>
        <v>天津日马精密锻压有限公司</v>
      </c>
    </row>
    <row r="1940" spans="1:10">
      <c r="A1940" s="1" t="str">
        <f t="shared" si="941"/>
        <v>天津日马精密锻压有限公司</v>
      </c>
      <c r="B1940" s="1" t="str">
        <f>"一种汽车环状零件的检测工装"</f>
        <v>一种汽车环状零件的检测工装</v>
      </c>
      <c r="C1940" s="1" t="str">
        <f t="shared" si="942"/>
        <v>实用新型</v>
      </c>
      <c r="D1940" s="1" t="str">
        <f t="shared" si="931"/>
        <v>授权</v>
      </c>
      <c r="E1940" s="1" t="str">
        <f>"CN202321795846.X"</f>
        <v>CN202321795846.X</v>
      </c>
      <c r="F1940" s="1" t="str">
        <f>"2023-07-10"</f>
        <v>2023-07-10</v>
      </c>
      <c r="G1940" s="1" t="str">
        <f>"CN220649275U"</f>
        <v>CN220649275U</v>
      </c>
      <c r="H1940" s="1" t="str">
        <f t="shared" si="948"/>
        <v>2024-03-22</v>
      </c>
      <c r="I1940" s="1" t="s">
        <v>5051</v>
      </c>
      <c r="J1940" s="1" t="str">
        <f t="shared" si="943"/>
        <v>天津日马精密锻压有限公司</v>
      </c>
    </row>
    <row r="1941" spans="1:10">
      <c r="A1941" s="1" t="str">
        <f t="shared" si="941"/>
        <v>天津日马精密锻压有限公司</v>
      </c>
      <c r="B1941" s="1" t="str">
        <f>"一种汽车零件不良品收集机构"</f>
        <v>一种汽车零件不良品收集机构</v>
      </c>
      <c r="C1941" s="1" t="str">
        <f t="shared" si="942"/>
        <v>实用新型</v>
      </c>
      <c r="D1941" s="1" t="str">
        <f t="shared" si="931"/>
        <v>授权</v>
      </c>
      <c r="E1941" s="1" t="str">
        <f>"CN202321408712.8"</f>
        <v>CN202321408712.8</v>
      </c>
      <c r="F1941" s="1" t="str">
        <f t="shared" si="947"/>
        <v>2023-06-05</v>
      </c>
      <c r="G1941" s="1" t="str">
        <f>"CN220635418U"</f>
        <v>CN220635418U</v>
      </c>
      <c r="H1941" s="1" t="str">
        <f t="shared" si="948"/>
        <v>2024-03-22</v>
      </c>
      <c r="I1941" s="1" t="s">
        <v>5052</v>
      </c>
      <c r="J1941" s="1" t="str">
        <f t="shared" si="943"/>
        <v>天津日马精密锻压有限公司</v>
      </c>
    </row>
    <row r="1942" spans="1:10">
      <c r="A1942" s="1" t="str">
        <f t="shared" si="941"/>
        <v>天津日马精密锻压有限公司</v>
      </c>
      <c r="B1942" s="1" t="str">
        <f>"一种汽车零件检具的夹紧定位装置"</f>
        <v>一种汽车零件检具的夹紧定位装置</v>
      </c>
      <c r="C1942" s="1" t="str">
        <f t="shared" si="942"/>
        <v>实用新型</v>
      </c>
      <c r="D1942" s="1" t="str">
        <f t="shared" si="931"/>
        <v>授权</v>
      </c>
      <c r="E1942" s="1" t="str">
        <f>"CN202321795851.0"</f>
        <v>CN202321795851.0</v>
      </c>
      <c r="F1942" s="1" t="str">
        <f>"2023-07-10"</f>
        <v>2023-07-10</v>
      </c>
      <c r="G1942" s="1" t="str">
        <f>"CN220637522U"</f>
        <v>CN220637522U</v>
      </c>
      <c r="H1942" s="1" t="str">
        <f t="shared" si="948"/>
        <v>2024-03-22</v>
      </c>
      <c r="I1942" s="1" t="s">
        <v>5053</v>
      </c>
      <c r="J1942" s="1" t="str">
        <f t="shared" si="943"/>
        <v>天津日马精密锻压有限公司</v>
      </c>
    </row>
    <row r="1943" spans="1:10">
      <c r="A1943" s="1" t="str">
        <f t="shared" si="941"/>
        <v>天津日马精密锻压有限公司</v>
      </c>
      <c r="B1943" s="1" t="str">
        <f>"一种毛刺清洗机"</f>
        <v>一种毛刺清洗机</v>
      </c>
      <c r="C1943" s="1" t="str">
        <f t="shared" si="942"/>
        <v>实用新型</v>
      </c>
      <c r="D1943" s="1" t="str">
        <f t="shared" si="931"/>
        <v>授权</v>
      </c>
      <c r="E1943" s="1" t="str">
        <f>"CN202321106872.7"</f>
        <v>CN202321106872.7</v>
      </c>
      <c r="F1943" s="1" t="str">
        <f t="shared" ref="F1943:F1948" si="949">"2023-05-10"</f>
        <v>2023-05-10</v>
      </c>
      <c r="G1943" s="1" t="str">
        <f>"CN220160661U"</f>
        <v>CN220160661U</v>
      </c>
      <c r="H1943" s="1" t="str">
        <f t="shared" ref="H1943:H1946" si="950">"2023-12-12"</f>
        <v>2023-12-12</v>
      </c>
      <c r="I1943" s="1" t="s">
        <v>5054</v>
      </c>
      <c r="J1943" s="1" t="str">
        <f t="shared" si="943"/>
        <v>天津日马精密锻压有限公司</v>
      </c>
    </row>
    <row r="1944" spans="1:10">
      <c r="A1944" s="1" t="str">
        <f t="shared" si="941"/>
        <v>天津日马精密锻压有限公司</v>
      </c>
      <c r="B1944" s="1" t="str">
        <f>"一种汽车环状零件内外径检测装置"</f>
        <v>一种汽车环状零件内外径检测装置</v>
      </c>
      <c r="C1944" s="1" t="str">
        <f t="shared" si="942"/>
        <v>实用新型</v>
      </c>
      <c r="D1944" s="1" t="str">
        <f t="shared" si="931"/>
        <v>授权</v>
      </c>
      <c r="E1944" s="1" t="str">
        <f>"CN202321408826.2"</f>
        <v>CN202321408826.2</v>
      </c>
      <c r="F1944" s="1" t="str">
        <f t="shared" si="947"/>
        <v>2023-06-05</v>
      </c>
      <c r="G1944" s="1" t="str">
        <f>"CN220170213U"</f>
        <v>CN220170213U</v>
      </c>
      <c r="H1944" s="1" t="str">
        <f t="shared" si="950"/>
        <v>2023-12-12</v>
      </c>
      <c r="I1944" s="1" t="s">
        <v>5055</v>
      </c>
      <c r="J1944" s="1" t="str">
        <f t="shared" si="943"/>
        <v>天津日马精密锻压有限公司</v>
      </c>
    </row>
    <row r="1945" spans="1:10">
      <c r="A1945" s="1" t="str">
        <f t="shared" si="941"/>
        <v>天津日马精密锻压有限公司</v>
      </c>
      <c r="B1945" s="1" t="str">
        <f>"一种用于汽车工件的连线提升机"</f>
        <v>一种用于汽车工件的连线提升机</v>
      </c>
      <c r="C1945" s="1" t="str">
        <f t="shared" si="942"/>
        <v>实用新型</v>
      </c>
      <c r="D1945" s="1" t="str">
        <f t="shared" si="931"/>
        <v>授权</v>
      </c>
      <c r="E1945" s="1" t="str">
        <f>"CN202321106870.8"</f>
        <v>CN202321106870.8</v>
      </c>
      <c r="F1945" s="1" t="str">
        <f t="shared" si="949"/>
        <v>2023-05-10</v>
      </c>
      <c r="G1945" s="1" t="str">
        <f>"CN220165114U"</f>
        <v>CN220165114U</v>
      </c>
      <c r="H1945" s="1" t="str">
        <f t="shared" si="950"/>
        <v>2023-12-12</v>
      </c>
      <c r="I1945" s="1" t="s">
        <v>5056</v>
      </c>
      <c r="J1945" s="1" t="str">
        <f t="shared" si="943"/>
        <v>天津日马精密锻压有限公司</v>
      </c>
    </row>
    <row r="1946" spans="1:10">
      <c r="A1946" s="1" t="str">
        <f t="shared" si="941"/>
        <v>天津日马精密锻压有限公司</v>
      </c>
      <c r="B1946" s="1" t="str">
        <f>"一种用于汽车零件的厚度检测装置"</f>
        <v>一种用于汽车零件的厚度检测装置</v>
      </c>
      <c r="C1946" s="1" t="str">
        <f t="shared" si="942"/>
        <v>实用新型</v>
      </c>
      <c r="D1946" s="1" t="str">
        <f t="shared" si="931"/>
        <v>授权</v>
      </c>
      <c r="E1946" s="1" t="str">
        <f>"CN202321408805.0"</f>
        <v>CN202321408805.0</v>
      </c>
      <c r="F1946" s="1" t="str">
        <f>"2023-06-05"</f>
        <v>2023-06-05</v>
      </c>
      <c r="G1946" s="1" t="str">
        <f>"CN220170125U"</f>
        <v>CN220170125U</v>
      </c>
      <c r="H1946" s="1" t="str">
        <f t="shared" si="950"/>
        <v>2023-12-12</v>
      </c>
      <c r="I1946" s="1" t="s">
        <v>5057</v>
      </c>
      <c r="J1946" s="1" t="str">
        <f t="shared" si="943"/>
        <v>天津日马精密锻压有限公司</v>
      </c>
    </row>
    <row r="1947" spans="1:10">
      <c r="A1947" s="1" t="str">
        <f t="shared" si="941"/>
        <v>天津日马精密锻压有限公司</v>
      </c>
      <c r="B1947" s="1" t="str">
        <f>"一种汽车工件的车削装置"</f>
        <v>一种汽车工件的车削装置</v>
      </c>
      <c r="C1947" s="1" t="str">
        <f t="shared" si="942"/>
        <v>实用新型</v>
      </c>
      <c r="D1947" s="1" t="str">
        <f t="shared" si="931"/>
        <v>授权</v>
      </c>
      <c r="E1947" s="1" t="str">
        <f>"CN202321106871.2"</f>
        <v>CN202321106871.2</v>
      </c>
      <c r="F1947" s="1" t="str">
        <f t="shared" si="949"/>
        <v>2023-05-10</v>
      </c>
      <c r="G1947" s="1" t="str">
        <f>"CN219818043U"</f>
        <v>CN219818043U</v>
      </c>
      <c r="H1947" s="1" t="str">
        <f>"2023-10-13"</f>
        <v>2023-10-13</v>
      </c>
      <c r="I1947" s="1" t="s">
        <v>5058</v>
      </c>
      <c r="J1947" s="1" t="str">
        <f t="shared" si="943"/>
        <v>天津日马精密锻压有限公司</v>
      </c>
    </row>
    <row r="1948" spans="1:10">
      <c r="A1948" s="1" t="str">
        <f t="shared" si="941"/>
        <v>天津日马精密锻压有限公司</v>
      </c>
      <c r="B1948" s="1" t="str">
        <f>"一种汽车工件的孔径检测装置"</f>
        <v>一种汽车工件的孔径检测装置</v>
      </c>
      <c r="C1948" s="1" t="str">
        <f t="shared" si="942"/>
        <v>实用新型</v>
      </c>
      <c r="D1948" s="1" t="str">
        <f t="shared" si="931"/>
        <v>授权</v>
      </c>
      <c r="E1948" s="1" t="str">
        <f>"CN202321106877.X"</f>
        <v>CN202321106877.X</v>
      </c>
      <c r="F1948" s="1" t="str">
        <f t="shared" si="949"/>
        <v>2023-05-10</v>
      </c>
      <c r="G1948" s="1" t="str">
        <f>"CN219810391U"</f>
        <v>CN219810391U</v>
      </c>
      <c r="H1948" s="1" t="str">
        <f>"2023-10-10"</f>
        <v>2023-10-10</v>
      </c>
      <c r="I1948" s="1" t="s">
        <v>5059</v>
      </c>
      <c r="J1948" s="1" t="str">
        <f t="shared" si="943"/>
        <v>天津日马精密锻压有限公司</v>
      </c>
    </row>
    <row r="1949" spans="1:10">
      <c r="A1949" s="1" t="str">
        <f t="shared" si="941"/>
        <v>天津日马精密锻压有限公司</v>
      </c>
      <c r="B1949" s="1" t="str">
        <f>"一种用于管状工件加工用自动送料机构"</f>
        <v>一种用于管状工件加工用自动送料机构</v>
      </c>
      <c r="C1949" s="1" t="str">
        <f t="shared" si="942"/>
        <v>实用新型</v>
      </c>
      <c r="D1949" s="1" t="str">
        <f t="shared" si="931"/>
        <v>授权</v>
      </c>
      <c r="E1949" s="1" t="str">
        <f>"CN202022239048.1"</f>
        <v>CN202022239048.1</v>
      </c>
      <c r="F1949" s="1" t="str">
        <f>"2020-10-10"</f>
        <v>2020-10-10</v>
      </c>
      <c r="G1949" s="1" t="str">
        <f>"CN213950166U"</f>
        <v>CN213950166U</v>
      </c>
      <c r="H1949" s="1" t="str">
        <f t="shared" ref="H1949:H1952" si="951">"2021-08-13"</f>
        <v>2021-08-13</v>
      </c>
      <c r="I1949" s="1" t="s">
        <v>5060</v>
      </c>
      <c r="J1949" s="1" t="str">
        <f t="shared" si="943"/>
        <v>天津日马精密锻压有限公司</v>
      </c>
    </row>
    <row r="1950" spans="1:10">
      <c r="A1950" s="1" t="str">
        <f t="shared" si="941"/>
        <v>天津日马精密锻压有限公司</v>
      </c>
      <c r="B1950" s="1" t="str">
        <f>"一种钢管的全自动切断机锁紧夹具"</f>
        <v>一种钢管的全自动切断机锁紧夹具</v>
      </c>
      <c r="C1950" s="1" t="str">
        <f t="shared" si="942"/>
        <v>实用新型</v>
      </c>
      <c r="D1950" s="1" t="str">
        <f t="shared" si="931"/>
        <v>授权</v>
      </c>
      <c r="E1950" s="1" t="str">
        <f>"CN202022302991.2"</f>
        <v>CN202022302991.2</v>
      </c>
      <c r="F1950" s="1" t="str">
        <f t="shared" ref="F1950:F1953" si="952">"2020-10-16"</f>
        <v>2020-10-16</v>
      </c>
      <c r="G1950" s="1" t="str">
        <f>"CN213945106U"</f>
        <v>CN213945106U</v>
      </c>
      <c r="H1950" s="1" t="str">
        <f t="shared" si="951"/>
        <v>2021-08-13</v>
      </c>
      <c r="I1950" s="1" t="s">
        <v>5060</v>
      </c>
      <c r="J1950" s="1" t="str">
        <f t="shared" si="943"/>
        <v>天津日马精密锻压有限公司</v>
      </c>
    </row>
    <row r="1951" spans="1:10">
      <c r="A1951" s="1" t="str">
        <f t="shared" si="941"/>
        <v>天津日马精密锻压有限公司</v>
      </c>
      <c r="B1951" s="1" t="str">
        <f>"一种用于管材生产的校直切断机"</f>
        <v>一种用于管材生产的校直切断机</v>
      </c>
      <c r="C1951" s="1" t="str">
        <f t="shared" si="942"/>
        <v>实用新型</v>
      </c>
      <c r="D1951" s="1" t="str">
        <f t="shared" si="931"/>
        <v>授权</v>
      </c>
      <c r="E1951" s="1" t="str">
        <f>"CN202022303410.7"</f>
        <v>CN202022303410.7</v>
      </c>
      <c r="F1951" s="1" t="str">
        <f t="shared" si="952"/>
        <v>2020-10-16</v>
      </c>
      <c r="G1951" s="1" t="str">
        <f>"CN213945578U"</f>
        <v>CN213945578U</v>
      </c>
      <c r="H1951" s="1" t="str">
        <f t="shared" si="951"/>
        <v>2021-08-13</v>
      </c>
      <c r="I1951" s="1" t="s">
        <v>5060</v>
      </c>
      <c r="J1951" s="1" t="str">
        <f t="shared" si="943"/>
        <v>天津日马精密锻压有限公司</v>
      </c>
    </row>
    <row r="1952" spans="1:10">
      <c r="A1952" s="1" t="str">
        <f t="shared" si="941"/>
        <v>天津日马精密锻压有限公司</v>
      </c>
      <c r="B1952" s="1" t="str">
        <f>"一种带有长度计量装置的钢丝切断机"</f>
        <v>一种带有长度计量装置的钢丝切断机</v>
      </c>
      <c r="C1952" s="1" t="str">
        <f t="shared" si="942"/>
        <v>实用新型</v>
      </c>
      <c r="D1952" s="1" t="str">
        <f t="shared" si="931"/>
        <v>授权</v>
      </c>
      <c r="E1952" s="1" t="str">
        <f>"CN202022268163.1"</f>
        <v>CN202022268163.1</v>
      </c>
      <c r="F1952" s="1" t="str">
        <f t="shared" ref="F1952:F1957" si="953">"2020-10-13"</f>
        <v>2020-10-13</v>
      </c>
      <c r="G1952" s="1" t="str">
        <f>"CN213944699U"</f>
        <v>CN213944699U</v>
      </c>
      <c r="H1952" s="1" t="str">
        <f t="shared" si="951"/>
        <v>2021-08-13</v>
      </c>
      <c r="I1952" s="1" t="s">
        <v>5060</v>
      </c>
      <c r="J1952" s="1" t="str">
        <f t="shared" si="943"/>
        <v>天津日马精密锻压有限公司</v>
      </c>
    </row>
    <row r="1953" spans="1:10">
      <c r="A1953" s="1" t="str">
        <f t="shared" si="941"/>
        <v>天津日马精密锻压有限公司</v>
      </c>
      <c r="B1953" s="1" t="str">
        <f>"一种钢管自动切割机的废屑收集机构"</f>
        <v>一种钢管自动切割机的废屑收集机构</v>
      </c>
      <c r="C1953" s="1" t="str">
        <f t="shared" si="942"/>
        <v>实用新型</v>
      </c>
      <c r="D1953" s="1" t="str">
        <f t="shared" si="931"/>
        <v>授权</v>
      </c>
      <c r="E1953" s="1" t="str">
        <f>"CN202022302986.1"</f>
        <v>CN202022302986.1</v>
      </c>
      <c r="F1953" s="1" t="str">
        <f t="shared" si="952"/>
        <v>2020-10-16</v>
      </c>
      <c r="G1953" s="1" t="str">
        <f>"CN213379913U"</f>
        <v>CN213379913U</v>
      </c>
      <c r="H1953" s="1" t="str">
        <f t="shared" ref="H1953:H1957" si="954">"2021-06-08"</f>
        <v>2021-06-08</v>
      </c>
      <c r="I1953" s="1" t="s">
        <v>5060</v>
      </c>
      <c r="J1953" s="1" t="str">
        <f t="shared" si="943"/>
        <v>天津日马精密锻压有限公司</v>
      </c>
    </row>
    <row r="1954" spans="1:10">
      <c r="A1954" s="1" t="str">
        <f t="shared" si="941"/>
        <v>天津日马精密锻压有限公司</v>
      </c>
      <c r="B1954" s="1" t="str">
        <f>"一种圆形工件表面加工装置"</f>
        <v>一种圆形工件表面加工装置</v>
      </c>
      <c r="C1954" s="1" t="str">
        <f t="shared" si="942"/>
        <v>实用新型</v>
      </c>
      <c r="D1954" s="1" t="str">
        <f t="shared" si="931"/>
        <v>授权</v>
      </c>
      <c r="E1954" s="1" t="str">
        <f>"CN202022266995.X"</f>
        <v>CN202022266995.X</v>
      </c>
      <c r="F1954" s="1" t="str">
        <f t="shared" si="953"/>
        <v>2020-10-13</v>
      </c>
      <c r="G1954" s="1" t="str">
        <f>"CN213381213U"</f>
        <v>CN213381213U</v>
      </c>
      <c r="H1954" s="1" t="str">
        <f t="shared" si="954"/>
        <v>2021-06-08</v>
      </c>
      <c r="I1954" s="1" t="s">
        <v>5060</v>
      </c>
      <c r="J1954" s="1" t="str">
        <f t="shared" si="943"/>
        <v>天津日马精密锻压有限公司</v>
      </c>
    </row>
    <row r="1955" spans="1:10">
      <c r="A1955" s="1" t="str">
        <f t="shared" si="941"/>
        <v>天津日马精密锻压有限公司</v>
      </c>
      <c r="B1955" s="1" t="str">
        <f>"一种可调式钢管自动切断装置"</f>
        <v>一种可调式钢管自动切断装置</v>
      </c>
      <c r="C1955" s="1" t="str">
        <f t="shared" si="942"/>
        <v>实用新型</v>
      </c>
      <c r="D1955" s="1" t="str">
        <f t="shared" si="931"/>
        <v>授权</v>
      </c>
      <c r="E1955" s="1" t="str">
        <f>"CN202022303394.1"</f>
        <v>CN202022303394.1</v>
      </c>
      <c r="F1955" s="1" t="str">
        <f>"2020-10-16"</f>
        <v>2020-10-16</v>
      </c>
      <c r="G1955" s="1" t="str">
        <f>"CN213379565U"</f>
        <v>CN213379565U</v>
      </c>
      <c r="H1955" s="1" t="str">
        <f t="shared" si="954"/>
        <v>2021-06-08</v>
      </c>
      <c r="I1955" s="1" t="s">
        <v>5060</v>
      </c>
      <c r="J1955" s="1" t="str">
        <f t="shared" si="943"/>
        <v>天津日马精密锻压有限公司</v>
      </c>
    </row>
    <row r="1956" spans="1:10">
      <c r="A1956" s="1" t="str">
        <f t="shared" si="941"/>
        <v>天津日马精密锻压有限公司</v>
      </c>
      <c r="B1956" s="1" t="str">
        <f>"一种用于机械加工的工件打孔设备"</f>
        <v>一种用于机械加工的工件打孔设备</v>
      </c>
      <c r="C1956" s="1" t="str">
        <f t="shared" si="942"/>
        <v>实用新型</v>
      </c>
      <c r="D1956" s="1" t="str">
        <f t="shared" si="931"/>
        <v>授权</v>
      </c>
      <c r="E1956" s="1" t="str">
        <f>"CN202022268145.3"</f>
        <v>CN202022268145.3</v>
      </c>
      <c r="F1956" s="1" t="str">
        <f t="shared" si="953"/>
        <v>2020-10-13</v>
      </c>
      <c r="G1956" s="1" t="str">
        <f>"CN213379399U"</f>
        <v>CN213379399U</v>
      </c>
      <c r="H1956" s="1" t="str">
        <f t="shared" si="954"/>
        <v>2021-06-08</v>
      </c>
      <c r="I1956" s="1" t="s">
        <v>5060</v>
      </c>
      <c r="J1956" s="1" t="str">
        <f t="shared" si="943"/>
        <v>天津日马精密锻压有限公司</v>
      </c>
    </row>
    <row r="1957" spans="1:10">
      <c r="A1957" s="1" t="str">
        <f t="shared" si="941"/>
        <v>天津日马精密锻压有限公司</v>
      </c>
      <c r="B1957" s="1" t="str">
        <f>"一种用于加工管件的镗孔夹具"</f>
        <v>一种用于加工管件的镗孔夹具</v>
      </c>
      <c r="C1957" s="1" t="str">
        <f t="shared" si="942"/>
        <v>实用新型</v>
      </c>
      <c r="D1957" s="1" t="str">
        <f t="shared" si="931"/>
        <v>授权</v>
      </c>
      <c r="E1957" s="1" t="str">
        <f>"CN202022268161.2"</f>
        <v>CN202022268161.2</v>
      </c>
      <c r="F1957" s="1" t="str">
        <f t="shared" si="953"/>
        <v>2020-10-13</v>
      </c>
      <c r="G1957" s="1" t="str">
        <f>"CN213380314U"</f>
        <v>CN213380314U</v>
      </c>
      <c r="H1957" s="1" t="str">
        <f t="shared" si="954"/>
        <v>2021-06-08</v>
      </c>
      <c r="I1957" s="1" t="s">
        <v>5060</v>
      </c>
      <c r="J1957" s="1" t="str">
        <f t="shared" si="943"/>
        <v>天津日马精密锻压有限公司</v>
      </c>
    </row>
    <row r="1958" spans="1:10">
      <c r="A1958" s="1" t="str">
        <f t="shared" si="941"/>
        <v>天津日马精密锻压有限公司</v>
      </c>
      <c r="B1958" s="1" t="str">
        <f>"一种管件的加工用快速定位装置"</f>
        <v>一种管件的加工用快速定位装置</v>
      </c>
      <c r="C1958" s="1" t="str">
        <f t="shared" si="942"/>
        <v>实用新型</v>
      </c>
      <c r="D1958" s="1" t="str">
        <f t="shared" si="931"/>
        <v>授权</v>
      </c>
      <c r="E1958" s="1" t="str">
        <f>"CN202022239003.4"</f>
        <v>CN202022239003.4</v>
      </c>
      <c r="F1958" s="1" t="str">
        <f t="shared" ref="F1958:F1963" si="955">"2020-10-10"</f>
        <v>2020-10-10</v>
      </c>
      <c r="G1958" s="1" t="str">
        <f>"CN213319007U"</f>
        <v>CN213319007U</v>
      </c>
      <c r="H1958" s="1" t="str">
        <f t="shared" ref="H1958:H1963" si="956">"2021-06-01"</f>
        <v>2021-06-01</v>
      </c>
      <c r="I1958" s="1" t="s">
        <v>5060</v>
      </c>
      <c r="J1958" s="1" t="str">
        <f t="shared" si="943"/>
        <v>天津日马精密锻压有限公司</v>
      </c>
    </row>
    <row r="1959" spans="1:10">
      <c r="A1959" s="1" t="str">
        <f t="shared" si="941"/>
        <v>天津日马精密锻压有限公司</v>
      </c>
      <c r="B1959" s="1" t="str">
        <f>"一种管件加工辅助夹具"</f>
        <v>一种管件加工辅助夹具</v>
      </c>
      <c r="C1959" s="1" t="str">
        <f t="shared" si="942"/>
        <v>实用新型</v>
      </c>
      <c r="D1959" s="1" t="str">
        <f t="shared" si="931"/>
        <v>授权</v>
      </c>
      <c r="E1959" s="1" t="str">
        <f>"CN202022240947.3"</f>
        <v>CN202022240947.3</v>
      </c>
      <c r="F1959" s="1" t="str">
        <f t="shared" si="955"/>
        <v>2020-10-10</v>
      </c>
      <c r="G1959" s="1" t="str">
        <f>"CN213318869U"</f>
        <v>CN213318869U</v>
      </c>
      <c r="H1959" s="1" t="str">
        <f t="shared" si="956"/>
        <v>2021-06-01</v>
      </c>
      <c r="I1959" s="1" t="s">
        <v>5060</v>
      </c>
      <c r="J1959" s="1" t="str">
        <f t="shared" si="943"/>
        <v>天津日马精密锻压有限公司</v>
      </c>
    </row>
    <row r="1960" spans="1:10">
      <c r="A1960" s="1" t="str">
        <f t="shared" si="941"/>
        <v>天津日马精密锻压有限公司</v>
      </c>
      <c r="B1960" s="1" t="str">
        <f>"一种圆盘类工件智能柔性加工设备"</f>
        <v>一种圆盘类工件智能柔性加工设备</v>
      </c>
      <c r="C1960" s="1" t="str">
        <f t="shared" si="942"/>
        <v>实用新型</v>
      </c>
      <c r="D1960" s="1" t="str">
        <f t="shared" si="931"/>
        <v>授权</v>
      </c>
      <c r="E1960" s="1" t="str">
        <f>"CN202022266975.2"</f>
        <v>CN202022266975.2</v>
      </c>
      <c r="F1960" s="1" t="str">
        <f>"2020-10-13"</f>
        <v>2020-10-13</v>
      </c>
      <c r="G1960" s="1" t="str">
        <f>"CN213317881U"</f>
        <v>CN213317881U</v>
      </c>
      <c r="H1960" s="1" t="str">
        <f t="shared" si="956"/>
        <v>2021-06-01</v>
      </c>
      <c r="I1960" s="1" t="s">
        <v>5060</v>
      </c>
      <c r="J1960" s="1" t="str">
        <f t="shared" si="943"/>
        <v>天津日马精密锻压有限公司</v>
      </c>
    </row>
    <row r="1961" spans="1:10">
      <c r="A1961" s="1" t="str">
        <f t="shared" si="941"/>
        <v>天津日马精密锻压有限公司</v>
      </c>
      <c r="B1961" s="1" t="str">
        <f>"一种高平行度工件的检测设备"</f>
        <v>一种高平行度工件的检测设备</v>
      </c>
      <c r="C1961" s="1" t="str">
        <f t="shared" si="942"/>
        <v>实用新型</v>
      </c>
      <c r="D1961" s="1" t="str">
        <f t="shared" si="931"/>
        <v>授权</v>
      </c>
      <c r="E1961" s="1" t="str">
        <f>"CN202022240934.6"</f>
        <v>CN202022240934.6</v>
      </c>
      <c r="F1961" s="1" t="str">
        <f t="shared" si="955"/>
        <v>2020-10-10</v>
      </c>
      <c r="G1961" s="1" t="str">
        <f>"CN213336061U"</f>
        <v>CN213336061U</v>
      </c>
      <c r="H1961" s="1" t="str">
        <f t="shared" si="956"/>
        <v>2021-06-01</v>
      </c>
      <c r="I1961" s="1" t="s">
        <v>5060</v>
      </c>
      <c r="J1961" s="1" t="str">
        <f t="shared" si="943"/>
        <v>天津日马精密锻压有限公司</v>
      </c>
    </row>
    <row r="1962" spans="1:10">
      <c r="A1962" s="1" t="str">
        <f t="shared" si="941"/>
        <v>天津日马精密锻压有限公司</v>
      </c>
      <c r="B1962" s="1" t="str">
        <f>"一种环状工件自动加工设备"</f>
        <v>一种环状工件自动加工设备</v>
      </c>
      <c r="C1962" s="1" t="str">
        <f t="shared" si="942"/>
        <v>实用新型</v>
      </c>
      <c r="D1962" s="1" t="str">
        <f t="shared" si="931"/>
        <v>授权</v>
      </c>
      <c r="E1962" s="1" t="str">
        <f>"CN202022239049.6"</f>
        <v>CN202022239049.6</v>
      </c>
      <c r="F1962" s="1" t="str">
        <f t="shared" si="955"/>
        <v>2020-10-10</v>
      </c>
      <c r="G1962" s="1" t="str">
        <f>"CN213319356U"</f>
        <v>CN213319356U</v>
      </c>
      <c r="H1962" s="1" t="str">
        <f t="shared" si="956"/>
        <v>2021-06-01</v>
      </c>
      <c r="I1962" s="1" t="s">
        <v>5060</v>
      </c>
      <c r="J1962" s="1" t="str">
        <f t="shared" si="943"/>
        <v>天津日马精密锻压有限公司</v>
      </c>
    </row>
    <row r="1963" spans="1:10">
      <c r="A1963" s="1" t="str">
        <f t="shared" si="941"/>
        <v>天津日马精密锻压有限公司</v>
      </c>
      <c r="B1963" s="1" t="str">
        <f>"一种管件加工用平整度检测装置"</f>
        <v>一种管件加工用平整度检测装置</v>
      </c>
      <c r="C1963" s="1" t="str">
        <f t="shared" si="942"/>
        <v>实用新型</v>
      </c>
      <c r="D1963" s="1" t="str">
        <f t="shared" si="931"/>
        <v>授权</v>
      </c>
      <c r="E1963" s="1" t="str">
        <f>"CN202022239002.X"</f>
        <v>CN202022239002.X</v>
      </c>
      <c r="F1963" s="1" t="str">
        <f t="shared" si="955"/>
        <v>2020-10-10</v>
      </c>
      <c r="G1963" s="1" t="str">
        <f>"CN213336067U"</f>
        <v>CN213336067U</v>
      </c>
      <c r="H1963" s="1" t="str">
        <f t="shared" si="956"/>
        <v>2021-06-01</v>
      </c>
      <c r="I1963" s="1" t="s">
        <v>5060</v>
      </c>
      <c r="J1963" s="1" t="str">
        <f t="shared" si="943"/>
        <v>天津日马精密锻压有限公司</v>
      </c>
    </row>
    <row r="1964" spans="1:10">
      <c r="A1964" s="1" t="str">
        <f t="shared" si="941"/>
        <v>天津日马精密锻压有限公司</v>
      </c>
      <c r="B1964" s="1" t="str">
        <f>"一种切管机的刀架装置"</f>
        <v>一种切管机的刀架装置</v>
      </c>
      <c r="C1964" s="1" t="str">
        <f t="shared" si="942"/>
        <v>实用新型</v>
      </c>
      <c r="D1964" s="1" t="str">
        <f t="shared" ref="D1964:D1981" si="957">"未缴年费专利权终止"</f>
        <v>未缴年费专利权终止</v>
      </c>
      <c r="E1964" s="1" t="str">
        <f>"CN201520752976.4"</f>
        <v>CN201520752976.4</v>
      </c>
      <c r="F1964" s="1" t="str">
        <f>"2015-09-23"</f>
        <v>2015-09-23</v>
      </c>
      <c r="G1964" s="1" t="str">
        <f>"CN205008674U"</f>
        <v>CN205008674U</v>
      </c>
      <c r="H1964" s="1" t="str">
        <f t="shared" ref="H1964:H1968" si="958">"2016-02-03"</f>
        <v>2016-02-03</v>
      </c>
      <c r="I1964" s="1" t="s">
        <v>5061</v>
      </c>
      <c r="J1964" s="1" t="str">
        <f t="shared" si="943"/>
        <v>天津日马精密锻压有限公司</v>
      </c>
    </row>
    <row r="1965" spans="1:10">
      <c r="A1965" s="1" t="str">
        <f t="shared" si="941"/>
        <v>天津日马精密锻压有限公司</v>
      </c>
      <c r="B1965" s="1" t="str">
        <f>"一种双工位工件钻孔机"</f>
        <v>一种双工位工件钻孔机</v>
      </c>
      <c r="C1965" s="1" t="str">
        <f t="shared" si="942"/>
        <v>实用新型</v>
      </c>
      <c r="D1965" s="1" t="str">
        <f t="shared" si="957"/>
        <v>未缴年费专利权终止</v>
      </c>
      <c r="E1965" s="1" t="str">
        <f>"CN201520748937.7"</f>
        <v>CN201520748937.7</v>
      </c>
      <c r="F1965" s="1" t="str">
        <f t="shared" ref="F1965:F1967" si="959">"2015-09-24"</f>
        <v>2015-09-24</v>
      </c>
      <c r="G1965" s="1" t="str">
        <f>"CN205008616U"</f>
        <v>CN205008616U</v>
      </c>
      <c r="H1965" s="1" t="str">
        <f t="shared" si="958"/>
        <v>2016-02-03</v>
      </c>
      <c r="I1965" s="1" t="s">
        <v>5061</v>
      </c>
      <c r="J1965" s="1" t="str">
        <f t="shared" si="943"/>
        <v>天津日马精密锻压有限公司</v>
      </c>
    </row>
    <row r="1966" spans="1:10">
      <c r="A1966" s="1" t="str">
        <f t="shared" si="941"/>
        <v>天津日马精密锻压有限公司</v>
      </c>
      <c r="B1966" s="1" t="str">
        <f>"一种管状工件自动上料供应装置"</f>
        <v>一种管状工件自动上料供应装置</v>
      </c>
      <c r="C1966" s="1" t="str">
        <f t="shared" si="942"/>
        <v>实用新型</v>
      </c>
      <c r="D1966" s="1" t="str">
        <f t="shared" si="957"/>
        <v>未缴年费专利权终止</v>
      </c>
      <c r="E1966" s="1" t="str">
        <f>"CN201520748955.5"</f>
        <v>CN201520748955.5</v>
      </c>
      <c r="F1966" s="1" t="str">
        <f t="shared" si="959"/>
        <v>2015-09-24</v>
      </c>
      <c r="G1966" s="1" t="str">
        <f>"CN205010971U"</f>
        <v>CN205010971U</v>
      </c>
      <c r="H1966" s="1" t="str">
        <f t="shared" si="958"/>
        <v>2016-02-03</v>
      </c>
      <c r="I1966" s="1" t="s">
        <v>5061</v>
      </c>
      <c r="J1966" s="1" t="str">
        <f t="shared" si="943"/>
        <v>天津日马精密锻压有限公司</v>
      </c>
    </row>
    <row r="1967" spans="1:10">
      <c r="A1967" s="1" t="str">
        <f t="shared" si="941"/>
        <v>天津日马精密锻压有限公司</v>
      </c>
      <c r="B1967" s="1" t="str">
        <f>"一种用于块状金属原料加工的双头铣床"</f>
        <v>一种用于块状金属原料加工的双头铣床</v>
      </c>
      <c r="C1967" s="1" t="str">
        <f t="shared" si="942"/>
        <v>实用新型</v>
      </c>
      <c r="D1967" s="1" t="str">
        <f t="shared" si="957"/>
        <v>未缴年费专利权终止</v>
      </c>
      <c r="E1967" s="1" t="str">
        <f>"CN201520755027.1"</f>
        <v>CN201520755027.1</v>
      </c>
      <c r="F1967" s="1" t="str">
        <f t="shared" si="959"/>
        <v>2015-09-24</v>
      </c>
      <c r="G1967" s="1" t="str">
        <f>"CN205008643U"</f>
        <v>CN205008643U</v>
      </c>
      <c r="H1967" s="1" t="str">
        <f t="shared" si="958"/>
        <v>2016-02-03</v>
      </c>
      <c r="I1967" s="1" t="s">
        <v>5061</v>
      </c>
      <c r="J1967" s="1" t="str">
        <f t="shared" si="943"/>
        <v>天津日马精密锻压有限公司</v>
      </c>
    </row>
    <row r="1968" spans="1:10">
      <c r="A1968" s="1" t="str">
        <f t="shared" si="941"/>
        <v>天津日马精密锻压有限公司</v>
      </c>
      <c r="B1968" s="1" t="str">
        <f>"一种管状工件的自动收料系统"</f>
        <v>一种管状工件的自动收料系统</v>
      </c>
      <c r="C1968" s="1" t="str">
        <f t="shared" si="942"/>
        <v>实用新型</v>
      </c>
      <c r="D1968" s="1" t="str">
        <f t="shared" si="957"/>
        <v>未缴年费专利权终止</v>
      </c>
      <c r="E1968" s="1" t="str">
        <f>"CN201520752754.2"</f>
        <v>CN201520752754.2</v>
      </c>
      <c r="F1968" s="1" t="str">
        <f>"2015-09-23"</f>
        <v>2015-09-23</v>
      </c>
      <c r="G1968" s="1" t="str">
        <f>"CN205008940U"</f>
        <v>CN205008940U</v>
      </c>
      <c r="H1968" s="1" t="str">
        <f t="shared" si="958"/>
        <v>2016-02-03</v>
      </c>
      <c r="I1968" s="1" t="s">
        <v>5061</v>
      </c>
      <c r="J1968" s="1" t="str">
        <f t="shared" si="943"/>
        <v>天津日马精密锻压有限公司</v>
      </c>
    </row>
    <row r="1969" spans="1:10">
      <c r="A1969" s="1" t="str">
        <f t="shared" si="941"/>
        <v>天津日马精密锻压有限公司</v>
      </c>
      <c r="B1969" s="1" t="str">
        <f>"一种长钢管送料装置"</f>
        <v>一种长钢管送料装置</v>
      </c>
      <c r="C1969" s="1" t="str">
        <f t="shared" si="942"/>
        <v>实用新型</v>
      </c>
      <c r="D1969" s="1" t="str">
        <f t="shared" si="957"/>
        <v>未缴年费专利权终止</v>
      </c>
      <c r="E1969" s="1" t="str">
        <f>"CN201420181974.X"</f>
        <v>CN201420181974.X</v>
      </c>
      <c r="F1969" s="1" t="str">
        <f t="shared" ref="F1969:F1973" si="960">"2014-04-16"</f>
        <v>2014-04-16</v>
      </c>
      <c r="G1969" s="1" t="str">
        <f>"CN203817505U"</f>
        <v>CN203817505U</v>
      </c>
      <c r="H1969" s="1" t="str">
        <f t="shared" ref="H1969:H1973" si="961">"2014-09-10"</f>
        <v>2014-09-10</v>
      </c>
      <c r="I1969" s="1" t="s">
        <v>5062</v>
      </c>
      <c r="J1969" s="1" t="str">
        <f t="shared" si="943"/>
        <v>天津日马精密锻压有限公司</v>
      </c>
    </row>
    <row r="1970" spans="1:10">
      <c r="A1970" s="1" t="str">
        <f t="shared" si="941"/>
        <v>天津日马精密锻压有限公司</v>
      </c>
      <c r="B1970" s="1" t="str">
        <f>"一种攻丝装置"</f>
        <v>一种攻丝装置</v>
      </c>
      <c r="C1970" s="1" t="str">
        <f t="shared" si="942"/>
        <v>实用新型</v>
      </c>
      <c r="D1970" s="1" t="str">
        <f t="shared" si="957"/>
        <v>未缴年费专利权终止</v>
      </c>
      <c r="E1970" s="1" t="str">
        <f>"CN201420181981.X"</f>
        <v>CN201420181981.X</v>
      </c>
      <c r="F1970" s="1" t="str">
        <f t="shared" si="960"/>
        <v>2014-04-16</v>
      </c>
      <c r="G1970" s="1" t="str">
        <f>"CN203817545U"</f>
        <v>CN203817545U</v>
      </c>
      <c r="H1970" s="1" t="str">
        <f t="shared" si="961"/>
        <v>2014-09-10</v>
      </c>
      <c r="I1970" s="1" t="s">
        <v>5062</v>
      </c>
      <c r="J1970" s="1" t="str">
        <f t="shared" si="943"/>
        <v>天津日马精密锻压有限公司</v>
      </c>
    </row>
    <row r="1971" spans="1:10">
      <c r="A1971" s="1" t="str">
        <f t="shared" si="941"/>
        <v>天津日马精密锻压有限公司</v>
      </c>
      <c r="B1971" s="1" t="str">
        <f>"一种推板式上料装置"</f>
        <v>一种推板式上料装置</v>
      </c>
      <c r="C1971" s="1" t="str">
        <f t="shared" si="942"/>
        <v>实用新型</v>
      </c>
      <c r="D1971" s="1" t="str">
        <f t="shared" si="957"/>
        <v>未缴年费专利权终止</v>
      </c>
      <c r="E1971" s="1" t="str">
        <f>"CN201420181956.1"</f>
        <v>CN201420181956.1</v>
      </c>
      <c r="F1971" s="1" t="str">
        <f t="shared" si="960"/>
        <v>2014-04-16</v>
      </c>
      <c r="G1971" s="1" t="str">
        <f>"CN203819932U"</f>
        <v>CN203819932U</v>
      </c>
      <c r="H1971" s="1" t="str">
        <f t="shared" si="961"/>
        <v>2014-09-10</v>
      </c>
      <c r="I1971" s="1" t="s">
        <v>5062</v>
      </c>
      <c r="J1971" s="1" t="str">
        <f t="shared" si="943"/>
        <v>天津日马精密锻压有限公司</v>
      </c>
    </row>
    <row r="1972" spans="1:10">
      <c r="A1972" s="1" t="str">
        <f t="shared" si="941"/>
        <v>天津日马精密锻压有限公司</v>
      </c>
      <c r="B1972" s="1" t="str">
        <f>"一种带有降温功能的管件加工装置"</f>
        <v>一种带有降温功能的管件加工装置</v>
      </c>
      <c r="C1972" s="1" t="str">
        <f t="shared" si="942"/>
        <v>实用新型</v>
      </c>
      <c r="D1972" s="1" t="str">
        <f t="shared" si="957"/>
        <v>未缴年费专利权终止</v>
      </c>
      <c r="E1972" s="1" t="str">
        <f>"CN201420181992.8"</f>
        <v>CN201420181992.8</v>
      </c>
      <c r="F1972" s="1" t="str">
        <f t="shared" si="960"/>
        <v>2014-04-16</v>
      </c>
      <c r="G1972" s="1" t="str">
        <f>"CN203817531U"</f>
        <v>CN203817531U</v>
      </c>
      <c r="H1972" s="1" t="str">
        <f t="shared" si="961"/>
        <v>2014-09-10</v>
      </c>
      <c r="I1972" s="1" t="s">
        <v>5062</v>
      </c>
      <c r="J1972" s="1" t="str">
        <f t="shared" si="943"/>
        <v>天津日马精密锻压有限公司</v>
      </c>
    </row>
    <row r="1973" spans="1:10">
      <c r="A1973" s="1" t="str">
        <f t="shared" si="941"/>
        <v>天津日马精密锻压有限公司</v>
      </c>
      <c r="B1973" s="1" t="str">
        <f>"一种切割机"</f>
        <v>一种切割机</v>
      </c>
      <c r="C1973" s="1" t="str">
        <f t="shared" si="942"/>
        <v>实用新型</v>
      </c>
      <c r="D1973" s="1" t="str">
        <f t="shared" si="957"/>
        <v>未缴年费专利权终止</v>
      </c>
      <c r="E1973" s="1" t="str">
        <f>"CN201420181973.5"</f>
        <v>CN201420181973.5</v>
      </c>
      <c r="F1973" s="1" t="str">
        <f t="shared" si="960"/>
        <v>2014-04-16</v>
      </c>
      <c r="G1973" s="1" t="str">
        <f>"CN203817498U"</f>
        <v>CN203817498U</v>
      </c>
      <c r="H1973" s="1" t="str">
        <f t="shared" si="961"/>
        <v>2014-09-10</v>
      </c>
      <c r="I1973" s="1" t="s">
        <v>5062</v>
      </c>
      <c r="J1973" s="1" t="str">
        <f t="shared" si="943"/>
        <v>天津日马精密锻压有限公司</v>
      </c>
    </row>
    <row r="1974" spans="1:10">
      <c r="A1974" s="1" t="str">
        <f t="shared" si="941"/>
        <v>天津日马精密锻压有限公司</v>
      </c>
      <c r="B1974" s="1" t="str">
        <f>"检测异形件的一组装置"</f>
        <v>检测异形件的一组装置</v>
      </c>
      <c r="C1974" s="1" t="str">
        <f t="shared" si="942"/>
        <v>实用新型</v>
      </c>
      <c r="D1974" s="1" t="str">
        <f t="shared" si="957"/>
        <v>未缴年费专利权终止</v>
      </c>
      <c r="E1974" s="1" t="str">
        <f>"CN201320879647.7"</f>
        <v>CN201320879647.7</v>
      </c>
      <c r="F1974" s="1" t="str">
        <f t="shared" ref="F1974:F1983" si="962">"2013-12-30"</f>
        <v>2013-12-30</v>
      </c>
      <c r="G1974" s="1" t="str">
        <f>"CN203648861U"</f>
        <v>CN203648861U</v>
      </c>
      <c r="H1974" s="1" t="str">
        <f t="shared" ref="H1974:H1981" si="963">"2014-06-18"</f>
        <v>2014-06-18</v>
      </c>
      <c r="I1974" s="1" t="s">
        <v>5062</v>
      </c>
      <c r="J1974" s="1" t="str">
        <f t="shared" si="943"/>
        <v>天津日马精密锻压有限公司</v>
      </c>
    </row>
    <row r="1975" spans="1:10">
      <c r="A1975" s="1" t="str">
        <f t="shared" si="941"/>
        <v>天津日马精密锻压有限公司</v>
      </c>
      <c r="B1975" s="1" t="str">
        <f>"一种圆形零件同轴检测装置"</f>
        <v>一种圆形零件同轴检测装置</v>
      </c>
      <c r="C1975" s="1" t="str">
        <f t="shared" si="942"/>
        <v>实用新型</v>
      </c>
      <c r="D1975" s="1" t="str">
        <f t="shared" si="957"/>
        <v>未缴年费专利权终止</v>
      </c>
      <c r="E1975" s="1" t="str">
        <f>"CN201320879259.9"</f>
        <v>CN201320879259.9</v>
      </c>
      <c r="F1975" s="1" t="str">
        <f t="shared" si="962"/>
        <v>2013-12-30</v>
      </c>
      <c r="G1975" s="1" t="str">
        <f>"CN203657730U"</f>
        <v>CN203657730U</v>
      </c>
      <c r="H1975" s="1" t="str">
        <f t="shared" si="963"/>
        <v>2014-06-18</v>
      </c>
      <c r="I1975" s="1" t="s">
        <v>5062</v>
      </c>
      <c r="J1975" s="1" t="str">
        <f t="shared" si="943"/>
        <v>天津日马精密锻压有限公司</v>
      </c>
    </row>
    <row r="1976" spans="1:10">
      <c r="A1976" s="1" t="str">
        <f t="shared" si="941"/>
        <v>天津日马精密锻压有限公司</v>
      </c>
      <c r="B1976" s="1" t="str">
        <f>"一种工件厚度检测装置"</f>
        <v>一种工件厚度检测装置</v>
      </c>
      <c r="C1976" s="1" t="str">
        <f t="shared" si="942"/>
        <v>实用新型</v>
      </c>
      <c r="D1976" s="1" t="str">
        <f t="shared" si="957"/>
        <v>未缴年费专利权终止</v>
      </c>
      <c r="E1976" s="1" t="str">
        <f>"CN201320879257.X"</f>
        <v>CN201320879257.X</v>
      </c>
      <c r="F1976" s="1" t="str">
        <f t="shared" si="962"/>
        <v>2013-12-30</v>
      </c>
      <c r="G1976" s="1" t="str">
        <f>"CN203657691U"</f>
        <v>CN203657691U</v>
      </c>
      <c r="H1976" s="1" t="str">
        <f t="shared" si="963"/>
        <v>2014-06-18</v>
      </c>
      <c r="I1976" s="1" t="s">
        <v>5062</v>
      </c>
      <c r="J1976" s="1" t="str">
        <f t="shared" si="943"/>
        <v>天津日马精密锻压有限公司</v>
      </c>
    </row>
    <row r="1977" spans="1:10">
      <c r="A1977" s="1" t="str">
        <f t="shared" si="941"/>
        <v>天津日马精密锻压有限公司</v>
      </c>
      <c r="B1977" s="1" t="str">
        <f>"一种圆形件的下料装置"</f>
        <v>一种圆形件的下料装置</v>
      </c>
      <c r="C1977" s="1" t="str">
        <f t="shared" si="942"/>
        <v>实用新型</v>
      </c>
      <c r="D1977" s="1" t="str">
        <f t="shared" si="957"/>
        <v>未缴年费专利权终止</v>
      </c>
      <c r="E1977" s="1" t="str">
        <f>"CN201320879671.0"</f>
        <v>CN201320879671.0</v>
      </c>
      <c r="F1977" s="1" t="str">
        <f t="shared" si="962"/>
        <v>2013-12-30</v>
      </c>
      <c r="G1977" s="1" t="str">
        <f>"CN203652750U"</f>
        <v>CN203652750U</v>
      </c>
      <c r="H1977" s="1" t="str">
        <f t="shared" si="963"/>
        <v>2014-06-18</v>
      </c>
      <c r="I1977" s="1" t="s">
        <v>5062</v>
      </c>
      <c r="J1977" s="1" t="str">
        <f t="shared" si="943"/>
        <v>天津日马精密锻压有限公司</v>
      </c>
    </row>
    <row r="1978" spans="1:10">
      <c r="A1978" s="1" t="str">
        <f t="shared" si="941"/>
        <v>天津日马精密锻压有限公司</v>
      </c>
      <c r="B1978" s="1" t="str">
        <f>"一种打磨机"</f>
        <v>一种打磨机</v>
      </c>
      <c r="C1978" s="1" t="str">
        <f t="shared" si="942"/>
        <v>实用新型</v>
      </c>
      <c r="D1978" s="1" t="str">
        <f t="shared" si="957"/>
        <v>未缴年费专利权终止</v>
      </c>
      <c r="E1978" s="1" t="str">
        <f>"CN201320879258.4"</f>
        <v>CN201320879258.4</v>
      </c>
      <c r="F1978" s="1" t="str">
        <f t="shared" si="962"/>
        <v>2013-12-30</v>
      </c>
      <c r="G1978" s="1" t="str">
        <f>"CN203650202U"</f>
        <v>CN203650202U</v>
      </c>
      <c r="H1978" s="1" t="str">
        <f t="shared" si="963"/>
        <v>2014-06-18</v>
      </c>
      <c r="I1978" s="1" t="s">
        <v>5062</v>
      </c>
      <c r="J1978" s="1" t="str">
        <f t="shared" si="943"/>
        <v>天津日马精密锻压有限公司</v>
      </c>
    </row>
    <row r="1979" spans="1:10">
      <c r="A1979" s="1" t="str">
        <f t="shared" si="941"/>
        <v>天津日马精密锻压有限公司</v>
      </c>
      <c r="B1979" s="1" t="str">
        <f>"一种圆环形工件的移动装置"</f>
        <v>一种圆环形工件的移动装置</v>
      </c>
      <c r="C1979" s="1" t="str">
        <f t="shared" si="942"/>
        <v>实用新型</v>
      </c>
      <c r="D1979" s="1" t="str">
        <f t="shared" si="957"/>
        <v>未缴年费专利权终止</v>
      </c>
      <c r="E1979" s="1" t="str">
        <f>"CN201320879373.1"</f>
        <v>CN201320879373.1</v>
      </c>
      <c r="F1979" s="1" t="str">
        <f t="shared" si="962"/>
        <v>2013-12-30</v>
      </c>
      <c r="G1979" s="1" t="str">
        <f>"CN203652636U"</f>
        <v>CN203652636U</v>
      </c>
      <c r="H1979" s="1" t="str">
        <f t="shared" si="963"/>
        <v>2014-06-18</v>
      </c>
      <c r="I1979" s="1" t="s">
        <v>5062</v>
      </c>
      <c r="J1979" s="1" t="str">
        <f t="shared" si="943"/>
        <v>天津日马精密锻压有限公司</v>
      </c>
    </row>
    <row r="1980" spans="1:10">
      <c r="A1980" s="1" t="str">
        <f t="shared" si="941"/>
        <v>天津日马精密锻压有限公司</v>
      </c>
      <c r="B1980" s="1" t="str">
        <f>"缺口圆环形工件的一套专用检具"</f>
        <v>缺口圆环形工件的一套专用检具</v>
      </c>
      <c r="C1980" s="1" t="str">
        <f t="shared" si="942"/>
        <v>实用新型</v>
      </c>
      <c r="D1980" s="1" t="str">
        <f t="shared" si="957"/>
        <v>未缴年费专利权终止</v>
      </c>
      <c r="E1980" s="1" t="str">
        <f>"CN201320879372.7"</f>
        <v>CN201320879372.7</v>
      </c>
      <c r="F1980" s="1" t="str">
        <f t="shared" si="962"/>
        <v>2013-12-30</v>
      </c>
      <c r="G1980" s="1" t="str">
        <f>"CN203657701U"</f>
        <v>CN203657701U</v>
      </c>
      <c r="H1980" s="1" t="str">
        <f t="shared" si="963"/>
        <v>2014-06-18</v>
      </c>
      <c r="I1980" s="1" t="s">
        <v>5062</v>
      </c>
      <c r="J1980" s="1" t="str">
        <f t="shared" si="943"/>
        <v>天津日马精密锻压有限公司</v>
      </c>
    </row>
    <row r="1981" spans="1:10">
      <c r="A1981" s="1" t="str">
        <f t="shared" si="941"/>
        <v>天津日马精密锻压有限公司</v>
      </c>
      <c r="B1981" s="1" t="str">
        <f>"一种圆形工件的上料装置"</f>
        <v>一种圆形工件的上料装置</v>
      </c>
      <c r="C1981" s="1" t="str">
        <f t="shared" si="942"/>
        <v>实用新型</v>
      </c>
      <c r="D1981" s="1" t="str">
        <f t="shared" si="957"/>
        <v>未缴年费专利权终止</v>
      </c>
      <c r="E1981" s="1" t="str">
        <f>"CN201320879670.6"</f>
        <v>CN201320879670.6</v>
      </c>
      <c r="F1981" s="1" t="str">
        <f t="shared" si="962"/>
        <v>2013-12-30</v>
      </c>
      <c r="G1981" s="1" t="str">
        <f>"CN203652749U"</f>
        <v>CN203652749U</v>
      </c>
      <c r="H1981" s="1" t="str">
        <f t="shared" si="963"/>
        <v>2014-06-18</v>
      </c>
      <c r="I1981" s="1" t="s">
        <v>5062</v>
      </c>
      <c r="J1981" s="1" t="str">
        <f t="shared" si="943"/>
        <v>天津日马精密锻压有限公司</v>
      </c>
    </row>
    <row r="1982" spans="1:10">
      <c r="A1982" s="1" t="str">
        <f t="shared" si="941"/>
        <v>天津日马精密锻压有限公司</v>
      </c>
      <c r="B1982" s="1" t="str">
        <f>"一种圆环形工件的移动装置"</f>
        <v>一种圆环形工件的移动装置</v>
      </c>
      <c r="C1982" s="1" t="str">
        <f t="shared" ref="C1982:C1987" si="964">"发明公布"</f>
        <v>发明公布</v>
      </c>
      <c r="D1982" s="1" t="str">
        <f>"公布视为撤回"</f>
        <v>公布视为撤回</v>
      </c>
      <c r="E1982" s="1" t="str">
        <f>"CN201310741710.5"</f>
        <v>CN201310741710.5</v>
      </c>
      <c r="F1982" s="1" t="str">
        <f t="shared" si="962"/>
        <v>2013-12-30</v>
      </c>
      <c r="G1982" s="1" t="str">
        <f>"CN103708185A"</f>
        <v>CN103708185A</v>
      </c>
      <c r="H1982" s="1" t="str">
        <f>"2014-04-09"</f>
        <v>2014-04-09</v>
      </c>
      <c r="I1982" s="1" t="s">
        <v>5062</v>
      </c>
      <c r="J1982" s="1" t="str">
        <f t="shared" si="943"/>
        <v>天津日马精密锻压有限公司</v>
      </c>
    </row>
    <row r="1983" spans="1:10">
      <c r="A1983" s="1" t="str">
        <f t="shared" si="941"/>
        <v>天津日马精密锻压有限公司</v>
      </c>
      <c r="B1983" s="1" t="str">
        <f>"一种圆形件的下料装置"</f>
        <v>一种圆形件的下料装置</v>
      </c>
      <c r="C1983" s="1" t="str">
        <f t="shared" si="964"/>
        <v>发明公布</v>
      </c>
      <c r="D1983" s="1" t="str">
        <f>"公布视为撤回"</f>
        <v>公布视为撤回</v>
      </c>
      <c r="E1983" s="1" t="str">
        <f>"CN201310742080.3"</f>
        <v>CN201310742080.3</v>
      </c>
      <c r="F1983" s="1" t="str">
        <f t="shared" si="962"/>
        <v>2013-12-30</v>
      </c>
      <c r="G1983" s="1" t="str">
        <f>"CN103693435A"</f>
        <v>CN103693435A</v>
      </c>
      <c r="H1983" s="1" t="str">
        <f>"2014-04-02"</f>
        <v>2014-04-02</v>
      </c>
      <c r="I1983" s="1" t="s">
        <v>5062</v>
      </c>
      <c r="J1983" s="1" t="str">
        <f t="shared" si="943"/>
        <v>天津日马精密锻压有限公司</v>
      </c>
    </row>
    <row r="1984" spans="1:10">
      <c r="A1984" s="1" t="str">
        <f t="shared" ref="A1984:A2029" si="965">"天津市拓达车辆配件有限公司"</f>
        <v>天津市拓达车辆配件有限公司</v>
      </c>
      <c r="B1984" s="1" t="str">
        <f>"一种电机端盖激光打标设备"</f>
        <v>一种电机端盖激光打标设备</v>
      </c>
      <c r="C1984" s="1" t="str">
        <f t="shared" ref="C1984:C1986" si="966">"实用新型"</f>
        <v>实用新型</v>
      </c>
      <c r="D1984" s="1" t="str">
        <f t="shared" ref="D1984:D1986" si="967">"授权"</f>
        <v>授权</v>
      </c>
      <c r="E1984" s="1" t="str">
        <f>"CN202422425983.5"</f>
        <v>CN202422425983.5</v>
      </c>
      <c r="F1984" s="1" t="str">
        <f>"2024-10-09"</f>
        <v>2024-10-09</v>
      </c>
      <c r="G1984" s="1" t="str">
        <f>"CN223368466U"</f>
        <v>CN223368466U</v>
      </c>
      <c r="H1984" s="1" t="str">
        <f>"2025-09-23"</f>
        <v>2025-09-23</v>
      </c>
      <c r="I1984" s="1" t="s">
        <v>5063</v>
      </c>
      <c r="J1984" s="1" t="str">
        <f t="shared" ref="J1984:J2029" si="968">"天津市拓达车辆配件有限公司"</f>
        <v>天津市拓达车辆配件有限公司</v>
      </c>
    </row>
    <row r="1985" spans="1:10">
      <c r="A1985" s="1" t="str">
        <f t="shared" si="965"/>
        <v>天津市拓达车辆配件有限公司</v>
      </c>
      <c r="B1985" s="1" t="str">
        <f>"一种定子线圈定位定量沾锡装夹测试一体机"</f>
        <v>一种定子线圈定位定量沾锡装夹测试一体机</v>
      </c>
      <c r="C1985" s="1" t="str">
        <f t="shared" si="966"/>
        <v>实用新型</v>
      </c>
      <c r="D1985" s="1" t="str">
        <f t="shared" si="967"/>
        <v>授权</v>
      </c>
      <c r="E1985" s="1" t="str">
        <f>"CN202422573138.2"</f>
        <v>CN202422573138.2</v>
      </c>
      <c r="F1985" s="1" t="str">
        <f>"2024-10-24"</f>
        <v>2024-10-24</v>
      </c>
      <c r="G1985" s="1" t="str">
        <f>"CN223325609U"</f>
        <v>CN223325609U</v>
      </c>
      <c r="H1985" s="1" t="str">
        <f>"2025-09-12"</f>
        <v>2025-09-12</v>
      </c>
      <c r="I1985" s="1" t="s">
        <v>5063</v>
      </c>
      <c r="J1985" s="1" t="str">
        <f t="shared" si="968"/>
        <v>天津市拓达车辆配件有限公司</v>
      </c>
    </row>
    <row r="1986" spans="1:10">
      <c r="A1986" s="1" t="str">
        <f t="shared" si="965"/>
        <v>天津市拓达车辆配件有限公司</v>
      </c>
      <c r="B1986" s="1" t="str">
        <f>"一种电机定转芯"</f>
        <v>一种电机定转芯</v>
      </c>
      <c r="C1986" s="1" t="str">
        <f t="shared" si="966"/>
        <v>实用新型</v>
      </c>
      <c r="D1986" s="1" t="str">
        <f t="shared" si="967"/>
        <v>授权</v>
      </c>
      <c r="E1986" s="1" t="str">
        <f>"CN202421388250.2"</f>
        <v>CN202421388250.2</v>
      </c>
      <c r="F1986" s="1" t="str">
        <f t="shared" ref="F1986:F1991" si="969">"2024-06-18"</f>
        <v>2024-06-18</v>
      </c>
      <c r="G1986" s="1" t="str">
        <f>"CN222839464U"</f>
        <v>CN222839464U</v>
      </c>
      <c r="H1986" s="1" t="str">
        <f>"2025-05-06"</f>
        <v>2025-05-06</v>
      </c>
      <c r="I1986" s="1" t="s">
        <v>5064</v>
      </c>
      <c r="J1986" s="1" t="str">
        <f t="shared" si="968"/>
        <v>天津市拓达车辆配件有限公司</v>
      </c>
    </row>
    <row r="1987" spans="1:10">
      <c r="A1987" s="1" t="str">
        <f t="shared" si="965"/>
        <v>天津市拓达车辆配件有限公司</v>
      </c>
      <c r="B1987" s="1" t="str">
        <f>"一种定子线圈自动定位定量沾锡装夹测试装置及方法"</f>
        <v>一种定子线圈自动定位定量沾锡装夹测试装置及方法</v>
      </c>
      <c r="C1987" s="1" t="str">
        <f t="shared" si="964"/>
        <v>发明公布</v>
      </c>
      <c r="D1987" s="1" t="str">
        <f>"实质审查"</f>
        <v>实质审查</v>
      </c>
      <c r="E1987" s="1" t="str">
        <f>"CN202411490383.5"</f>
        <v>CN202411490383.5</v>
      </c>
      <c r="F1987" s="1" t="str">
        <f>"2024-10-24"</f>
        <v>2024-10-24</v>
      </c>
      <c r="G1987" s="1" t="str">
        <f>"CN119747789A"</f>
        <v>CN119747789A</v>
      </c>
      <c r="H1987" s="1" t="str">
        <f>"2025-04-04"</f>
        <v>2025-04-04</v>
      </c>
      <c r="I1987" s="1" t="s">
        <v>5063</v>
      </c>
      <c r="J1987" s="1" t="str">
        <f t="shared" si="968"/>
        <v>天津市拓达车辆配件有限公司</v>
      </c>
    </row>
    <row r="1988" spans="1:10">
      <c r="A1988" s="1" t="str">
        <f t="shared" si="965"/>
        <v>天津市拓达车辆配件有限公司</v>
      </c>
      <c r="B1988" s="1" t="str">
        <f>"六边机壳"</f>
        <v>六边机壳</v>
      </c>
      <c r="C1988" s="1" t="str">
        <f t="shared" ref="C1988:C1991" si="970">"外观设计"</f>
        <v>外观设计</v>
      </c>
      <c r="D1988" s="1" t="str">
        <f t="shared" ref="D1988:D2029" si="971">"授权"</f>
        <v>授权</v>
      </c>
      <c r="E1988" s="1" t="str">
        <f>"CN202430371425.8"</f>
        <v>CN202430371425.8</v>
      </c>
      <c r="F1988" s="1" t="str">
        <f t="shared" si="969"/>
        <v>2024-06-18</v>
      </c>
      <c r="G1988" s="1" t="str">
        <f>"CN309080167S"</f>
        <v>CN309080167S</v>
      </c>
      <c r="H1988" s="1" t="str">
        <f t="shared" ref="H1988:H1991" si="972">"2025-01-21"</f>
        <v>2025-01-21</v>
      </c>
      <c r="I1988" s="1" t="s">
        <v>5064</v>
      </c>
      <c r="J1988" s="1" t="str">
        <f t="shared" si="968"/>
        <v>天津市拓达车辆配件有限公司</v>
      </c>
    </row>
    <row r="1989" spans="1:10">
      <c r="A1989" s="1" t="str">
        <f t="shared" si="965"/>
        <v>天津市拓达车辆配件有限公司</v>
      </c>
      <c r="B1989" s="1" t="str">
        <f>"电机定子"</f>
        <v>电机定子</v>
      </c>
      <c r="C1989" s="1" t="str">
        <f t="shared" si="970"/>
        <v>外观设计</v>
      </c>
      <c r="D1989" s="1" t="str">
        <f t="shared" si="971"/>
        <v>授权</v>
      </c>
      <c r="E1989" s="1" t="str">
        <f>"CN202430372205.7"</f>
        <v>CN202430372205.7</v>
      </c>
      <c r="F1989" s="1" t="str">
        <f t="shared" si="969"/>
        <v>2024-06-18</v>
      </c>
      <c r="G1989" s="1" t="str">
        <f>"CN309080169S"</f>
        <v>CN309080169S</v>
      </c>
      <c r="H1989" s="1" t="str">
        <f t="shared" si="972"/>
        <v>2025-01-21</v>
      </c>
      <c r="I1989" s="1" t="s">
        <v>5064</v>
      </c>
      <c r="J1989" s="1" t="str">
        <f t="shared" si="968"/>
        <v>天津市拓达车辆配件有限公司</v>
      </c>
    </row>
    <row r="1990" spans="1:10">
      <c r="A1990" s="1" t="str">
        <f t="shared" si="965"/>
        <v>天津市拓达车辆配件有限公司</v>
      </c>
      <c r="B1990" s="1" t="str">
        <f>"电机转子"</f>
        <v>电机转子</v>
      </c>
      <c r="C1990" s="1" t="str">
        <f t="shared" si="970"/>
        <v>外观设计</v>
      </c>
      <c r="D1990" s="1" t="str">
        <f t="shared" si="971"/>
        <v>授权</v>
      </c>
      <c r="E1990" s="1" t="str">
        <f>"CN202430372203.8"</f>
        <v>CN202430372203.8</v>
      </c>
      <c r="F1990" s="1" t="str">
        <f t="shared" si="969"/>
        <v>2024-06-18</v>
      </c>
      <c r="G1990" s="1" t="str">
        <f>"CN309080168S"</f>
        <v>CN309080168S</v>
      </c>
      <c r="H1990" s="1" t="str">
        <f t="shared" si="972"/>
        <v>2025-01-21</v>
      </c>
      <c r="I1990" s="1" t="s">
        <v>5064</v>
      </c>
      <c r="J1990" s="1" t="str">
        <f t="shared" si="968"/>
        <v>天津市拓达车辆配件有限公司</v>
      </c>
    </row>
    <row r="1991" spans="1:10">
      <c r="A1991" s="1" t="str">
        <f t="shared" si="965"/>
        <v>天津市拓达车辆配件有限公司</v>
      </c>
      <c r="B1991" s="1" t="str">
        <f>"风叶罩"</f>
        <v>风叶罩</v>
      </c>
      <c r="C1991" s="1" t="str">
        <f t="shared" si="970"/>
        <v>外观设计</v>
      </c>
      <c r="D1991" s="1" t="str">
        <f t="shared" si="971"/>
        <v>授权</v>
      </c>
      <c r="E1991" s="1" t="str">
        <f>"CN202430371389.5"</f>
        <v>CN202430371389.5</v>
      </c>
      <c r="F1991" s="1" t="str">
        <f t="shared" si="969"/>
        <v>2024-06-18</v>
      </c>
      <c r="G1991" s="1" t="str">
        <f>"CN309080872S"</f>
        <v>CN309080872S</v>
      </c>
      <c r="H1991" s="1" t="str">
        <f t="shared" si="972"/>
        <v>2025-01-21</v>
      </c>
      <c r="I1991" s="1" t="s">
        <v>5064</v>
      </c>
      <c r="J1991" s="1" t="str">
        <f t="shared" si="968"/>
        <v>天津市拓达车辆配件有限公司</v>
      </c>
    </row>
    <row r="1992" spans="1:10">
      <c r="A1992" s="1" t="str">
        <f t="shared" si="965"/>
        <v>天津市拓达车辆配件有限公司</v>
      </c>
      <c r="B1992" s="1" t="str">
        <f>"一种电动车电机生产用电阻焊接剪线一体机"</f>
        <v>一种电动车电机生产用电阻焊接剪线一体机</v>
      </c>
      <c r="C1992" s="1" t="str">
        <f>"发明授权"</f>
        <v>发明授权</v>
      </c>
      <c r="D1992" s="1" t="str">
        <f t="shared" si="971"/>
        <v>授权</v>
      </c>
      <c r="E1992" s="1" t="str">
        <f>"CN202111112529.9"</f>
        <v>CN202111112529.9</v>
      </c>
      <c r="F1992" s="1" t="str">
        <f>"2021-09-23"</f>
        <v>2021-09-23</v>
      </c>
      <c r="G1992" s="1" t="str">
        <f>"CN113601176B"</f>
        <v>CN113601176B</v>
      </c>
      <c r="H1992" s="1" t="str">
        <f>"2024-12-20"</f>
        <v>2024-12-20</v>
      </c>
      <c r="I1992" s="1" t="str">
        <f>"徐峰"</f>
        <v>徐峰</v>
      </c>
      <c r="J1992" s="1" t="str">
        <f t="shared" si="968"/>
        <v>天津市拓达车辆配件有限公司</v>
      </c>
    </row>
    <row r="1993" spans="1:10">
      <c r="A1993" s="1" t="str">
        <f t="shared" si="965"/>
        <v>天津市拓达车辆配件有限公司</v>
      </c>
      <c r="B1993" s="1" t="str">
        <f>"一种便于移动的三轮用差速电机打胶机"</f>
        <v>一种便于移动的三轮用差速电机打胶机</v>
      </c>
      <c r="C1993" s="1" t="str">
        <f t="shared" ref="C1993:C1997" si="973">"实用新型"</f>
        <v>实用新型</v>
      </c>
      <c r="D1993" s="1" t="str">
        <f t="shared" si="971"/>
        <v>授权</v>
      </c>
      <c r="E1993" s="1" t="str">
        <f>"CN202323123740.8"</f>
        <v>CN202323123740.8</v>
      </c>
      <c r="F1993" s="1" t="str">
        <f t="shared" ref="F1993:F1997" si="974">"2023-11-20"</f>
        <v>2023-11-20</v>
      </c>
      <c r="G1993" s="1" t="str">
        <f>"CN221597655U"</f>
        <v>CN221597655U</v>
      </c>
      <c r="H1993" s="1" t="str">
        <f t="shared" ref="H1993:H1995" si="975">"2024-08-23"</f>
        <v>2024-08-23</v>
      </c>
      <c r="I1993" s="1" t="s">
        <v>5065</v>
      </c>
      <c r="J1993" s="1" t="str">
        <f t="shared" si="968"/>
        <v>天津市拓达车辆配件有限公司</v>
      </c>
    </row>
    <row r="1994" spans="1:10">
      <c r="A1994" s="1" t="str">
        <f t="shared" si="965"/>
        <v>天津市拓达车辆配件有限公司</v>
      </c>
      <c r="B1994" s="1" t="str">
        <f>"一种多层内转子周转车"</f>
        <v>一种多层内转子周转车</v>
      </c>
      <c r="C1994" s="1" t="str">
        <f t="shared" si="973"/>
        <v>实用新型</v>
      </c>
      <c r="D1994" s="1" t="str">
        <f t="shared" si="971"/>
        <v>授权</v>
      </c>
      <c r="E1994" s="1" t="str">
        <f>"CN202323123739.5"</f>
        <v>CN202323123739.5</v>
      </c>
      <c r="F1994" s="1" t="str">
        <f t="shared" si="974"/>
        <v>2023-11-20</v>
      </c>
      <c r="G1994" s="1" t="str">
        <f>"CN221585464U"</f>
        <v>CN221585464U</v>
      </c>
      <c r="H1994" s="1" t="str">
        <f t="shared" si="975"/>
        <v>2024-08-23</v>
      </c>
      <c r="I1994" s="1" t="s">
        <v>5065</v>
      </c>
      <c r="J1994" s="1" t="str">
        <f t="shared" si="968"/>
        <v>天津市拓达车辆配件有限公司</v>
      </c>
    </row>
    <row r="1995" spans="1:10">
      <c r="A1995" s="1" t="str">
        <f t="shared" si="965"/>
        <v>天津市拓达车辆配件有限公司</v>
      </c>
      <c r="B1995" s="1" t="str">
        <f>"一种具有定位结构的差速电机贴磁钢机"</f>
        <v>一种具有定位结构的差速电机贴磁钢机</v>
      </c>
      <c r="C1995" s="1" t="str">
        <f t="shared" si="973"/>
        <v>实用新型</v>
      </c>
      <c r="D1995" s="1" t="str">
        <f t="shared" si="971"/>
        <v>授权</v>
      </c>
      <c r="E1995" s="1" t="str">
        <f>"CN202323138277.4"</f>
        <v>CN202323138277.4</v>
      </c>
      <c r="F1995" s="1" t="str">
        <f>"2023-11-21"</f>
        <v>2023-11-21</v>
      </c>
      <c r="G1995" s="1" t="str">
        <f>"CN221597651U"</f>
        <v>CN221597651U</v>
      </c>
      <c r="H1995" s="1" t="str">
        <f t="shared" si="975"/>
        <v>2024-08-23</v>
      </c>
      <c r="I1995" s="1" t="s">
        <v>5065</v>
      </c>
      <c r="J1995" s="1" t="str">
        <f t="shared" si="968"/>
        <v>天津市拓达车辆配件有限公司</v>
      </c>
    </row>
    <row r="1996" spans="1:10">
      <c r="A1996" s="1" t="str">
        <f t="shared" si="965"/>
        <v>天津市拓达车辆配件有限公司</v>
      </c>
      <c r="B1996" s="1" t="str">
        <f>"一种快速粘合的二轮端盖轴承油封打胶一体机"</f>
        <v>一种快速粘合的二轮端盖轴承油封打胶一体机</v>
      </c>
      <c r="C1996" s="1" t="str">
        <f t="shared" si="973"/>
        <v>实用新型</v>
      </c>
      <c r="D1996" s="1" t="str">
        <f t="shared" si="971"/>
        <v>授权</v>
      </c>
      <c r="E1996" s="1" t="str">
        <f>"CN202323138274.0"</f>
        <v>CN202323138274.0</v>
      </c>
      <c r="F1996" s="1" t="str">
        <f>"2023-11-21"</f>
        <v>2023-11-21</v>
      </c>
      <c r="G1996" s="1" t="str">
        <f>"CN221157432U"</f>
        <v>CN221157432U</v>
      </c>
      <c r="H1996" s="1" t="str">
        <f>"2024-06-18"</f>
        <v>2024-06-18</v>
      </c>
      <c r="I1996" s="1" t="s">
        <v>5066</v>
      </c>
      <c r="J1996" s="1" t="str">
        <f t="shared" si="968"/>
        <v>天津市拓达车辆配件有限公司</v>
      </c>
    </row>
    <row r="1997" spans="1:10">
      <c r="A1997" s="1" t="str">
        <f t="shared" si="965"/>
        <v>天津市拓达车辆配件有限公司</v>
      </c>
      <c r="B1997" s="1" t="str">
        <f>"二轮端盖轴承油封打胶一体机用定位装置"</f>
        <v>二轮端盖轴承油封打胶一体机用定位装置</v>
      </c>
      <c r="C1997" s="1" t="str">
        <f t="shared" si="973"/>
        <v>实用新型</v>
      </c>
      <c r="D1997" s="1" t="str">
        <f t="shared" si="971"/>
        <v>授权</v>
      </c>
      <c r="E1997" s="1" t="str">
        <f>"CN202323123745.0"</f>
        <v>CN202323123745.0</v>
      </c>
      <c r="F1997" s="1" t="str">
        <f t="shared" si="974"/>
        <v>2023-11-20</v>
      </c>
      <c r="G1997" s="1" t="str">
        <f>"CN221157429U"</f>
        <v>CN221157429U</v>
      </c>
      <c r="H1997" s="1" t="str">
        <f>"2024-06-18"</f>
        <v>2024-06-18</v>
      </c>
      <c r="I1997" s="1" t="s">
        <v>5066</v>
      </c>
      <c r="J1997" s="1" t="str">
        <f t="shared" si="968"/>
        <v>天津市拓达车辆配件有限公司</v>
      </c>
    </row>
    <row r="1998" spans="1:10">
      <c r="A1998" s="1" t="str">
        <f t="shared" si="965"/>
        <v>天津市拓达车辆配件有限公司</v>
      </c>
      <c r="B1998" s="1" t="str">
        <f>"一种无刷直流电机用可微调减震设备"</f>
        <v>一种无刷直流电机用可微调减震设备</v>
      </c>
      <c r="C1998" s="1" t="str">
        <f>"发明授权"</f>
        <v>发明授权</v>
      </c>
      <c r="D1998" s="1" t="str">
        <f t="shared" si="971"/>
        <v>授权</v>
      </c>
      <c r="E1998" s="1" t="str">
        <f>"CN201810745878.6"</f>
        <v>CN201810745878.6</v>
      </c>
      <c r="F1998" s="1" t="str">
        <f>"2018-07-09"</f>
        <v>2018-07-09</v>
      </c>
      <c r="G1998" s="1" t="str">
        <f>"CN108832760B"</f>
        <v>CN108832760B</v>
      </c>
      <c r="H1998" s="1" t="str">
        <f>"2024-01-23"</f>
        <v>2024-01-23</v>
      </c>
      <c r="I1998" s="1" t="str">
        <f>"夏百战"</f>
        <v>夏百战</v>
      </c>
      <c r="J1998" s="1" t="str">
        <f t="shared" si="968"/>
        <v>天津市拓达车辆配件有限公司</v>
      </c>
    </row>
    <row r="1999" spans="1:10">
      <c r="A1999" s="1" t="str">
        <f t="shared" si="965"/>
        <v>天津市拓达车辆配件有限公司</v>
      </c>
      <c r="B1999" s="1" t="str">
        <f>"一种电机加工装夹用辅助减震装置"</f>
        <v>一种电机加工装夹用辅助减震装置</v>
      </c>
      <c r="C1999" s="1" t="str">
        <f>"发明授权"</f>
        <v>发明授权</v>
      </c>
      <c r="D1999" s="1" t="str">
        <f t="shared" si="971"/>
        <v>授权</v>
      </c>
      <c r="E1999" s="1" t="str">
        <f>"CN202310490964.8"</f>
        <v>CN202310490964.8</v>
      </c>
      <c r="F1999" s="1" t="str">
        <f>"2023-05-05"</f>
        <v>2023-05-05</v>
      </c>
      <c r="G1999" s="1" t="str">
        <f>"CN116673913B"</f>
        <v>CN116673913B</v>
      </c>
      <c r="H1999" s="1" t="str">
        <f>"2024-01-09"</f>
        <v>2024-01-09</v>
      </c>
      <c r="I1999" s="1" t="str">
        <f>"李青"</f>
        <v>李青</v>
      </c>
      <c r="J1999" s="1" t="str">
        <f t="shared" si="968"/>
        <v>天津市拓达车辆配件有限公司</v>
      </c>
    </row>
    <row r="2000" spans="1:10">
      <c r="A2000" s="1" t="str">
        <f t="shared" si="965"/>
        <v>天津市拓达车辆配件有限公司</v>
      </c>
      <c r="B2000" s="1" t="str">
        <f>"一种电机生产用铁芯边打磨砂带调偏装置"</f>
        <v>一种电机生产用铁芯边打磨砂带调偏装置</v>
      </c>
      <c r="C2000" s="1" t="str">
        <f t="shared" ref="C2000:C2015" si="976">"实用新型"</f>
        <v>实用新型</v>
      </c>
      <c r="D2000" s="1" t="str">
        <f t="shared" si="971"/>
        <v>授权</v>
      </c>
      <c r="E2000" s="1" t="str">
        <f>"CN202122284503.4"</f>
        <v>CN202122284503.4</v>
      </c>
      <c r="F2000" s="1" t="str">
        <f>"2021-09-22"</f>
        <v>2021-09-22</v>
      </c>
      <c r="G2000" s="1" t="str">
        <f>"CN216228624U"</f>
        <v>CN216228624U</v>
      </c>
      <c r="H2000" s="1" t="str">
        <f>"2022-04-08"</f>
        <v>2022-04-08</v>
      </c>
      <c r="I2000" s="1" t="str">
        <f t="shared" ref="I2000:I2015" si="977">"徐峰"</f>
        <v>徐峰</v>
      </c>
      <c r="J2000" s="1" t="str">
        <f t="shared" si="968"/>
        <v>天津市拓达车辆配件有限公司</v>
      </c>
    </row>
    <row r="2001" spans="1:10">
      <c r="A2001" s="1" t="str">
        <f t="shared" si="965"/>
        <v>天津市拓达车辆配件有限公司</v>
      </c>
      <c r="B2001" s="1" t="str">
        <f>"用于电机转子压轴系统的电机转轴递给机构"</f>
        <v>用于电机转子压轴系统的电机转轴递给机构</v>
      </c>
      <c r="C2001" s="1" t="str">
        <f t="shared" si="976"/>
        <v>实用新型</v>
      </c>
      <c r="D2001" s="1" t="str">
        <f t="shared" si="971"/>
        <v>授权</v>
      </c>
      <c r="E2001" s="1" t="str">
        <f>"CN202122311629.6"</f>
        <v>CN202122311629.6</v>
      </c>
      <c r="F2001" s="1" t="str">
        <f>"2021-09-24"</f>
        <v>2021-09-24</v>
      </c>
      <c r="G2001" s="1" t="str">
        <f>"CN216216415U"</f>
        <v>CN216216415U</v>
      </c>
      <c r="H2001" s="1" t="str">
        <f t="shared" ref="H2001:H2008" si="978">"2022-04-05"</f>
        <v>2022-04-05</v>
      </c>
      <c r="I2001" s="1" t="str">
        <f t="shared" si="977"/>
        <v>徐峰</v>
      </c>
      <c r="J2001" s="1" t="str">
        <f t="shared" si="968"/>
        <v>天津市拓达车辆配件有限公司</v>
      </c>
    </row>
    <row r="2002" spans="1:10">
      <c r="A2002" s="1" t="str">
        <f t="shared" si="965"/>
        <v>天津市拓达车辆配件有限公司</v>
      </c>
      <c r="B2002" s="1" t="str">
        <f>"一种电动车电机生产用压油封工装"</f>
        <v>一种电动车电机生产用压油封工装</v>
      </c>
      <c r="C2002" s="1" t="str">
        <f t="shared" si="976"/>
        <v>实用新型</v>
      </c>
      <c r="D2002" s="1" t="str">
        <f t="shared" si="971"/>
        <v>授权</v>
      </c>
      <c r="E2002" s="1" t="str">
        <f>"CN202122299139.9"</f>
        <v>CN202122299139.9</v>
      </c>
      <c r="F2002" s="1" t="str">
        <f t="shared" ref="F2002:F2005" si="979">"2021-09-23"</f>
        <v>2021-09-23</v>
      </c>
      <c r="G2002" s="1" t="str">
        <f>"CN216180183U"</f>
        <v>CN216180183U</v>
      </c>
      <c r="H2002" s="1" t="str">
        <f t="shared" si="978"/>
        <v>2022-04-05</v>
      </c>
      <c r="I2002" s="1" t="str">
        <f t="shared" si="977"/>
        <v>徐峰</v>
      </c>
      <c r="J2002" s="1" t="str">
        <f t="shared" si="968"/>
        <v>天津市拓达车辆配件有限公司</v>
      </c>
    </row>
    <row r="2003" spans="1:10">
      <c r="A2003" s="1" t="str">
        <f t="shared" si="965"/>
        <v>天津市拓达车辆配件有限公司</v>
      </c>
      <c r="B2003" s="1" t="str">
        <f>"一种电动车电机生产用电机端盖压轴承上料机构"</f>
        <v>一种电动车电机生产用电机端盖压轴承上料机构</v>
      </c>
      <c r="C2003" s="1" t="str">
        <f t="shared" si="976"/>
        <v>实用新型</v>
      </c>
      <c r="D2003" s="1" t="str">
        <f t="shared" si="971"/>
        <v>授权</v>
      </c>
      <c r="E2003" s="1" t="str">
        <f>"CN202122299141.6"</f>
        <v>CN202122299141.6</v>
      </c>
      <c r="F2003" s="1" t="str">
        <f t="shared" si="979"/>
        <v>2021-09-23</v>
      </c>
      <c r="G2003" s="1" t="str">
        <f>"CN216188990U"</f>
        <v>CN216188990U</v>
      </c>
      <c r="H2003" s="1" t="str">
        <f t="shared" si="978"/>
        <v>2022-04-05</v>
      </c>
      <c r="I2003" s="1" t="str">
        <f t="shared" si="977"/>
        <v>徐峰</v>
      </c>
      <c r="J2003" s="1" t="str">
        <f t="shared" si="968"/>
        <v>天津市拓达车辆配件有限公司</v>
      </c>
    </row>
    <row r="2004" spans="1:10">
      <c r="A2004" s="1" t="str">
        <f t="shared" si="965"/>
        <v>天津市拓达车辆配件有限公司</v>
      </c>
      <c r="B2004" s="1" t="str">
        <f>"一种电动车电机生产用电阻焊接剪线一体机"</f>
        <v>一种电动车电机生产用电阻焊接剪线一体机</v>
      </c>
      <c r="C2004" s="1" t="str">
        <f t="shared" si="976"/>
        <v>实用新型</v>
      </c>
      <c r="D2004" s="1" t="str">
        <f t="shared" si="971"/>
        <v>授权</v>
      </c>
      <c r="E2004" s="1" t="str">
        <f>"CN202122299110.0"</f>
        <v>CN202122299110.0</v>
      </c>
      <c r="F2004" s="1" t="str">
        <f t="shared" si="979"/>
        <v>2021-09-23</v>
      </c>
      <c r="G2004" s="1" t="str">
        <f>"CN216178285U"</f>
        <v>CN216178285U</v>
      </c>
      <c r="H2004" s="1" t="str">
        <f t="shared" si="978"/>
        <v>2022-04-05</v>
      </c>
      <c r="I2004" s="1" t="str">
        <f t="shared" si="977"/>
        <v>徐峰</v>
      </c>
      <c r="J2004" s="1" t="str">
        <f t="shared" si="968"/>
        <v>天津市拓达车辆配件有限公司</v>
      </c>
    </row>
    <row r="2005" spans="1:10">
      <c r="A2005" s="1" t="str">
        <f t="shared" si="965"/>
        <v>天津市拓达车辆配件有限公司</v>
      </c>
      <c r="B2005" s="1" t="str">
        <f>"一种电动车电机端盖压轴承和压油封一体机"</f>
        <v>一种电动车电机端盖压轴承和压油封一体机</v>
      </c>
      <c r="C2005" s="1" t="str">
        <f t="shared" si="976"/>
        <v>实用新型</v>
      </c>
      <c r="D2005" s="1" t="str">
        <f t="shared" si="971"/>
        <v>授权</v>
      </c>
      <c r="E2005" s="1" t="str">
        <f>"CN202122299140.1"</f>
        <v>CN202122299140.1</v>
      </c>
      <c r="F2005" s="1" t="str">
        <f t="shared" si="979"/>
        <v>2021-09-23</v>
      </c>
      <c r="G2005" s="1" t="str">
        <f>"CN216216442U"</f>
        <v>CN216216442U</v>
      </c>
      <c r="H2005" s="1" t="str">
        <f t="shared" si="978"/>
        <v>2022-04-05</v>
      </c>
      <c r="I2005" s="1" t="str">
        <f t="shared" si="977"/>
        <v>徐峰</v>
      </c>
      <c r="J2005" s="1" t="str">
        <f t="shared" si="968"/>
        <v>天津市拓达车辆配件有限公司</v>
      </c>
    </row>
    <row r="2006" spans="1:10">
      <c r="A2006" s="1" t="str">
        <f t="shared" si="965"/>
        <v>天津市拓达车辆配件有限公司</v>
      </c>
      <c r="B2006" s="1" t="str">
        <f>"一种新型压轴装置"</f>
        <v>一种新型压轴装置</v>
      </c>
      <c r="C2006" s="1" t="str">
        <f t="shared" si="976"/>
        <v>实用新型</v>
      </c>
      <c r="D2006" s="1" t="str">
        <f t="shared" si="971"/>
        <v>授权</v>
      </c>
      <c r="E2006" s="1" t="str">
        <f>"CN202122311626.2"</f>
        <v>CN202122311626.2</v>
      </c>
      <c r="F2006" s="1" t="str">
        <f t="shared" ref="F2006:F2008" si="980">"2021-09-24"</f>
        <v>2021-09-24</v>
      </c>
      <c r="G2006" s="1" t="str">
        <f>"CN216216414U"</f>
        <v>CN216216414U</v>
      </c>
      <c r="H2006" s="1" t="str">
        <f t="shared" si="978"/>
        <v>2022-04-05</v>
      </c>
      <c r="I2006" s="1" t="str">
        <f t="shared" si="977"/>
        <v>徐峰</v>
      </c>
      <c r="J2006" s="1" t="str">
        <f t="shared" si="968"/>
        <v>天津市拓达车辆配件有限公司</v>
      </c>
    </row>
    <row r="2007" spans="1:10">
      <c r="A2007" s="1" t="str">
        <f t="shared" si="965"/>
        <v>天津市拓达车辆配件有限公司</v>
      </c>
      <c r="B2007" s="1" t="str">
        <f>"用于电机转子压轴系统的电机定子上料机构"</f>
        <v>用于电机转子压轴系统的电机定子上料机构</v>
      </c>
      <c r="C2007" s="1" t="str">
        <f t="shared" si="976"/>
        <v>实用新型</v>
      </c>
      <c r="D2007" s="1" t="str">
        <f t="shared" si="971"/>
        <v>授权</v>
      </c>
      <c r="E2007" s="1" t="str">
        <f>"CN202122311628.1"</f>
        <v>CN202122311628.1</v>
      </c>
      <c r="F2007" s="1" t="str">
        <f t="shared" si="980"/>
        <v>2021-09-24</v>
      </c>
      <c r="G2007" s="1" t="str">
        <f>"CN216178092U"</f>
        <v>CN216178092U</v>
      </c>
      <c r="H2007" s="1" t="str">
        <f t="shared" si="978"/>
        <v>2022-04-05</v>
      </c>
      <c r="I2007" s="1" t="str">
        <f t="shared" si="977"/>
        <v>徐峰</v>
      </c>
      <c r="J2007" s="1" t="str">
        <f t="shared" si="968"/>
        <v>天津市拓达车辆配件有限公司</v>
      </c>
    </row>
    <row r="2008" spans="1:10">
      <c r="A2008" s="1" t="str">
        <f t="shared" si="965"/>
        <v>天津市拓达车辆配件有限公司</v>
      </c>
      <c r="B2008" s="1" t="str">
        <f>"自动压轴系统"</f>
        <v>自动压轴系统</v>
      </c>
      <c r="C2008" s="1" t="str">
        <f t="shared" si="976"/>
        <v>实用新型</v>
      </c>
      <c r="D2008" s="1" t="str">
        <f t="shared" si="971"/>
        <v>授权</v>
      </c>
      <c r="E2008" s="1" t="str">
        <f>"CN202122311246.9"</f>
        <v>CN202122311246.9</v>
      </c>
      <c r="F2008" s="1" t="str">
        <f t="shared" si="980"/>
        <v>2021-09-24</v>
      </c>
      <c r="G2008" s="1" t="str">
        <f>"CN216178178U"</f>
        <v>CN216178178U</v>
      </c>
      <c r="H2008" s="1" t="str">
        <f t="shared" si="978"/>
        <v>2022-04-05</v>
      </c>
      <c r="I2008" s="1" t="str">
        <f t="shared" si="977"/>
        <v>徐峰</v>
      </c>
      <c r="J2008" s="1" t="str">
        <f t="shared" si="968"/>
        <v>天津市拓达车辆配件有限公司</v>
      </c>
    </row>
    <row r="2009" spans="1:10">
      <c r="A2009" s="1" t="str">
        <f t="shared" si="965"/>
        <v>天津市拓达车辆配件有限公司</v>
      </c>
      <c r="B2009" s="1" t="str">
        <f>"一种电机端盖圆度检测装置"</f>
        <v>一种电机端盖圆度检测装置</v>
      </c>
      <c r="C2009" s="1" t="str">
        <f t="shared" si="976"/>
        <v>实用新型</v>
      </c>
      <c r="D2009" s="1" t="str">
        <f t="shared" si="971"/>
        <v>授权</v>
      </c>
      <c r="E2009" s="1" t="str">
        <f>"CN202122284024.2"</f>
        <v>CN202122284024.2</v>
      </c>
      <c r="F2009" s="1" t="str">
        <f t="shared" ref="F2009:F2015" si="981">"2021-09-22"</f>
        <v>2021-09-22</v>
      </c>
      <c r="G2009" s="1" t="str">
        <f>"CN216159856U"</f>
        <v>CN216159856U</v>
      </c>
      <c r="H2009" s="1" t="str">
        <f t="shared" ref="H2009:H2015" si="982">"2022-04-01"</f>
        <v>2022-04-01</v>
      </c>
      <c r="I2009" s="1" t="str">
        <f t="shared" si="977"/>
        <v>徐峰</v>
      </c>
      <c r="J2009" s="1" t="str">
        <f t="shared" si="968"/>
        <v>天津市拓达车辆配件有限公司</v>
      </c>
    </row>
    <row r="2010" spans="1:10">
      <c r="A2010" s="1" t="str">
        <f t="shared" si="965"/>
        <v>天津市拓达车辆配件有限公司</v>
      </c>
      <c r="B2010" s="1" t="str">
        <f>"电动测功异响判断系统"</f>
        <v>电动测功异响判断系统</v>
      </c>
      <c r="C2010" s="1" t="str">
        <f t="shared" si="976"/>
        <v>实用新型</v>
      </c>
      <c r="D2010" s="1" t="str">
        <f t="shared" si="971"/>
        <v>授权</v>
      </c>
      <c r="E2010" s="1" t="str">
        <f>"CN202122258558.8"</f>
        <v>CN202122258558.8</v>
      </c>
      <c r="F2010" s="1" t="str">
        <f t="shared" ref="F2010:F2012" si="983">"2021-09-17"</f>
        <v>2021-09-17</v>
      </c>
      <c r="G2010" s="1" t="str">
        <f>"CN216160787U"</f>
        <v>CN216160787U</v>
      </c>
      <c r="H2010" s="1" t="str">
        <f t="shared" si="982"/>
        <v>2022-04-01</v>
      </c>
      <c r="I2010" s="1" t="str">
        <f t="shared" si="977"/>
        <v>徐峰</v>
      </c>
      <c r="J2010" s="1" t="str">
        <f t="shared" si="968"/>
        <v>天津市拓达车辆配件有限公司</v>
      </c>
    </row>
    <row r="2011" spans="1:10">
      <c r="A2011" s="1" t="str">
        <f t="shared" si="965"/>
        <v>天津市拓达车辆配件有限公司</v>
      </c>
      <c r="B2011" s="1" t="str">
        <f>"一种电动车电机直槽定子组件"</f>
        <v>一种电动车电机直槽定子组件</v>
      </c>
      <c r="C2011" s="1" t="str">
        <f t="shared" si="976"/>
        <v>实用新型</v>
      </c>
      <c r="D2011" s="1" t="str">
        <f t="shared" si="971"/>
        <v>授权</v>
      </c>
      <c r="E2011" s="1" t="str">
        <f>"CN202122260248.X"</f>
        <v>CN202122260248.X</v>
      </c>
      <c r="F2011" s="1" t="str">
        <f t="shared" si="983"/>
        <v>2021-09-17</v>
      </c>
      <c r="G2011" s="1" t="str">
        <f>"CN216162483U"</f>
        <v>CN216162483U</v>
      </c>
      <c r="H2011" s="1" t="str">
        <f t="shared" si="982"/>
        <v>2022-04-01</v>
      </c>
      <c r="I2011" s="1" t="str">
        <f t="shared" si="977"/>
        <v>徐峰</v>
      </c>
      <c r="J2011" s="1" t="str">
        <f t="shared" si="968"/>
        <v>天津市拓达车辆配件有限公司</v>
      </c>
    </row>
    <row r="2012" spans="1:10">
      <c r="A2012" s="1" t="str">
        <f t="shared" si="965"/>
        <v>天津市拓达车辆配件有限公司</v>
      </c>
      <c r="B2012" s="1" t="str">
        <f>"一种电机测试用接地片快速连接器"</f>
        <v>一种电机测试用接地片快速连接器</v>
      </c>
      <c r="C2012" s="1" t="str">
        <f t="shared" si="976"/>
        <v>实用新型</v>
      </c>
      <c r="D2012" s="1" t="str">
        <f t="shared" si="971"/>
        <v>授权</v>
      </c>
      <c r="E2012" s="1" t="str">
        <f>"CN202122258527.2"</f>
        <v>CN202122258527.2</v>
      </c>
      <c r="F2012" s="1" t="str">
        <f t="shared" si="983"/>
        <v>2021-09-17</v>
      </c>
      <c r="G2012" s="1" t="str">
        <f>"CN216162034U"</f>
        <v>CN216162034U</v>
      </c>
      <c r="H2012" s="1" t="str">
        <f t="shared" si="982"/>
        <v>2022-04-01</v>
      </c>
      <c r="I2012" s="1" t="str">
        <f t="shared" si="977"/>
        <v>徐峰</v>
      </c>
      <c r="J2012" s="1" t="str">
        <f t="shared" si="968"/>
        <v>天津市拓达车辆配件有限公司</v>
      </c>
    </row>
    <row r="2013" spans="1:10">
      <c r="A2013" s="1" t="str">
        <f t="shared" si="965"/>
        <v>天津市拓达车辆配件有限公司</v>
      </c>
      <c r="B2013" s="1" t="str">
        <f>"一种电机端盖孔内壁打磨装置"</f>
        <v>一种电机端盖孔内壁打磨装置</v>
      </c>
      <c r="C2013" s="1" t="str">
        <f t="shared" si="976"/>
        <v>实用新型</v>
      </c>
      <c r="D2013" s="1" t="str">
        <f t="shared" si="971"/>
        <v>授权</v>
      </c>
      <c r="E2013" s="1" t="str">
        <f>"CN202122284025.7"</f>
        <v>CN202122284025.7</v>
      </c>
      <c r="F2013" s="1" t="str">
        <f t="shared" si="981"/>
        <v>2021-09-22</v>
      </c>
      <c r="G2013" s="1" t="str">
        <f>"CN216151897U"</f>
        <v>CN216151897U</v>
      </c>
      <c r="H2013" s="1" t="str">
        <f t="shared" si="982"/>
        <v>2022-04-01</v>
      </c>
      <c r="I2013" s="1" t="str">
        <f t="shared" si="977"/>
        <v>徐峰</v>
      </c>
      <c r="J2013" s="1" t="str">
        <f t="shared" si="968"/>
        <v>天津市拓达车辆配件有限公司</v>
      </c>
    </row>
    <row r="2014" spans="1:10">
      <c r="A2014" s="1" t="str">
        <f t="shared" si="965"/>
        <v>天津市拓达车辆配件有限公司</v>
      </c>
      <c r="B2014" s="1" t="str">
        <f>"一种电机测试用测功机自动锁紧机构"</f>
        <v>一种电机测试用测功机自动锁紧机构</v>
      </c>
      <c r="C2014" s="1" t="str">
        <f t="shared" si="976"/>
        <v>实用新型</v>
      </c>
      <c r="D2014" s="1" t="str">
        <f t="shared" si="971"/>
        <v>授权</v>
      </c>
      <c r="E2014" s="1" t="str">
        <f>"CN202122284537.3"</f>
        <v>CN202122284537.3</v>
      </c>
      <c r="F2014" s="1" t="str">
        <f t="shared" si="981"/>
        <v>2021-09-22</v>
      </c>
      <c r="G2014" s="1" t="str">
        <f>"CN216160733U"</f>
        <v>CN216160733U</v>
      </c>
      <c r="H2014" s="1" t="str">
        <f t="shared" si="982"/>
        <v>2022-04-01</v>
      </c>
      <c r="I2014" s="1" t="str">
        <f t="shared" si="977"/>
        <v>徐峰</v>
      </c>
      <c r="J2014" s="1" t="str">
        <f t="shared" si="968"/>
        <v>天津市拓达车辆配件有限公司</v>
      </c>
    </row>
    <row r="2015" spans="1:10">
      <c r="A2015" s="1" t="str">
        <f t="shared" si="965"/>
        <v>天津市拓达车辆配件有限公司</v>
      </c>
      <c r="B2015" s="1" t="str">
        <f>"一种电动车自行车飞轮安装结构"</f>
        <v>一种电动车自行车飞轮安装结构</v>
      </c>
      <c r="C2015" s="1" t="str">
        <f t="shared" si="976"/>
        <v>实用新型</v>
      </c>
      <c r="D2015" s="1" t="str">
        <f t="shared" si="971"/>
        <v>授权</v>
      </c>
      <c r="E2015" s="1" t="str">
        <f>"CN202122284505.3"</f>
        <v>CN202122284505.3</v>
      </c>
      <c r="F2015" s="1" t="str">
        <f t="shared" si="981"/>
        <v>2021-09-22</v>
      </c>
      <c r="G2015" s="1" t="str">
        <f>"CN216153968U"</f>
        <v>CN216153968U</v>
      </c>
      <c r="H2015" s="1" t="str">
        <f t="shared" si="982"/>
        <v>2022-04-01</v>
      </c>
      <c r="I2015" s="1" t="str">
        <f t="shared" si="977"/>
        <v>徐峰</v>
      </c>
      <c r="J2015" s="1" t="str">
        <f t="shared" si="968"/>
        <v>天津市拓达车辆配件有限公司</v>
      </c>
    </row>
    <row r="2016" spans="1:10">
      <c r="A2016" s="1" t="str">
        <f t="shared" si="965"/>
        <v>天津市拓达车辆配件有限公司</v>
      </c>
      <c r="B2016" s="1" t="str">
        <f>"电动车仪表盘（天王星）"</f>
        <v>电动车仪表盘（天王星）</v>
      </c>
      <c r="C2016" s="1" t="str">
        <f>"外观设计"</f>
        <v>外观设计</v>
      </c>
      <c r="D2016" s="1" t="str">
        <f t="shared" si="971"/>
        <v>授权</v>
      </c>
      <c r="E2016" s="1" t="str">
        <f>"CN202030463685.X"</f>
        <v>CN202030463685.X</v>
      </c>
      <c r="F2016" s="1" t="str">
        <f>"2020-08-14"</f>
        <v>2020-08-14</v>
      </c>
      <c r="G2016" s="1" t="str">
        <f>"CN306267300S"</f>
        <v>CN306267300S</v>
      </c>
      <c r="H2016" s="1" t="str">
        <f>"2021-01-05"</f>
        <v>2021-01-05</v>
      </c>
      <c r="I2016" s="1" t="s">
        <v>5067</v>
      </c>
      <c r="J2016" s="1" t="str">
        <f t="shared" si="968"/>
        <v>天津市拓达车辆配件有限公司</v>
      </c>
    </row>
    <row r="2017" spans="1:10">
      <c r="A2017" s="1" t="str">
        <f t="shared" si="965"/>
        <v>天津市拓达车辆配件有限公司</v>
      </c>
      <c r="B2017" s="1" t="str">
        <f>"电动车毂刹跳动测量检具"</f>
        <v>电动车毂刹跳动测量检具</v>
      </c>
      <c r="C2017" s="1" t="str">
        <f t="shared" ref="C2017:C2025" si="984">"实用新型"</f>
        <v>实用新型</v>
      </c>
      <c r="D2017" s="1" t="str">
        <f t="shared" si="971"/>
        <v>授权</v>
      </c>
      <c r="E2017" s="1" t="str">
        <f>"CN201822094870.6"</f>
        <v>CN201822094870.6</v>
      </c>
      <c r="F2017" s="1" t="str">
        <f>"2018-12-13"</f>
        <v>2018-12-13</v>
      </c>
      <c r="G2017" s="1" t="str">
        <f>"CN210321653U"</f>
        <v>CN210321653U</v>
      </c>
      <c r="H2017" s="1" t="str">
        <f>"2020-04-14"</f>
        <v>2020-04-14</v>
      </c>
      <c r="I2017" s="1" t="str">
        <f t="shared" ref="I2017:I2023" si="985">"朱志华"</f>
        <v>朱志华</v>
      </c>
      <c r="J2017" s="1" t="str">
        <f t="shared" si="968"/>
        <v>天津市拓达车辆配件有限公司</v>
      </c>
    </row>
    <row r="2018" spans="1:10">
      <c r="A2018" s="1" t="str">
        <f t="shared" si="965"/>
        <v>天津市拓达车辆配件有限公司</v>
      </c>
      <c r="B2018" s="1" t="str">
        <f>"一种磁钢整形机"</f>
        <v>一种磁钢整形机</v>
      </c>
      <c r="C2018" s="1" t="str">
        <f t="shared" si="984"/>
        <v>实用新型</v>
      </c>
      <c r="D2018" s="1" t="str">
        <f t="shared" si="971"/>
        <v>授权</v>
      </c>
      <c r="E2018" s="1" t="str">
        <f>"CN201822098884.5"</f>
        <v>CN201822098884.5</v>
      </c>
      <c r="F2018" s="1" t="str">
        <f t="shared" ref="F2018:F2021" si="986">"2018-12-14"</f>
        <v>2018-12-14</v>
      </c>
      <c r="G2018" s="1" t="str">
        <f>"CN209681591U"</f>
        <v>CN209681591U</v>
      </c>
      <c r="H2018" s="1" t="str">
        <f>"2019-11-26"</f>
        <v>2019-11-26</v>
      </c>
      <c r="I2018" s="1" t="str">
        <f t="shared" si="985"/>
        <v>朱志华</v>
      </c>
      <c r="J2018" s="1" t="str">
        <f t="shared" si="968"/>
        <v>天津市拓达车辆配件有限公司</v>
      </c>
    </row>
    <row r="2019" spans="1:10">
      <c r="A2019" s="1" t="str">
        <f t="shared" si="965"/>
        <v>天津市拓达车辆配件有限公司</v>
      </c>
      <c r="B2019" s="1" t="str">
        <f>"一种电动车毂面测厚尺"</f>
        <v>一种电动车毂面测厚尺</v>
      </c>
      <c r="C2019" s="1" t="str">
        <f t="shared" si="984"/>
        <v>实用新型</v>
      </c>
      <c r="D2019" s="1" t="str">
        <f t="shared" si="971"/>
        <v>授权</v>
      </c>
      <c r="E2019" s="1" t="str">
        <f>"CN201822100576.1"</f>
        <v>CN201822100576.1</v>
      </c>
      <c r="F2019" s="1" t="str">
        <f t="shared" si="986"/>
        <v>2018-12-14</v>
      </c>
      <c r="G2019" s="1" t="str">
        <f>"CN209432008U"</f>
        <v>CN209432008U</v>
      </c>
      <c r="H2019" s="1" t="str">
        <f t="shared" ref="H2019:H2023" si="987">"2019-09-24"</f>
        <v>2019-09-24</v>
      </c>
      <c r="I2019" s="1" t="str">
        <f t="shared" si="985"/>
        <v>朱志华</v>
      </c>
      <c r="J2019" s="1" t="str">
        <f t="shared" si="968"/>
        <v>天津市拓达车辆配件有限公司</v>
      </c>
    </row>
    <row r="2020" spans="1:10">
      <c r="A2020" s="1" t="str">
        <f t="shared" si="965"/>
        <v>天津市拓达车辆配件有限公司</v>
      </c>
      <c r="B2020" s="1" t="str">
        <f>"一种自动贴磁钢机"</f>
        <v>一种自动贴磁钢机</v>
      </c>
      <c r="C2020" s="1" t="str">
        <f t="shared" si="984"/>
        <v>实用新型</v>
      </c>
      <c r="D2020" s="1" t="str">
        <f t="shared" si="971"/>
        <v>授权</v>
      </c>
      <c r="E2020" s="1" t="str">
        <f>"CN201822111056.0"</f>
        <v>CN201822111056.0</v>
      </c>
      <c r="F2020" s="1" t="str">
        <f>"2018-12-17"</f>
        <v>2018-12-17</v>
      </c>
      <c r="G2020" s="1" t="str">
        <f>"CN209435072U"</f>
        <v>CN209435072U</v>
      </c>
      <c r="H2020" s="1" t="str">
        <f t="shared" si="987"/>
        <v>2019-09-24</v>
      </c>
      <c r="I2020" s="1" t="str">
        <f t="shared" si="985"/>
        <v>朱志华</v>
      </c>
      <c r="J2020" s="1" t="str">
        <f t="shared" si="968"/>
        <v>天津市拓达车辆配件有限公司</v>
      </c>
    </row>
    <row r="2021" spans="1:10">
      <c r="A2021" s="1" t="str">
        <f t="shared" si="965"/>
        <v>天津市拓达车辆配件有限公司</v>
      </c>
      <c r="B2021" s="1" t="str">
        <f>"轮毂对孔验具"</f>
        <v>轮毂对孔验具</v>
      </c>
      <c r="C2021" s="1" t="str">
        <f t="shared" si="984"/>
        <v>实用新型</v>
      </c>
      <c r="D2021" s="1" t="str">
        <f t="shared" si="971"/>
        <v>授权</v>
      </c>
      <c r="E2021" s="1" t="str">
        <f>"CN201822098892.X"</f>
        <v>CN201822098892.X</v>
      </c>
      <c r="F2021" s="1" t="str">
        <f t="shared" si="986"/>
        <v>2018-12-14</v>
      </c>
      <c r="G2021" s="1" t="str">
        <f>"CN209431991U"</f>
        <v>CN209431991U</v>
      </c>
      <c r="H2021" s="1" t="str">
        <f t="shared" si="987"/>
        <v>2019-09-24</v>
      </c>
      <c r="I2021" s="1" t="str">
        <f t="shared" si="985"/>
        <v>朱志华</v>
      </c>
      <c r="J2021" s="1" t="str">
        <f t="shared" si="968"/>
        <v>天津市拓达车辆配件有限公司</v>
      </c>
    </row>
    <row r="2022" spans="1:10">
      <c r="A2022" s="1" t="str">
        <f t="shared" si="965"/>
        <v>天津市拓达车辆配件有限公司</v>
      </c>
      <c r="B2022" s="1" t="str">
        <f>"一种磁钢打胶状态测试仪"</f>
        <v>一种磁钢打胶状态测试仪</v>
      </c>
      <c r="C2022" s="1" t="str">
        <f t="shared" si="984"/>
        <v>实用新型</v>
      </c>
      <c r="D2022" s="1" t="str">
        <f t="shared" si="971"/>
        <v>授权</v>
      </c>
      <c r="E2022" s="1" t="str">
        <f>"CN201822094845.8"</f>
        <v>CN201822094845.8</v>
      </c>
      <c r="F2022" s="1" t="str">
        <f>"2018-12-13"</f>
        <v>2018-12-13</v>
      </c>
      <c r="G2022" s="1" t="str">
        <f>"CN209432418U"</f>
        <v>CN209432418U</v>
      </c>
      <c r="H2022" s="1" t="str">
        <f t="shared" si="987"/>
        <v>2019-09-24</v>
      </c>
      <c r="I2022" s="1" t="str">
        <f t="shared" si="985"/>
        <v>朱志华</v>
      </c>
      <c r="J2022" s="1" t="str">
        <f t="shared" si="968"/>
        <v>天津市拓达车辆配件有限公司</v>
      </c>
    </row>
    <row r="2023" spans="1:10">
      <c r="A2023" s="1" t="str">
        <f t="shared" si="965"/>
        <v>天津市拓达车辆配件有限公司</v>
      </c>
      <c r="B2023" s="1" t="str">
        <f>"一种端盖冲击试验机"</f>
        <v>一种端盖冲击试验机</v>
      </c>
      <c r="C2023" s="1" t="str">
        <f t="shared" si="984"/>
        <v>实用新型</v>
      </c>
      <c r="D2023" s="1" t="str">
        <f t="shared" si="971"/>
        <v>授权</v>
      </c>
      <c r="E2023" s="1" t="str">
        <f>"CN201822100534.8"</f>
        <v>CN201822100534.8</v>
      </c>
      <c r="F2023" s="1" t="str">
        <f>"2018-12-14"</f>
        <v>2018-12-14</v>
      </c>
      <c r="G2023" s="1" t="str">
        <f>"CN209432630U"</f>
        <v>CN209432630U</v>
      </c>
      <c r="H2023" s="1" t="str">
        <f t="shared" si="987"/>
        <v>2019-09-24</v>
      </c>
      <c r="I2023" s="1" t="str">
        <f t="shared" si="985"/>
        <v>朱志华</v>
      </c>
      <c r="J2023" s="1" t="str">
        <f t="shared" si="968"/>
        <v>天津市拓达车辆配件有限公司</v>
      </c>
    </row>
    <row r="2024" spans="1:10">
      <c r="A2024" s="1" t="str">
        <f t="shared" si="965"/>
        <v>天津市拓达车辆配件有限公司</v>
      </c>
      <c r="B2024" s="1" t="str">
        <f>"一种直流无刷轮毂电机"</f>
        <v>一种直流无刷轮毂电机</v>
      </c>
      <c r="C2024" s="1" t="str">
        <f t="shared" si="984"/>
        <v>实用新型</v>
      </c>
      <c r="D2024" s="1" t="str">
        <f t="shared" si="971"/>
        <v>授权</v>
      </c>
      <c r="E2024" s="1" t="str">
        <f>"CN201821664547.1"</f>
        <v>CN201821664547.1</v>
      </c>
      <c r="F2024" s="1" t="str">
        <f>"2018-10-15"</f>
        <v>2018-10-15</v>
      </c>
      <c r="G2024" s="1" t="str">
        <f>"CN208849644U"</f>
        <v>CN208849644U</v>
      </c>
      <c r="H2024" s="1" t="str">
        <f>"2019-05-10"</f>
        <v>2019-05-10</v>
      </c>
      <c r="I2024" s="1" t="s">
        <v>5068</v>
      </c>
      <c r="J2024" s="1" t="str">
        <f t="shared" si="968"/>
        <v>天津市拓达车辆配件有限公司</v>
      </c>
    </row>
    <row r="2025" spans="1:10">
      <c r="A2025" s="1" t="str">
        <f t="shared" si="965"/>
        <v>天津市拓达车辆配件有限公司</v>
      </c>
      <c r="B2025" s="1" t="str">
        <f>"一种直流无刷轮毂电机"</f>
        <v>一种直流无刷轮毂电机</v>
      </c>
      <c r="C2025" s="1" t="str">
        <f t="shared" si="984"/>
        <v>实用新型</v>
      </c>
      <c r="D2025" s="1" t="str">
        <f t="shared" si="971"/>
        <v>授权</v>
      </c>
      <c r="E2025" s="1" t="str">
        <f>"CN201821189354.5"</f>
        <v>CN201821189354.5</v>
      </c>
      <c r="F2025" s="1" t="str">
        <f>"2018-07-25"</f>
        <v>2018-07-25</v>
      </c>
      <c r="G2025" s="1" t="str">
        <f>"CN208433823U"</f>
        <v>CN208433823U</v>
      </c>
      <c r="H2025" s="1" t="str">
        <f>"2019-01-25"</f>
        <v>2019-01-25</v>
      </c>
      <c r="I2025" s="1" t="s">
        <v>5069</v>
      </c>
      <c r="J2025" s="1" t="str">
        <f t="shared" si="968"/>
        <v>天津市拓达车辆配件有限公司</v>
      </c>
    </row>
    <row r="2026" spans="1:10">
      <c r="A2026" s="1" t="str">
        <f t="shared" si="965"/>
        <v>天津市拓达车辆配件有限公司</v>
      </c>
      <c r="B2026" s="1" t="str">
        <f>"前照灯（X6）"</f>
        <v>前照灯（X6）</v>
      </c>
      <c r="C2026" s="1" t="str">
        <f>"外观设计"</f>
        <v>外观设计</v>
      </c>
      <c r="D2026" s="1" t="str">
        <f t="shared" si="971"/>
        <v>授权</v>
      </c>
      <c r="E2026" s="1" t="str">
        <f>"CN201830403761.0"</f>
        <v>CN201830403761.0</v>
      </c>
      <c r="F2026" s="1" t="str">
        <f>"2018-07-25"</f>
        <v>2018-07-25</v>
      </c>
      <c r="G2026" s="1" t="str">
        <f>"CN305005313S"</f>
        <v>CN305005313S</v>
      </c>
      <c r="H2026" s="1" t="str">
        <f>"2019-01-18"</f>
        <v>2019-01-18</v>
      </c>
      <c r="I2026" s="1" t="s">
        <v>5070</v>
      </c>
      <c r="J2026" s="1" t="str">
        <f t="shared" si="968"/>
        <v>天津市拓达车辆配件有限公司</v>
      </c>
    </row>
    <row r="2027" spans="1:10">
      <c r="A2027" s="1" t="str">
        <f t="shared" si="965"/>
        <v>天津市拓达车辆配件有限公司</v>
      </c>
      <c r="B2027" s="1" t="str">
        <f>"电动车前照灯"</f>
        <v>电动车前照灯</v>
      </c>
      <c r="C2027" s="1" t="str">
        <f>"外观设计"</f>
        <v>外观设计</v>
      </c>
      <c r="D2027" s="1" t="str">
        <f t="shared" si="971"/>
        <v>授权</v>
      </c>
      <c r="E2027" s="1" t="str">
        <f>"CN201830165903.4"</f>
        <v>CN201830165903.4</v>
      </c>
      <c r="F2027" s="1" t="str">
        <f>"2018-04-20"</f>
        <v>2018-04-20</v>
      </c>
      <c r="G2027" s="1" t="str">
        <f>"CN304823004S"</f>
        <v>CN304823004S</v>
      </c>
      <c r="H2027" s="1" t="str">
        <f>"2018-09-18"</f>
        <v>2018-09-18</v>
      </c>
      <c r="I2027" s="1" t="str">
        <f>"朱志华"</f>
        <v>朱志华</v>
      </c>
      <c r="J2027" s="1" t="str">
        <f t="shared" si="968"/>
        <v>天津市拓达车辆配件有限公司</v>
      </c>
    </row>
    <row r="2028" spans="1:10">
      <c r="A2028" s="1" t="str">
        <f t="shared" si="965"/>
        <v>天津市拓达车辆配件有限公司</v>
      </c>
      <c r="B2028" s="1" t="str">
        <f>"直流无刷永磁电动车轮毂电机"</f>
        <v>直流无刷永磁电动车轮毂电机</v>
      </c>
      <c r="C2028" s="1" t="str">
        <f t="shared" ref="C2028:C2056" si="988">"实用新型"</f>
        <v>实用新型</v>
      </c>
      <c r="D2028" s="1" t="str">
        <f t="shared" si="971"/>
        <v>授权</v>
      </c>
      <c r="E2028" s="1" t="str">
        <f>"CN201721239195.0"</f>
        <v>CN201721239195.0</v>
      </c>
      <c r="F2028" s="1" t="str">
        <f>"2017-09-26"</f>
        <v>2017-09-26</v>
      </c>
      <c r="G2028" s="1" t="str">
        <f>"CN207265761U"</f>
        <v>CN207265761U</v>
      </c>
      <c r="H2028" s="1" t="str">
        <f>"2018-04-20"</f>
        <v>2018-04-20</v>
      </c>
      <c r="I2028" s="1" t="s">
        <v>5071</v>
      </c>
      <c r="J2028" s="1" t="str">
        <f t="shared" si="968"/>
        <v>天津市拓达车辆配件有限公司</v>
      </c>
    </row>
    <row r="2029" spans="1:10">
      <c r="A2029" s="1" t="str">
        <f t="shared" si="965"/>
        <v>天津市拓达车辆配件有限公司</v>
      </c>
      <c r="B2029" s="1" t="str">
        <f>"电动助力车电机端盖与电机轴之间的密封装置"</f>
        <v>电动助力车电机端盖与电机轴之间的密封装置</v>
      </c>
      <c r="C2029" s="1" t="str">
        <f t="shared" si="988"/>
        <v>实用新型</v>
      </c>
      <c r="D2029" s="1" t="str">
        <f t="shared" si="971"/>
        <v>授权</v>
      </c>
      <c r="E2029" s="1" t="str">
        <f>"CN201620185180.X"</f>
        <v>CN201620185180.X</v>
      </c>
      <c r="F2029" s="1" t="str">
        <f>"2016-03-10"</f>
        <v>2016-03-10</v>
      </c>
      <c r="G2029" s="1" t="str">
        <f>"CN205725260U"</f>
        <v>CN205725260U</v>
      </c>
      <c r="H2029" s="1" t="str">
        <f>"2016-11-23"</f>
        <v>2016-11-23</v>
      </c>
      <c r="I2029" s="1" t="s">
        <v>5072</v>
      </c>
      <c r="J2029" s="1" t="str">
        <f t="shared" si="968"/>
        <v>天津市拓达车辆配件有限公司</v>
      </c>
    </row>
    <row r="2030" spans="1:10">
      <c r="A2030" s="1" t="str">
        <f t="shared" ref="A2030:A2056" si="989">"天津小出钢管有限公司"</f>
        <v>天津小出钢管有限公司</v>
      </c>
      <c r="B2030" s="1" t="str">
        <f>"一种钢管加工用检查机翻转机构"</f>
        <v>一种钢管加工用检查机翻转机构</v>
      </c>
      <c r="C2030" s="1" t="str">
        <f t="shared" si="988"/>
        <v>实用新型</v>
      </c>
      <c r="D2030" s="1" t="str">
        <f t="shared" ref="D2030:D2056" si="990">"未缴年费专利权终止"</f>
        <v>未缴年费专利权终止</v>
      </c>
      <c r="E2030" s="1" t="str">
        <f>"CN202021411794.8"</f>
        <v>CN202021411794.8</v>
      </c>
      <c r="F2030" s="1" t="str">
        <f t="shared" ref="F2030:F2035" si="991">"2020-07-17"</f>
        <v>2020-07-17</v>
      </c>
      <c r="G2030" s="1" t="str">
        <f>"CN212892507U"</f>
        <v>CN212892507U</v>
      </c>
      <c r="H2030" s="1" t="str">
        <f t="shared" ref="H2030:H2033" si="992">"2021-04-06"</f>
        <v>2021-04-06</v>
      </c>
      <c r="I2030" s="1" t="str">
        <f>"耿庆坤"</f>
        <v>耿庆坤</v>
      </c>
      <c r="J2030" s="1" t="str">
        <f t="shared" ref="J2030:J2056" si="993">"天津小出钢管有限公司"</f>
        <v>天津小出钢管有限公司</v>
      </c>
    </row>
    <row r="2031" spans="1:10">
      <c r="A2031" s="1" t="str">
        <f t="shared" si="989"/>
        <v>天津小出钢管有限公司</v>
      </c>
      <c r="B2031" s="1" t="str">
        <f>"一种钢管加工用内撑夹具"</f>
        <v>一种钢管加工用内撑夹具</v>
      </c>
      <c r="C2031" s="1" t="str">
        <f t="shared" si="988"/>
        <v>实用新型</v>
      </c>
      <c r="D2031" s="1" t="str">
        <f t="shared" si="990"/>
        <v>未缴年费专利权终止</v>
      </c>
      <c r="E2031" s="1" t="str">
        <f>"CN202021411892.1"</f>
        <v>CN202021411892.1</v>
      </c>
      <c r="F2031" s="1" t="str">
        <f t="shared" si="991"/>
        <v>2020-07-17</v>
      </c>
      <c r="G2031" s="1" t="str">
        <f>"CN212885117U"</f>
        <v>CN212885117U</v>
      </c>
      <c r="H2031" s="1" t="str">
        <f t="shared" si="992"/>
        <v>2021-04-06</v>
      </c>
      <c r="I2031" s="1" t="str">
        <f t="shared" ref="I2031:I2036" si="994">"王帅中"</f>
        <v>王帅中</v>
      </c>
      <c r="J2031" s="1" t="str">
        <f t="shared" si="993"/>
        <v>天津小出钢管有限公司</v>
      </c>
    </row>
    <row r="2032" spans="1:10">
      <c r="A2032" s="1" t="str">
        <f t="shared" si="989"/>
        <v>天津小出钢管有限公司</v>
      </c>
      <c r="B2032" s="1" t="str">
        <f>"一种钢管加工用切割机械"</f>
        <v>一种钢管加工用切割机械</v>
      </c>
      <c r="C2032" s="1" t="str">
        <f t="shared" si="988"/>
        <v>实用新型</v>
      </c>
      <c r="D2032" s="1" t="str">
        <f t="shared" si="990"/>
        <v>未缴年费专利权终止</v>
      </c>
      <c r="E2032" s="1" t="str">
        <f>"CN202021411881.3"</f>
        <v>CN202021411881.3</v>
      </c>
      <c r="F2032" s="1" t="str">
        <f t="shared" si="991"/>
        <v>2020-07-17</v>
      </c>
      <c r="G2032" s="1" t="str">
        <f>"CN212885353U"</f>
        <v>CN212885353U</v>
      </c>
      <c r="H2032" s="1" t="str">
        <f t="shared" si="992"/>
        <v>2021-04-06</v>
      </c>
      <c r="I2032" s="1" t="str">
        <f t="shared" si="994"/>
        <v>王帅中</v>
      </c>
      <c r="J2032" s="1" t="str">
        <f t="shared" si="993"/>
        <v>天津小出钢管有限公司</v>
      </c>
    </row>
    <row r="2033" spans="1:10">
      <c r="A2033" s="1" t="str">
        <f t="shared" si="989"/>
        <v>天津小出钢管有限公司</v>
      </c>
      <c r="B2033" s="1" t="str">
        <f>"一种机械设备用滚花钢管"</f>
        <v>一种机械设备用滚花钢管</v>
      </c>
      <c r="C2033" s="1" t="str">
        <f t="shared" si="988"/>
        <v>实用新型</v>
      </c>
      <c r="D2033" s="1" t="str">
        <f t="shared" si="990"/>
        <v>未缴年费专利权终止</v>
      </c>
      <c r="E2033" s="1" t="str">
        <f>"CN202021411882.8"</f>
        <v>CN202021411882.8</v>
      </c>
      <c r="F2033" s="1" t="str">
        <f t="shared" si="991"/>
        <v>2020-07-17</v>
      </c>
      <c r="G2033" s="1" t="str">
        <f>"CN212899269U"</f>
        <v>CN212899269U</v>
      </c>
      <c r="H2033" s="1" t="str">
        <f t="shared" si="992"/>
        <v>2021-04-06</v>
      </c>
      <c r="I2033" s="1" t="str">
        <f t="shared" ref="I2033:I2040" si="995">"何胜峰"</f>
        <v>何胜峰</v>
      </c>
      <c r="J2033" s="1" t="str">
        <f t="shared" si="993"/>
        <v>天津小出钢管有限公司</v>
      </c>
    </row>
    <row r="2034" spans="1:10">
      <c r="A2034" s="1" t="str">
        <f t="shared" si="989"/>
        <v>天津小出钢管有限公司</v>
      </c>
      <c r="B2034" s="1" t="str">
        <f>"一种钢管加工用定位传输装置"</f>
        <v>一种钢管加工用定位传输装置</v>
      </c>
      <c r="C2034" s="1" t="str">
        <f t="shared" si="988"/>
        <v>实用新型</v>
      </c>
      <c r="D2034" s="1" t="str">
        <f t="shared" si="990"/>
        <v>未缴年费专利权终止</v>
      </c>
      <c r="E2034" s="1" t="str">
        <f>"CN202021411743.5"</f>
        <v>CN202021411743.5</v>
      </c>
      <c r="F2034" s="1" t="str">
        <f t="shared" si="991"/>
        <v>2020-07-17</v>
      </c>
      <c r="G2034" s="1" t="str">
        <f>"CN212863077U"</f>
        <v>CN212863077U</v>
      </c>
      <c r="H2034" s="1" t="str">
        <f>"2021-04-02"</f>
        <v>2021-04-02</v>
      </c>
      <c r="I2034" s="1" t="str">
        <f t="shared" si="995"/>
        <v>何胜峰</v>
      </c>
      <c r="J2034" s="1" t="str">
        <f t="shared" si="993"/>
        <v>天津小出钢管有限公司</v>
      </c>
    </row>
    <row r="2035" spans="1:10">
      <c r="A2035" s="1" t="str">
        <f t="shared" si="989"/>
        <v>天津小出钢管有限公司</v>
      </c>
      <c r="B2035" s="1" t="str">
        <f>"一种钢管加工用检查机"</f>
        <v>一种钢管加工用检查机</v>
      </c>
      <c r="C2035" s="1" t="str">
        <f t="shared" si="988"/>
        <v>实用新型</v>
      </c>
      <c r="D2035" s="1" t="str">
        <f t="shared" si="990"/>
        <v>未缴年费专利权终止</v>
      </c>
      <c r="E2035" s="1" t="str">
        <f>"CN202021411759.6"</f>
        <v>CN202021411759.6</v>
      </c>
      <c r="F2035" s="1" t="str">
        <f t="shared" si="991"/>
        <v>2020-07-17</v>
      </c>
      <c r="G2035" s="1" t="str">
        <f>"CN212862818U"</f>
        <v>CN212862818U</v>
      </c>
      <c r="H2035" s="1" t="str">
        <f>"2021-04-02"</f>
        <v>2021-04-02</v>
      </c>
      <c r="I2035" s="1" t="str">
        <f>"耿庆坤"</f>
        <v>耿庆坤</v>
      </c>
      <c r="J2035" s="1" t="str">
        <f t="shared" si="993"/>
        <v>天津小出钢管有限公司</v>
      </c>
    </row>
    <row r="2036" spans="1:10">
      <c r="A2036" s="1" t="str">
        <f t="shared" si="989"/>
        <v>天津小出钢管有限公司</v>
      </c>
      <c r="B2036" s="1" t="str">
        <f>"一种钢管可自动上下料设备"</f>
        <v>一种钢管可自动上下料设备</v>
      </c>
      <c r="C2036" s="1" t="str">
        <f t="shared" si="988"/>
        <v>实用新型</v>
      </c>
      <c r="D2036" s="1" t="str">
        <f t="shared" si="990"/>
        <v>未缴年费专利权终止</v>
      </c>
      <c r="E2036" s="1" t="str">
        <f>"CN201922298039.7"</f>
        <v>CN201922298039.7</v>
      </c>
      <c r="F2036" s="1" t="str">
        <f t="shared" ref="F2036:F2045" si="996">"2019-12-19"</f>
        <v>2019-12-19</v>
      </c>
      <c r="G2036" s="1" t="str">
        <f>"CN211811959U"</f>
        <v>CN211811959U</v>
      </c>
      <c r="H2036" s="1" t="str">
        <f t="shared" ref="H2036:H2038" si="997">"2020-10-30"</f>
        <v>2020-10-30</v>
      </c>
      <c r="I2036" s="1" t="str">
        <f t="shared" si="994"/>
        <v>王帅中</v>
      </c>
      <c r="J2036" s="1" t="str">
        <f t="shared" si="993"/>
        <v>天津小出钢管有限公司</v>
      </c>
    </row>
    <row r="2037" spans="1:10">
      <c r="A2037" s="1" t="str">
        <f t="shared" si="989"/>
        <v>天津小出钢管有限公司</v>
      </c>
      <c r="B2037" s="1" t="str">
        <f>"一种钢管机床环保油雾清洁器"</f>
        <v>一种钢管机床环保油雾清洁器</v>
      </c>
      <c r="C2037" s="1" t="str">
        <f t="shared" si="988"/>
        <v>实用新型</v>
      </c>
      <c r="D2037" s="1" t="str">
        <f t="shared" si="990"/>
        <v>未缴年费专利权终止</v>
      </c>
      <c r="E2037" s="1" t="str">
        <f>"CN201922296435.6"</f>
        <v>CN201922296435.6</v>
      </c>
      <c r="F2037" s="1" t="str">
        <f t="shared" si="996"/>
        <v>2019-12-19</v>
      </c>
      <c r="G2037" s="1" t="str">
        <f>"CN211799671U"</f>
        <v>CN211799671U</v>
      </c>
      <c r="H2037" s="1" t="str">
        <f t="shared" si="997"/>
        <v>2020-10-30</v>
      </c>
      <c r="I2037" s="1" t="str">
        <f>"王传志"</f>
        <v>王传志</v>
      </c>
      <c r="J2037" s="1" t="str">
        <f t="shared" si="993"/>
        <v>天津小出钢管有限公司</v>
      </c>
    </row>
    <row r="2038" spans="1:10">
      <c r="A2038" s="1" t="str">
        <f t="shared" si="989"/>
        <v>天津小出钢管有限公司</v>
      </c>
      <c r="B2038" s="1" t="str">
        <f>"一种汽车减震钢管抛光装置"</f>
        <v>一种汽车减震钢管抛光装置</v>
      </c>
      <c r="C2038" s="1" t="str">
        <f t="shared" si="988"/>
        <v>实用新型</v>
      </c>
      <c r="D2038" s="1" t="str">
        <f t="shared" si="990"/>
        <v>未缴年费专利权终止</v>
      </c>
      <c r="E2038" s="1" t="str">
        <f>"CN201922298053.7"</f>
        <v>CN201922298053.7</v>
      </c>
      <c r="F2038" s="1" t="str">
        <f t="shared" si="996"/>
        <v>2019-12-19</v>
      </c>
      <c r="G2038" s="1" t="str">
        <f>"CN211805492U"</f>
        <v>CN211805492U</v>
      </c>
      <c r="H2038" s="1" t="str">
        <f t="shared" si="997"/>
        <v>2020-10-30</v>
      </c>
      <c r="I2038" s="1" t="str">
        <f t="shared" si="995"/>
        <v>何胜峰</v>
      </c>
      <c r="J2038" s="1" t="str">
        <f t="shared" si="993"/>
        <v>天津小出钢管有限公司</v>
      </c>
    </row>
    <row r="2039" spans="1:10">
      <c r="A2039" s="1" t="str">
        <f t="shared" si="989"/>
        <v>天津小出钢管有限公司</v>
      </c>
      <c r="B2039" s="1" t="str">
        <f>"一种新型自动钻床机"</f>
        <v>一种新型自动钻床机</v>
      </c>
      <c r="C2039" s="1" t="str">
        <f t="shared" si="988"/>
        <v>实用新型</v>
      </c>
      <c r="D2039" s="1" t="str">
        <f t="shared" si="990"/>
        <v>未缴年费专利权终止</v>
      </c>
      <c r="E2039" s="1" t="str">
        <f>"CN201922296407.4"</f>
        <v>CN201922296407.4</v>
      </c>
      <c r="F2039" s="1" t="str">
        <f t="shared" si="996"/>
        <v>2019-12-19</v>
      </c>
      <c r="G2039" s="1" t="str">
        <f>"CN211680093U"</f>
        <v>CN211680093U</v>
      </c>
      <c r="H2039" s="1" t="str">
        <f>"2020-10-16"</f>
        <v>2020-10-16</v>
      </c>
      <c r="I2039" s="1" t="str">
        <f t="shared" si="995"/>
        <v>何胜峰</v>
      </c>
      <c r="J2039" s="1" t="str">
        <f t="shared" si="993"/>
        <v>天津小出钢管有限公司</v>
      </c>
    </row>
    <row r="2040" spans="1:10">
      <c r="A2040" s="1" t="str">
        <f t="shared" si="989"/>
        <v>天津小出钢管有限公司</v>
      </c>
      <c r="B2040" s="1" t="str">
        <f>"一种钢管自动滚花装置"</f>
        <v>一种钢管自动滚花装置</v>
      </c>
      <c r="C2040" s="1" t="str">
        <f t="shared" si="988"/>
        <v>实用新型</v>
      </c>
      <c r="D2040" s="1" t="str">
        <f t="shared" si="990"/>
        <v>未缴年费专利权终止</v>
      </c>
      <c r="E2040" s="1" t="str">
        <f>"CN201922296462.3"</f>
        <v>CN201922296462.3</v>
      </c>
      <c r="F2040" s="1" t="str">
        <f t="shared" si="996"/>
        <v>2019-12-19</v>
      </c>
      <c r="G2040" s="1" t="str">
        <f>"CN211684427U"</f>
        <v>CN211684427U</v>
      </c>
      <c r="H2040" s="1" t="str">
        <f>"2020-10-16"</f>
        <v>2020-10-16</v>
      </c>
      <c r="I2040" s="1" t="str">
        <f t="shared" si="995"/>
        <v>何胜峰</v>
      </c>
      <c r="J2040" s="1" t="str">
        <f t="shared" si="993"/>
        <v>天津小出钢管有限公司</v>
      </c>
    </row>
    <row r="2041" spans="1:10">
      <c r="A2041" s="1" t="str">
        <f t="shared" si="989"/>
        <v>天津小出钢管有限公司</v>
      </c>
      <c r="B2041" s="1" t="str">
        <f>"一种检测钢管长度内径分拣装置"</f>
        <v>一种检测钢管长度内径分拣装置</v>
      </c>
      <c r="C2041" s="1" t="str">
        <f t="shared" si="988"/>
        <v>实用新型</v>
      </c>
      <c r="D2041" s="1" t="str">
        <f t="shared" si="990"/>
        <v>未缴年费专利权终止</v>
      </c>
      <c r="E2041" s="1" t="str">
        <f>"CN201922296425.2"</f>
        <v>CN201922296425.2</v>
      </c>
      <c r="F2041" s="1" t="str">
        <f t="shared" si="996"/>
        <v>2019-12-19</v>
      </c>
      <c r="G2041" s="1" t="str">
        <f>"CN211538615U"</f>
        <v>CN211538615U</v>
      </c>
      <c r="H2041" s="1" t="str">
        <f t="shared" ref="H2041:H2044" si="998">"2020-09-22"</f>
        <v>2020-09-22</v>
      </c>
      <c r="I2041" s="1" t="str">
        <f>"耿庆坤"</f>
        <v>耿庆坤</v>
      </c>
      <c r="J2041" s="1" t="str">
        <f t="shared" si="993"/>
        <v>天津小出钢管有限公司</v>
      </c>
    </row>
    <row r="2042" spans="1:10">
      <c r="A2042" s="1" t="str">
        <f t="shared" si="989"/>
        <v>天津小出钢管有限公司</v>
      </c>
      <c r="B2042" s="1" t="str">
        <f>"一种钢管加工用齿刀"</f>
        <v>一种钢管加工用齿刀</v>
      </c>
      <c r="C2042" s="1" t="str">
        <f t="shared" si="988"/>
        <v>实用新型</v>
      </c>
      <c r="D2042" s="1" t="str">
        <f t="shared" si="990"/>
        <v>未缴年费专利权终止</v>
      </c>
      <c r="E2042" s="1" t="str">
        <f>"CN201922298027.4"</f>
        <v>CN201922298027.4</v>
      </c>
      <c r="F2042" s="1" t="str">
        <f t="shared" si="996"/>
        <v>2019-12-19</v>
      </c>
      <c r="G2042" s="1" t="str">
        <f>"CN211539757U"</f>
        <v>CN211539757U</v>
      </c>
      <c r="H2042" s="1" t="str">
        <f t="shared" si="998"/>
        <v>2020-09-22</v>
      </c>
      <c r="I2042" s="1" t="str">
        <f>"王帅中"</f>
        <v>王帅中</v>
      </c>
      <c r="J2042" s="1" t="str">
        <f t="shared" si="993"/>
        <v>天津小出钢管有限公司</v>
      </c>
    </row>
    <row r="2043" spans="1:10">
      <c r="A2043" s="1" t="str">
        <f t="shared" si="989"/>
        <v>天津小出钢管有限公司</v>
      </c>
      <c r="B2043" s="1" t="str">
        <f>"一种抗弯汽车减震钢管"</f>
        <v>一种抗弯汽车减震钢管</v>
      </c>
      <c r="C2043" s="1" t="str">
        <f t="shared" si="988"/>
        <v>实用新型</v>
      </c>
      <c r="D2043" s="1" t="str">
        <f t="shared" si="990"/>
        <v>未缴年费专利权终止</v>
      </c>
      <c r="E2043" s="1" t="str">
        <f>"CN201922298018.5"</f>
        <v>CN201922298018.5</v>
      </c>
      <c r="F2043" s="1" t="str">
        <f t="shared" si="996"/>
        <v>2019-12-19</v>
      </c>
      <c r="G2043" s="1" t="str">
        <f>"CN211550361U"</f>
        <v>CN211550361U</v>
      </c>
      <c r="H2043" s="1" t="str">
        <f t="shared" si="998"/>
        <v>2020-09-22</v>
      </c>
      <c r="I2043" s="1" t="str">
        <f>"安广清"</f>
        <v>安广清</v>
      </c>
      <c r="J2043" s="1" t="str">
        <f t="shared" si="993"/>
        <v>天津小出钢管有限公司</v>
      </c>
    </row>
    <row r="2044" spans="1:10">
      <c r="A2044" s="1" t="str">
        <f t="shared" si="989"/>
        <v>天津小出钢管有限公司</v>
      </c>
      <c r="B2044" s="1" t="str">
        <f>"一种钢管精切调节工装"</f>
        <v>一种钢管精切调节工装</v>
      </c>
      <c r="C2044" s="1" t="str">
        <f t="shared" si="988"/>
        <v>实用新型</v>
      </c>
      <c r="D2044" s="1" t="str">
        <f t="shared" si="990"/>
        <v>未缴年费专利权终止</v>
      </c>
      <c r="E2044" s="1" t="str">
        <f>"CN201922298036.3"</f>
        <v>CN201922298036.3</v>
      </c>
      <c r="F2044" s="1" t="str">
        <f t="shared" si="996"/>
        <v>2019-12-19</v>
      </c>
      <c r="G2044" s="1" t="str">
        <f>"CN211539689U"</f>
        <v>CN211539689U</v>
      </c>
      <c r="H2044" s="1" t="str">
        <f t="shared" si="998"/>
        <v>2020-09-22</v>
      </c>
      <c r="I2044" s="1" t="str">
        <f>"王传志"</f>
        <v>王传志</v>
      </c>
      <c r="J2044" s="1" t="str">
        <f t="shared" si="993"/>
        <v>天津小出钢管有限公司</v>
      </c>
    </row>
    <row r="2045" spans="1:10">
      <c r="A2045" s="1" t="str">
        <f t="shared" si="989"/>
        <v>天津小出钢管有限公司</v>
      </c>
      <c r="B2045" s="1" t="str">
        <f>"一种可裁切出长、短加工件的切断机"</f>
        <v>一种可裁切出长、短加工件的切断机</v>
      </c>
      <c r="C2045" s="1" t="str">
        <f t="shared" si="988"/>
        <v>实用新型</v>
      </c>
      <c r="D2045" s="1" t="str">
        <f t="shared" si="990"/>
        <v>未缴年费专利权终止</v>
      </c>
      <c r="E2045" s="1" t="str">
        <f>"CN201922296433.7"</f>
        <v>CN201922296433.7</v>
      </c>
      <c r="F2045" s="1" t="str">
        <f t="shared" si="996"/>
        <v>2019-12-19</v>
      </c>
      <c r="G2045" s="1" t="str">
        <f>"CN211516227U"</f>
        <v>CN211516227U</v>
      </c>
      <c r="H2045" s="1" t="str">
        <f>"2020-09-18"</f>
        <v>2020-09-18</v>
      </c>
      <c r="I2045" s="1" t="str">
        <f>"安广清"</f>
        <v>安广清</v>
      </c>
      <c r="J2045" s="1" t="str">
        <f t="shared" si="993"/>
        <v>天津小出钢管有限公司</v>
      </c>
    </row>
    <row r="2046" spans="1:10">
      <c r="A2046" s="1" t="str">
        <f t="shared" si="989"/>
        <v>天津小出钢管有限公司</v>
      </c>
      <c r="B2046" s="1" t="str">
        <f>"一种用于对钢管加工的刀头"</f>
        <v>一种用于对钢管加工的刀头</v>
      </c>
      <c r="C2046" s="1" t="str">
        <f t="shared" si="988"/>
        <v>实用新型</v>
      </c>
      <c r="D2046" s="1" t="str">
        <f t="shared" si="990"/>
        <v>未缴年费专利权终止</v>
      </c>
      <c r="E2046" s="1" t="str">
        <f>"CN201921399453.0"</f>
        <v>CN201921399453.0</v>
      </c>
      <c r="F2046" s="1" t="str">
        <f t="shared" ref="F2046:F2052" si="999">"2019-08-27"</f>
        <v>2019-08-27</v>
      </c>
      <c r="G2046" s="1" t="str">
        <f>"CN210731234U"</f>
        <v>CN210731234U</v>
      </c>
      <c r="H2046" s="1" t="str">
        <f>"2020-06-12"</f>
        <v>2020-06-12</v>
      </c>
      <c r="I2046" s="1" t="str">
        <f t="shared" ref="I2046:I2050" si="1000">"何胜峰"</f>
        <v>何胜峰</v>
      </c>
      <c r="J2046" s="1" t="str">
        <f t="shared" si="993"/>
        <v>天津小出钢管有限公司</v>
      </c>
    </row>
    <row r="2047" spans="1:10">
      <c r="A2047" s="1" t="str">
        <f t="shared" si="989"/>
        <v>天津小出钢管有限公司</v>
      </c>
      <c r="B2047" s="1" t="str">
        <f>"一种钢管加工用机械手臂"</f>
        <v>一种钢管加工用机械手臂</v>
      </c>
      <c r="C2047" s="1" t="str">
        <f t="shared" si="988"/>
        <v>实用新型</v>
      </c>
      <c r="D2047" s="1" t="str">
        <f t="shared" si="990"/>
        <v>未缴年费专利权终止</v>
      </c>
      <c r="E2047" s="1" t="str">
        <f>"CN201921371556.6"</f>
        <v>CN201921371556.6</v>
      </c>
      <c r="F2047" s="1" t="str">
        <f t="shared" ref="F2047:F2049" si="1001">"2019-08-22"</f>
        <v>2019-08-22</v>
      </c>
      <c r="G2047" s="1" t="str">
        <f>"CN210732468U"</f>
        <v>CN210732468U</v>
      </c>
      <c r="H2047" s="1" t="str">
        <f>"2020-06-12"</f>
        <v>2020-06-12</v>
      </c>
      <c r="I2047" s="1" t="str">
        <f t="shared" si="1000"/>
        <v>何胜峰</v>
      </c>
      <c r="J2047" s="1" t="str">
        <f t="shared" si="993"/>
        <v>天津小出钢管有限公司</v>
      </c>
    </row>
    <row r="2048" spans="1:10">
      <c r="A2048" s="1" t="str">
        <f t="shared" si="989"/>
        <v>天津小出钢管有限公司</v>
      </c>
      <c r="B2048" s="1" t="str">
        <f>"一种钢管过油装置"</f>
        <v>一种钢管过油装置</v>
      </c>
      <c r="C2048" s="1" t="str">
        <f t="shared" si="988"/>
        <v>实用新型</v>
      </c>
      <c r="D2048" s="1" t="str">
        <f t="shared" si="990"/>
        <v>未缴年费专利权终止</v>
      </c>
      <c r="E2048" s="1" t="str">
        <f>"CN201921371562.1"</f>
        <v>CN201921371562.1</v>
      </c>
      <c r="F2048" s="1" t="str">
        <f t="shared" si="1001"/>
        <v>2019-08-22</v>
      </c>
      <c r="G2048" s="1" t="str">
        <f>"CN210619528U"</f>
        <v>CN210619528U</v>
      </c>
      <c r="H2048" s="1" t="str">
        <f>"2020-05-26"</f>
        <v>2020-05-26</v>
      </c>
      <c r="I2048" s="1" t="str">
        <f t="shared" si="1000"/>
        <v>何胜峰</v>
      </c>
      <c r="J2048" s="1" t="str">
        <f t="shared" si="993"/>
        <v>天津小出钢管有限公司</v>
      </c>
    </row>
    <row r="2049" spans="1:10">
      <c r="A2049" s="1" t="str">
        <f t="shared" si="989"/>
        <v>天津小出钢管有限公司</v>
      </c>
      <c r="B2049" s="1" t="str">
        <f>"一种钢管用传送装置"</f>
        <v>一种钢管用传送装置</v>
      </c>
      <c r="C2049" s="1" t="str">
        <f t="shared" si="988"/>
        <v>实用新型</v>
      </c>
      <c r="D2049" s="1" t="str">
        <f t="shared" si="990"/>
        <v>未缴年费专利权终止</v>
      </c>
      <c r="E2049" s="1" t="str">
        <f>"CN201921371543.9"</f>
        <v>CN201921371543.9</v>
      </c>
      <c r="F2049" s="1" t="str">
        <f t="shared" si="1001"/>
        <v>2019-08-22</v>
      </c>
      <c r="G2049" s="1" t="str">
        <f>"CN210619249U"</f>
        <v>CN210619249U</v>
      </c>
      <c r="H2049" s="1" t="str">
        <f>"2020-05-26"</f>
        <v>2020-05-26</v>
      </c>
      <c r="I2049" s="1" t="str">
        <f t="shared" si="1000"/>
        <v>何胜峰</v>
      </c>
      <c r="J2049" s="1" t="str">
        <f t="shared" si="993"/>
        <v>天津小出钢管有限公司</v>
      </c>
    </row>
    <row r="2050" spans="1:10">
      <c r="A2050" s="1" t="str">
        <f t="shared" si="989"/>
        <v>天津小出钢管有限公司</v>
      </c>
      <c r="B2050" s="1" t="str">
        <f>"一种钢管周转装置"</f>
        <v>一种钢管周转装置</v>
      </c>
      <c r="C2050" s="1" t="str">
        <f t="shared" si="988"/>
        <v>实用新型</v>
      </c>
      <c r="D2050" s="1" t="str">
        <f t="shared" si="990"/>
        <v>未缴年费专利权终止</v>
      </c>
      <c r="E2050" s="1" t="str">
        <f>"CN201921399455.X"</f>
        <v>CN201921399455.X</v>
      </c>
      <c r="F2050" s="1" t="str">
        <f t="shared" si="999"/>
        <v>2019-08-27</v>
      </c>
      <c r="G2050" s="1" t="str">
        <f>"CN210360851U"</f>
        <v>CN210360851U</v>
      </c>
      <c r="H2050" s="1" t="str">
        <f>"2020-04-21"</f>
        <v>2020-04-21</v>
      </c>
      <c r="I2050" s="1" t="str">
        <f t="shared" si="1000"/>
        <v>何胜峰</v>
      </c>
      <c r="J2050" s="1" t="str">
        <f t="shared" si="993"/>
        <v>天津小出钢管有限公司</v>
      </c>
    </row>
    <row r="2051" spans="1:10">
      <c r="A2051" s="1" t="str">
        <f t="shared" si="989"/>
        <v>天津小出钢管有限公司</v>
      </c>
      <c r="B2051" s="1" t="str">
        <f>"一种钢管提升机"</f>
        <v>一种钢管提升机</v>
      </c>
      <c r="C2051" s="1" t="str">
        <f t="shared" si="988"/>
        <v>实用新型</v>
      </c>
      <c r="D2051" s="1" t="str">
        <f t="shared" si="990"/>
        <v>未缴年费专利权终止</v>
      </c>
      <c r="E2051" s="1" t="str">
        <f>"CN201921399136.9"</f>
        <v>CN201921399136.9</v>
      </c>
      <c r="F2051" s="1" t="str">
        <f t="shared" si="999"/>
        <v>2019-08-27</v>
      </c>
      <c r="G2051" s="1" t="str">
        <f>"CN210364557U"</f>
        <v>CN210364557U</v>
      </c>
      <c r="H2051" s="1" t="str">
        <f>"2020-04-21"</f>
        <v>2020-04-21</v>
      </c>
      <c r="I2051" s="1" t="str">
        <f>"王传志"</f>
        <v>王传志</v>
      </c>
      <c r="J2051" s="1" t="str">
        <f t="shared" si="993"/>
        <v>天津小出钢管有限公司</v>
      </c>
    </row>
    <row r="2052" spans="1:10">
      <c r="A2052" s="1" t="str">
        <f t="shared" si="989"/>
        <v>天津小出钢管有限公司</v>
      </c>
      <c r="B2052" s="1" t="str">
        <f>"一种用于检测钢管质量的机械装置"</f>
        <v>一种用于检测钢管质量的机械装置</v>
      </c>
      <c r="C2052" s="1" t="str">
        <f t="shared" si="988"/>
        <v>实用新型</v>
      </c>
      <c r="D2052" s="1" t="str">
        <f t="shared" si="990"/>
        <v>未缴年费专利权终止</v>
      </c>
      <c r="E2052" s="1" t="str">
        <f>"CN201921399131.6"</f>
        <v>CN201921399131.6</v>
      </c>
      <c r="F2052" s="1" t="str">
        <f t="shared" si="999"/>
        <v>2019-08-27</v>
      </c>
      <c r="G2052" s="1" t="str">
        <f>"CN210293133U"</f>
        <v>CN210293133U</v>
      </c>
      <c r="H2052" s="1" t="str">
        <f>"2020-04-10"</f>
        <v>2020-04-10</v>
      </c>
      <c r="I2052" s="1" t="str">
        <f>"王帅中"</f>
        <v>王帅中</v>
      </c>
      <c r="J2052" s="1" t="str">
        <f t="shared" si="993"/>
        <v>天津小出钢管有限公司</v>
      </c>
    </row>
    <row r="2053" spans="1:10">
      <c r="A2053" s="1" t="str">
        <f t="shared" si="989"/>
        <v>天津小出钢管有限公司</v>
      </c>
      <c r="B2053" s="1" t="str">
        <f>"一种行程与力度可调的钢管加工设备"</f>
        <v>一种行程与力度可调的钢管加工设备</v>
      </c>
      <c r="C2053" s="1" t="str">
        <f t="shared" si="988"/>
        <v>实用新型</v>
      </c>
      <c r="D2053" s="1" t="str">
        <f t="shared" si="990"/>
        <v>未缴年费专利权终止</v>
      </c>
      <c r="E2053" s="1" t="str">
        <f>"CN201921371529.9"</f>
        <v>CN201921371529.9</v>
      </c>
      <c r="F2053" s="1" t="str">
        <f>"2019-08-22"</f>
        <v>2019-08-22</v>
      </c>
      <c r="G2053" s="1" t="str">
        <f>"CN210280925U"</f>
        <v>CN210280925U</v>
      </c>
      <c r="H2053" s="1" t="str">
        <f>"2020-04-10"</f>
        <v>2020-04-10</v>
      </c>
      <c r="I2053" s="1" t="str">
        <f>"何胜峰"</f>
        <v>何胜峰</v>
      </c>
      <c r="J2053" s="1" t="str">
        <f t="shared" si="993"/>
        <v>天津小出钢管有限公司</v>
      </c>
    </row>
    <row r="2054" spans="1:10">
      <c r="A2054" s="1" t="str">
        <f t="shared" si="989"/>
        <v>天津小出钢管有限公司</v>
      </c>
      <c r="B2054" s="1" t="str">
        <f>"一种钢材加工设备中的上料装置"</f>
        <v>一种钢材加工设备中的上料装置</v>
      </c>
      <c r="C2054" s="1" t="str">
        <f t="shared" si="988"/>
        <v>实用新型</v>
      </c>
      <c r="D2054" s="1" t="str">
        <f t="shared" si="990"/>
        <v>未缴年费专利权终止</v>
      </c>
      <c r="E2054" s="1" t="str">
        <f>"CN201720891922.5"</f>
        <v>CN201720891922.5</v>
      </c>
      <c r="F2054" s="1" t="str">
        <f>"2017-07-21"</f>
        <v>2017-07-21</v>
      </c>
      <c r="G2054" s="1" t="str">
        <f>"CN207192300U"</f>
        <v>CN207192300U</v>
      </c>
      <c r="H2054" s="1" t="str">
        <f>"2018-04-06"</f>
        <v>2018-04-06</v>
      </c>
      <c r="I2054" s="1" t="str">
        <f>"曾迪"</f>
        <v>曾迪</v>
      </c>
      <c r="J2054" s="1" t="str">
        <f t="shared" si="993"/>
        <v>天津小出钢管有限公司</v>
      </c>
    </row>
    <row r="2055" spans="1:10">
      <c r="A2055" s="1" t="str">
        <f t="shared" si="989"/>
        <v>天津小出钢管有限公司</v>
      </c>
      <c r="B2055" s="1" t="str">
        <f>"一种用于钢管定量切割并传送设备"</f>
        <v>一种用于钢管定量切割并传送设备</v>
      </c>
      <c r="C2055" s="1" t="str">
        <f t="shared" si="988"/>
        <v>实用新型</v>
      </c>
      <c r="D2055" s="1" t="str">
        <f t="shared" si="990"/>
        <v>未缴年费专利权终止</v>
      </c>
      <c r="E2055" s="1" t="str">
        <f>"CN201720631011.9"</f>
        <v>CN201720631011.9</v>
      </c>
      <c r="F2055" s="1" t="str">
        <f>"2017-06-01"</f>
        <v>2017-06-01</v>
      </c>
      <c r="G2055" s="1" t="str">
        <f>"CN207026588U"</f>
        <v>CN207026588U</v>
      </c>
      <c r="H2055" s="1" t="str">
        <f>"2018-02-23"</f>
        <v>2018-02-23</v>
      </c>
      <c r="I2055" s="1" t="str">
        <f>"韩祥"</f>
        <v>韩祥</v>
      </c>
      <c r="J2055" s="1" t="str">
        <f t="shared" si="993"/>
        <v>天津小出钢管有限公司</v>
      </c>
    </row>
    <row r="2056" spans="1:10">
      <c r="A2056" s="1" t="str">
        <f t="shared" si="989"/>
        <v>天津小出钢管有限公司</v>
      </c>
      <c r="B2056" s="1" t="str">
        <f>"管件清洗机"</f>
        <v>管件清洗机</v>
      </c>
      <c r="C2056" s="1" t="str">
        <f t="shared" si="988"/>
        <v>实用新型</v>
      </c>
      <c r="D2056" s="1" t="str">
        <f t="shared" si="990"/>
        <v>未缴年费专利权终止</v>
      </c>
      <c r="E2056" s="1" t="str">
        <f>"CN201720368147.5"</f>
        <v>CN201720368147.5</v>
      </c>
      <c r="F2056" s="1" t="str">
        <f>"2017-04-10"</f>
        <v>2017-04-10</v>
      </c>
      <c r="G2056" s="1" t="str">
        <f>"CN207013396U"</f>
        <v>CN207013396U</v>
      </c>
      <c r="H2056" s="1" t="str">
        <f>"2018-02-16"</f>
        <v>2018-02-16</v>
      </c>
      <c r="I2056" s="1" t="str">
        <f>"杨仲辉"</f>
        <v>杨仲辉</v>
      </c>
      <c r="J2056" s="1" t="str">
        <f t="shared" si="993"/>
        <v>天津小出钢管有限公司</v>
      </c>
    </row>
    <row r="2057" spans="1:10">
      <c r="A2057" s="1" t="str">
        <f t="shared" ref="A2057:A2085" si="1002">"天津众恒汽车减震器有限公司"</f>
        <v>天津众恒汽车减震器有限公司</v>
      </c>
      <c r="B2057" s="1" t="str">
        <f>"一种减震器衬套"</f>
        <v>一种减震器衬套</v>
      </c>
      <c r="C2057" s="1" t="str">
        <f>"发明授权"</f>
        <v>发明授权</v>
      </c>
      <c r="D2057" s="1" t="str">
        <f t="shared" ref="D2057:D2064" si="1003">"授权"</f>
        <v>授权</v>
      </c>
      <c r="E2057" s="1" t="str">
        <f>"CN201910257343.9"</f>
        <v>CN201910257343.9</v>
      </c>
      <c r="F2057" s="1" t="str">
        <f>"2019-04-01"</f>
        <v>2019-04-01</v>
      </c>
      <c r="G2057" s="1" t="str">
        <f>"CN109968934B"</f>
        <v>CN109968934B</v>
      </c>
      <c r="H2057" s="1" t="str">
        <f>"2024-06-04"</f>
        <v>2024-06-04</v>
      </c>
      <c r="I2057" s="1" t="s">
        <v>5073</v>
      </c>
      <c r="J2057" s="1" t="str">
        <f t="shared" ref="J2057:J2085" si="1004">"天津众恒汽车减震器有限公司"</f>
        <v>天津众恒汽车减震器有限公司</v>
      </c>
    </row>
    <row r="2058" spans="1:10">
      <c r="A2058" s="1" t="str">
        <f t="shared" si="1002"/>
        <v>天津众恒汽车减震器有限公司</v>
      </c>
      <c r="B2058" s="1" t="str">
        <f>"一种具有保护套的空气弹簧"</f>
        <v>一种具有保护套的空气弹簧</v>
      </c>
      <c r="C2058" s="1" t="str">
        <f t="shared" ref="C2058:C2064" si="1005">"实用新型"</f>
        <v>实用新型</v>
      </c>
      <c r="D2058" s="1" t="str">
        <f t="shared" si="1003"/>
        <v>授权</v>
      </c>
      <c r="E2058" s="1" t="str">
        <f>"CN202320432833.X"</f>
        <v>CN202320432833.X</v>
      </c>
      <c r="F2058" s="1" t="str">
        <f t="shared" ref="F2058:F2060" si="1006">"2023-03-09"</f>
        <v>2023-03-09</v>
      </c>
      <c r="G2058" s="1" t="str">
        <f>"CN220302606U"</f>
        <v>CN220302606U</v>
      </c>
      <c r="H2058" s="1" t="str">
        <f>"2024-01-05"</f>
        <v>2024-01-05</v>
      </c>
      <c r="I2058" s="1" t="str">
        <f t="shared" ref="I2058:I2062" si="1007">"刘勇"</f>
        <v>刘勇</v>
      </c>
      <c r="J2058" s="1" t="str">
        <f t="shared" si="1004"/>
        <v>天津众恒汽车减震器有限公司</v>
      </c>
    </row>
    <row r="2059" spans="1:10">
      <c r="A2059" s="1" t="str">
        <f t="shared" si="1002"/>
        <v>天津众恒汽车减震器有限公司</v>
      </c>
      <c r="B2059" s="1" t="str">
        <f>"一种汽车用衬套"</f>
        <v>一种汽车用衬套</v>
      </c>
      <c r="C2059" s="1" t="str">
        <f t="shared" si="1005"/>
        <v>实用新型</v>
      </c>
      <c r="D2059" s="1" t="str">
        <f t="shared" si="1003"/>
        <v>授权</v>
      </c>
      <c r="E2059" s="1" t="str">
        <f>"CN202320432829.3"</f>
        <v>CN202320432829.3</v>
      </c>
      <c r="F2059" s="1" t="str">
        <f t="shared" si="1006"/>
        <v>2023-03-09</v>
      </c>
      <c r="G2059" s="1" t="str">
        <f>"CN219827556U"</f>
        <v>CN219827556U</v>
      </c>
      <c r="H2059" s="1" t="str">
        <f>"2023-10-13"</f>
        <v>2023-10-13</v>
      </c>
      <c r="I2059" s="1" t="str">
        <f t="shared" si="1007"/>
        <v>刘勇</v>
      </c>
      <c r="J2059" s="1" t="str">
        <f t="shared" si="1004"/>
        <v>天津众恒汽车减震器有限公司</v>
      </c>
    </row>
    <row r="2060" spans="1:10">
      <c r="A2060" s="1" t="str">
        <f t="shared" si="1002"/>
        <v>天津众恒汽车减震器有限公司</v>
      </c>
      <c r="B2060" s="1" t="str">
        <f>"一种可调节气囊减震装置"</f>
        <v>一种可调节气囊减震装置</v>
      </c>
      <c r="C2060" s="1" t="str">
        <f t="shared" si="1005"/>
        <v>实用新型</v>
      </c>
      <c r="D2060" s="1" t="str">
        <f t="shared" si="1003"/>
        <v>授权</v>
      </c>
      <c r="E2060" s="1" t="str">
        <f>"CN202320432827.4"</f>
        <v>CN202320432827.4</v>
      </c>
      <c r="F2060" s="1" t="str">
        <f t="shared" si="1006"/>
        <v>2023-03-09</v>
      </c>
      <c r="G2060" s="1" t="str">
        <f>"CN219827585U"</f>
        <v>CN219827585U</v>
      </c>
      <c r="H2060" s="1" t="str">
        <f>"2023-10-13"</f>
        <v>2023-10-13</v>
      </c>
      <c r="I2060" s="1" t="str">
        <f t="shared" si="1007"/>
        <v>刘勇</v>
      </c>
      <c r="J2060" s="1" t="str">
        <f t="shared" si="1004"/>
        <v>天津众恒汽车减震器有限公司</v>
      </c>
    </row>
    <row r="2061" spans="1:10">
      <c r="A2061" s="1" t="str">
        <f t="shared" si="1002"/>
        <v>天津众恒汽车减震器有限公司</v>
      </c>
      <c r="B2061" s="1" t="str">
        <f>"一种二轮或三轮车用缓冲气囊结构"</f>
        <v>一种二轮或三轮车用缓冲气囊结构</v>
      </c>
      <c r="C2061" s="1" t="str">
        <f t="shared" si="1005"/>
        <v>实用新型</v>
      </c>
      <c r="D2061" s="1" t="str">
        <f t="shared" si="1003"/>
        <v>授权</v>
      </c>
      <c r="E2061" s="1" t="str">
        <f>"CN202120440438.7"</f>
        <v>CN202120440438.7</v>
      </c>
      <c r="F2061" s="1" t="str">
        <f t="shared" ref="F2061:F2066" si="1008">"2021-03-01"</f>
        <v>2021-03-01</v>
      </c>
      <c r="G2061" s="1" t="str">
        <f>"CN216519355U"</f>
        <v>CN216519355U</v>
      </c>
      <c r="H2061" s="1" t="str">
        <f>"2022-05-13"</f>
        <v>2022-05-13</v>
      </c>
      <c r="I2061" s="1" t="str">
        <f t="shared" si="1007"/>
        <v>刘勇</v>
      </c>
      <c r="J2061" s="1" t="str">
        <f t="shared" si="1004"/>
        <v>天津众恒汽车减震器有限公司</v>
      </c>
    </row>
    <row r="2062" spans="1:10">
      <c r="A2062" s="1" t="str">
        <f t="shared" si="1002"/>
        <v>天津众恒汽车减震器有限公司</v>
      </c>
      <c r="B2062" s="1" t="str">
        <f>"一种二轮或三轮车用气囊式减震器"</f>
        <v>一种二轮或三轮车用气囊式减震器</v>
      </c>
      <c r="C2062" s="1" t="str">
        <f t="shared" si="1005"/>
        <v>实用新型</v>
      </c>
      <c r="D2062" s="1" t="str">
        <f t="shared" si="1003"/>
        <v>授权</v>
      </c>
      <c r="E2062" s="1" t="str">
        <f>"CN202120440430.0"</f>
        <v>CN202120440430.0</v>
      </c>
      <c r="F2062" s="1" t="str">
        <f t="shared" si="1008"/>
        <v>2021-03-01</v>
      </c>
      <c r="G2062" s="1" t="str">
        <f>"CN216478635U"</f>
        <v>CN216478635U</v>
      </c>
      <c r="H2062" s="1" t="str">
        <f>"2022-05-10"</f>
        <v>2022-05-10</v>
      </c>
      <c r="I2062" s="1" t="str">
        <f t="shared" si="1007"/>
        <v>刘勇</v>
      </c>
      <c r="J2062" s="1" t="str">
        <f t="shared" si="1004"/>
        <v>天津众恒汽车减震器有限公司</v>
      </c>
    </row>
    <row r="2063" spans="1:10">
      <c r="A2063" s="1" t="str">
        <f t="shared" si="1002"/>
        <v>天津众恒汽车减震器有限公司</v>
      </c>
      <c r="B2063" s="1" t="str">
        <f>"一种改进型汽车减震器"</f>
        <v>一种改进型汽车减震器</v>
      </c>
      <c r="C2063" s="1" t="str">
        <f t="shared" si="1005"/>
        <v>实用新型</v>
      </c>
      <c r="D2063" s="1" t="str">
        <f t="shared" si="1003"/>
        <v>授权</v>
      </c>
      <c r="E2063" s="1" t="str">
        <f>"CN202022057011.7"</f>
        <v>CN202022057011.7</v>
      </c>
      <c r="F2063" s="1" t="str">
        <f t="shared" ref="F2063:F2069" si="1009">"2020-09-18"</f>
        <v>2020-09-18</v>
      </c>
      <c r="G2063" s="1" t="str">
        <f>"CN213954241U"</f>
        <v>CN213954241U</v>
      </c>
      <c r="H2063" s="1" t="str">
        <f>"2021-08-13"</f>
        <v>2021-08-13</v>
      </c>
      <c r="I2063" s="1" t="str">
        <f t="shared" ref="I2063:I2069" si="1010">"刘占福"</f>
        <v>刘占福</v>
      </c>
      <c r="J2063" s="1" t="str">
        <f t="shared" si="1004"/>
        <v>天津众恒汽车减震器有限公司</v>
      </c>
    </row>
    <row r="2064" spans="1:10">
      <c r="A2064" s="1" t="str">
        <f t="shared" si="1002"/>
        <v>天津众恒汽车减震器有限公司</v>
      </c>
      <c r="B2064" s="1" t="str">
        <f>"一种减震器防护套"</f>
        <v>一种减震器防护套</v>
      </c>
      <c r="C2064" s="1" t="str">
        <f t="shared" si="1005"/>
        <v>实用新型</v>
      </c>
      <c r="D2064" s="1" t="str">
        <f t="shared" si="1003"/>
        <v>授权</v>
      </c>
      <c r="E2064" s="1" t="str">
        <f>"CN202022664449.1"</f>
        <v>CN202022664449.1</v>
      </c>
      <c r="F2064" s="1" t="str">
        <f>"2020-11-17"</f>
        <v>2020-11-17</v>
      </c>
      <c r="G2064" s="1" t="str">
        <f>"CN213954225U"</f>
        <v>CN213954225U</v>
      </c>
      <c r="H2064" s="1" t="str">
        <f>"2021-08-13"</f>
        <v>2021-08-13</v>
      </c>
      <c r="I2064" s="1" t="str">
        <f t="shared" ref="I2064:I2066" si="1011">"刘勇"</f>
        <v>刘勇</v>
      </c>
      <c r="J2064" s="1" t="str">
        <f t="shared" si="1004"/>
        <v>天津众恒汽车减震器有限公司</v>
      </c>
    </row>
    <row r="2065" spans="1:10">
      <c r="A2065" s="1" t="str">
        <f t="shared" si="1002"/>
        <v>天津众恒汽车减震器有限公司</v>
      </c>
      <c r="B2065" s="1" t="str">
        <f>"一种二轮或三轮车用缓冲气囊结构"</f>
        <v>一种二轮或三轮车用缓冲气囊结构</v>
      </c>
      <c r="C2065" s="1" t="str">
        <f>"发明公布"</f>
        <v>发明公布</v>
      </c>
      <c r="D2065" s="1" t="str">
        <f>"公布驳回"</f>
        <v>公布驳回</v>
      </c>
      <c r="E2065" s="1" t="str">
        <f>"CN202110225752.8"</f>
        <v>CN202110225752.8</v>
      </c>
      <c r="F2065" s="1" t="str">
        <f t="shared" si="1008"/>
        <v>2021-03-01</v>
      </c>
      <c r="G2065" s="1" t="str">
        <f>"CN112855827A"</f>
        <v>CN112855827A</v>
      </c>
      <c r="H2065" s="1" t="str">
        <f>"2021-05-28"</f>
        <v>2021-05-28</v>
      </c>
      <c r="I2065" s="1" t="str">
        <f t="shared" si="1011"/>
        <v>刘勇</v>
      </c>
      <c r="J2065" s="1" t="str">
        <f t="shared" si="1004"/>
        <v>天津众恒汽车减震器有限公司</v>
      </c>
    </row>
    <row r="2066" spans="1:10">
      <c r="A2066" s="1" t="str">
        <f t="shared" si="1002"/>
        <v>天津众恒汽车减震器有限公司</v>
      </c>
      <c r="B2066" s="1" t="str">
        <f>"一种二轮或三轮车用气囊式减震器"</f>
        <v>一种二轮或三轮车用气囊式减震器</v>
      </c>
      <c r="C2066" s="1" t="str">
        <f>"发明公布"</f>
        <v>发明公布</v>
      </c>
      <c r="D2066" s="1" t="str">
        <f>"实质审查"</f>
        <v>实质审查</v>
      </c>
      <c r="E2066" s="1" t="str">
        <f>"CN202110225793.7"</f>
        <v>CN202110225793.7</v>
      </c>
      <c r="F2066" s="1" t="str">
        <f t="shared" si="1008"/>
        <v>2021-03-01</v>
      </c>
      <c r="G2066" s="1" t="str">
        <f>"CN112833125A"</f>
        <v>CN112833125A</v>
      </c>
      <c r="H2066" s="1" t="str">
        <f>"2021-05-25"</f>
        <v>2021-05-25</v>
      </c>
      <c r="I2066" s="1" t="str">
        <f t="shared" si="1011"/>
        <v>刘勇</v>
      </c>
      <c r="J2066" s="1" t="str">
        <f t="shared" si="1004"/>
        <v>天津众恒汽车减震器有限公司</v>
      </c>
    </row>
    <row r="2067" spans="1:10">
      <c r="A2067" s="1" t="str">
        <f t="shared" si="1002"/>
        <v>天津众恒汽车减震器有限公司</v>
      </c>
      <c r="B2067" s="1" t="str">
        <f>"一种减震器缓冲装置"</f>
        <v>一种减震器缓冲装置</v>
      </c>
      <c r="C2067" s="1" t="str">
        <f t="shared" ref="C2067:C2090" si="1012">"实用新型"</f>
        <v>实用新型</v>
      </c>
      <c r="D2067" s="1" t="str">
        <f t="shared" ref="D2067:D2078" si="1013">"授权"</f>
        <v>授权</v>
      </c>
      <c r="E2067" s="1" t="str">
        <f>"CN202022053847.X"</f>
        <v>CN202022053847.X</v>
      </c>
      <c r="F2067" s="1" t="str">
        <f t="shared" si="1009"/>
        <v>2020-09-18</v>
      </c>
      <c r="G2067" s="1" t="str">
        <f>"CN213117246U"</f>
        <v>CN213117246U</v>
      </c>
      <c r="H2067" s="1" t="str">
        <f t="shared" ref="H2067:H2069" si="1014">"2021-05-04"</f>
        <v>2021-05-04</v>
      </c>
      <c r="I2067" s="1" t="str">
        <f t="shared" si="1010"/>
        <v>刘占福</v>
      </c>
      <c r="J2067" s="1" t="str">
        <f t="shared" si="1004"/>
        <v>天津众恒汽车减震器有限公司</v>
      </c>
    </row>
    <row r="2068" spans="1:10">
      <c r="A2068" s="1" t="str">
        <f t="shared" si="1002"/>
        <v>天津众恒汽车减震器有限公司</v>
      </c>
      <c r="B2068" s="1" t="str">
        <f>"一种封闭防尘汽车减震器"</f>
        <v>一种封闭防尘汽车减震器</v>
      </c>
      <c r="C2068" s="1" t="str">
        <f t="shared" si="1012"/>
        <v>实用新型</v>
      </c>
      <c r="D2068" s="1" t="str">
        <f t="shared" si="1013"/>
        <v>授权</v>
      </c>
      <c r="E2068" s="1" t="str">
        <f>"CN202022053826.8"</f>
        <v>CN202022053826.8</v>
      </c>
      <c r="F2068" s="1" t="str">
        <f t="shared" si="1009"/>
        <v>2020-09-18</v>
      </c>
      <c r="G2068" s="1" t="str">
        <f>"CN213117242U"</f>
        <v>CN213117242U</v>
      </c>
      <c r="H2068" s="1" t="str">
        <f t="shared" si="1014"/>
        <v>2021-05-04</v>
      </c>
      <c r="I2068" s="1" t="str">
        <f t="shared" si="1010"/>
        <v>刘占福</v>
      </c>
      <c r="J2068" s="1" t="str">
        <f t="shared" si="1004"/>
        <v>天津众恒汽车减震器有限公司</v>
      </c>
    </row>
    <row r="2069" spans="1:10">
      <c r="A2069" s="1" t="str">
        <f t="shared" si="1002"/>
        <v>天津众恒汽车减震器有限公司</v>
      </c>
      <c r="B2069" s="1" t="str">
        <f>"一种导向密封装置"</f>
        <v>一种导向密封装置</v>
      </c>
      <c r="C2069" s="1" t="str">
        <f t="shared" si="1012"/>
        <v>实用新型</v>
      </c>
      <c r="D2069" s="1" t="str">
        <f t="shared" si="1013"/>
        <v>授权</v>
      </c>
      <c r="E2069" s="1" t="str">
        <f>"CN202022053866.2"</f>
        <v>CN202022053866.2</v>
      </c>
      <c r="F2069" s="1" t="str">
        <f t="shared" si="1009"/>
        <v>2020-09-18</v>
      </c>
      <c r="G2069" s="1" t="str">
        <f>"CN213117250U"</f>
        <v>CN213117250U</v>
      </c>
      <c r="H2069" s="1" t="str">
        <f t="shared" si="1014"/>
        <v>2021-05-04</v>
      </c>
      <c r="I2069" s="1" t="str">
        <f t="shared" si="1010"/>
        <v>刘占福</v>
      </c>
      <c r="J2069" s="1" t="str">
        <f t="shared" si="1004"/>
        <v>天津众恒汽车减震器有限公司</v>
      </c>
    </row>
    <row r="2070" spans="1:10">
      <c r="A2070" s="1" t="str">
        <f t="shared" si="1002"/>
        <v>天津众恒汽车减震器有限公司</v>
      </c>
      <c r="B2070" s="1" t="str">
        <f>"一种减震器"</f>
        <v>一种减震器</v>
      </c>
      <c r="C2070" s="1" t="str">
        <f t="shared" si="1012"/>
        <v>实用新型</v>
      </c>
      <c r="D2070" s="1" t="str">
        <f t="shared" si="1013"/>
        <v>授权</v>
      </c>
      <c r="E2070" s="1" t="str">
        <f>"CN202020205102.8"</f>
        <v>CN202020205102.8</v>
      </c>
      <c r="F2070" s="1" t="str">
        <f>"2020-02-25"</f>
        <v>2020-02-25</v>
      </c>
      <c r="G2070" s="1" t="str">
        <f>"CN211778710U"</f>
        <v>CN211778710U</v>
      </c>
      <c r="H2070" s="1" t="str">
        <f>"2020-10-27"</f>
        <v>2020-10-27</v>
      </c>
      <c r="I2070" s="1" t="str">
        <f t="shared" ref="I2070:I2074" si="1015">"刘勇"</f>
        <v>刘勇</v>
      </c>
      <c r="J2070" s="1" t="str">
        <f t="shared" si="1004"/>
        <v>天津众恒汽车减震器有限公司</v>
      </c>
    </row>
    <row r="2071" spans="1:10">
      <c r="A2071" s="1" t="str">
        <f t="shared" si="1002"/>
        <v>天津众恒汽车减震器有限公司</v>
      </c>
      <c r="B2071" s="1" t="str">
        <f>"一种可控减震器"</f>
        <v>一种可控减震器</v>
      </c>
      <c r="C2071" s="1" t="str">
        <f t="shared" si="1012"/>
        <v>实用新型</v>
      </c>
      <c r="D2071" s="1" t="str">
        <f t="shared" si="1013"/>
        <v>授权</v>
      </c>
      <c r="E2071" s="1" t="str">
        <f>"CN202020205103.2"</f>
        <v>CN202020205103.2</v>
      </c>
      <c r="F2071" s="1" t="str">
        <f>"2020-02-25"</f>
        <v>2020-02-25</v>
      </c>
      <c r="G2071" s="1" t="str">
        <f>"CN211778711U"</f>
        <v>CN211778711U</v>
      </c>
      <c r="H2071" s="1" t="str">
        <f>"2020-10-27"</f>
        <v>2020-10-27</v>
      </c>
      <c r="I2071" s="1" t="str">
        <f t="shared" si="1015"/>
        <v>刘勇</v>
      </c>
      <c r="J2071" s="1" t="str">
        <f t="shared" si="1004"/>
        <v>天津众恒汽车减震器有限公司</v>
      </c>
    </row>
    <row r="2072" spans="1:10">
      <c r="A2072" s="1" t="str">
        <f t="shared" si="1002"/>
        <v>天津众恒汽车减震器有限公司</v>
      </c>
      <c r="B2072" s="1" t="str">
        <f>"一种缓冲块和减震器"</f>
        <v>一种缓冲块和减震器</v>
      </c>
      <c r="C2072" s="1" t="str">
        <f t="shared" si="1012"/>
        <v>实用新型</v>
      </c>
      <c r="D2072" s="1" t="str">
        <f t="shared" si="1013"/>
        <v>授权</v>
      </c>
      <c r="E2072" s="1" t="str">
        <f>"CN201921999702.X"</f>
        <v>CN201921999702.X</v>
      </c>
      <c r="F2072" s="1" t="str">
        <f>"2019-11-19"</f>
        <v>2019-11-19</v>
      </c>
      <c r="G2072" s="1" t="str">
        <f>"CN210949662U"</f>
        <v>CN210949662U</v>
      </c>
      <c r="H2072" s="1" t="str">
        <f>"2020-07-07"</f>
        <v>2020-07-07</v>
      </c>
      <c r="I2072" s="1" t="str">
        <f t="shared" ref="I2072:I2077" si="1016">"刘占福"</f>
        <v>刘占福</v>
      </c>
      <c r="J2072" s="1" t="str">
        <f t="shared" si="1004"/>
        <v>天津众恒汽车减震器有限公司</v>
      </c>
    </row>
    <row r="2073" spans="1:10">
      <c r="A2073" s="1" t="str">
        <f t="shared" si="1002"/>
        <v>天津众恒汽车减震器有限公司</v>
      </c>
      <c r="B2073" s="1" t="str">
        <f>"一种缸筒端盖和减震器"</f>
        <v>一种缸筒端盖和减震器</v>
      </c>
      <c r="C2073" s="1" t="str">
        <f t="shared" si="1012"/>
        <v>实用新型</v>
      </c>
      <c r="D2073" s="1" t="str">
        <f t="shared" si="1013"/>
        <v>授权</v>
      </c>
      <c r="E2073" s="1" t="str">
        <f>"CN201921999674.1"</f>
        <v>CN201921999674.1</v>
      </c>
      <c r="F2073" s="1" t="str">
        <f>"2019-11-19"</f>
        <v>2019-11-19</v>
      </c>
      <c r="G2073" s="1" t="str">
        <f>"CN210949648U"</f>
        <v>CN210949648U</v>
      </c>
      <c r="H2073" s="1" t="str">
        <f>"2020-07-07"</f>
        <v>2020-07-07</v>
      </c>
      <c r="I2073" s="1" t="str">
        <f t="shared" si="1016"/>
        <v>刘占福</v>
      </c>
      <c r="J2073" s="1" t="str">
        <f t="shared" si="1004"/>
        <v>天津众恒汽车减震器有限公司</v>
      </c>
    </row>
    <row r="2074" spans="1:10">
      <c r="A2074" s="1" t="str">
        <f t="shared" si="1002"/>
        <v>天津众恒汽车减震器有限公司</v>
      </c>
      <c r="B2074" s="1" t="str">
        <f>"一种新型微型车支柱总成"</f>
        <v>一种新型微型车支柱总成</v>
      </c>
      <c r="C2074" s="1" t="str">
        <f t="shared" si="1012"/>
        <v>实用新型</v>
      </c>
      <c r="D2074" s="1" t="str">
        <f t="shared" si="1013"/>
        <v>授权</v>
      </c>
      <c r="E2074" s="1" t="str">
        <f>"CN201921354393.0"</f>
        <v>CN201921354393.0</v>
      </c>
      <c r="F2074" s="1" t="str">
        <f>"2019-08-20"</f>
        <v>2019-08-20</v>
      </c>
      <c r="G2074" s="1" t="str">
        <f>"CN210257906U"</f>
        <v>CN210257906U</v>
      </c>
      <c r="H2074" s="1" t="str">
        <f>"2020-04-07"</f>
        <v>2020-04-07</v>
      </c>
      <c r="I2074" s="1" t="str">
        <f t="shared" si="1015"/>
        <v>刘勇</v>
      </c>
      <c r="J2074" s="1" t="str">
        <f t="shared" si="1004"/>
        <v>天津众恒汽车减震器有限公司</v>
      </c>
    </row>
    <row r="2075" spans="1:10">
      <c r="A2075" s="1" t="str">
        <f t="shared" si="1002"/>
        <v>天津众恒汽车减震器有限公司</v>
      </c>
      <c r="B2075" s="1" t="str">
        <f>"一种转向减震器"</f>
        <v>一种转向减震器</v>
      </c>
      <c r="C2075" s="1" t="str">
        <f t="shared" si="1012"/>
        <v>实用新型</v>
      </c>
      <c r="D2075" s="1" t="str">
        <f t="shared" si="1013"/>
        <v>授权</v>
      </c>
      <c r="E2075" s="1" t="str">
        <f>"CN201920513356.3"</f>
        <v>CN201920513356.3</v>
      </c>
      <c r="F2075" s="1" t="str">
        <f>"2019-04-16"</f>
        <v>2019-04-16</v>
      </c>
      <c r="G2075" s="1" t="str">
        <f>"CN209762126U"</f>
        <v>CN209762126U</v>
      </c>
      <c r="H2075" s="1" t="str">
        <f t="shared" ref="H2075:H2077" si="1017">"2019-12-10"</f>
        <v>2019-12-10</v>
      </c>
      <c r="I2075" s="1" t="str">
        <f t="shared" si="1016"/>
        <v>刘占福</v>
      </c>
      <c r="J2075" s="1" t="str">
        <f t="shared" si="1004"/>
        <v>天津众恒汽车减震器有限公司</v>
      </c>
    </row>
    <row r="2076" spans="1:10">
      <c r="A2076" s="1" t="str">
        <f t="shared" si="1002"/>
        <v>天津众恒汽车减震器有限公司</v>
      </c>
      <c r="B2076" s="1" t="str">
        <f>"一种底部手动可调阻尼减震器"</f>
        <v>一种底部手动可调阻尼减震器</v>
      </c>
      <c r="C2076" s="1" t="str">
        <f t="shared" si="1012"/>
        <v>实用新型</v>
      </c>
      <c r="D2076" s="1" t="str">
        <f t="shared" si="1013"/>
        <v>授权</v>
      </c>
      <c r="E2076" s="1" t="str">
        <f>"CN201920512847.6"</f>
        <v>CN201920512847.6</v>
      </c>
      <c r="F2076" s="1" t="str">
        <f>"2019-04-16"</f>
        <v>2019-04-16</v>
      </c>
      <c r="G2076" s="1" t="str">
        <f>"CN209762119U"</f>
        <v>CN209762119U</v>
      </c>
      <c r="H2076" s="1" t="str">
        <f t="shared" si="1017"/>
        <v>2019-12-10</v>
      </c>
      <c r="I2076" s="1" t="str">
        <f t="shared" si="1016"/>
        <v>刘占福</v>
      </c>
      <c r="J2076" s="1" t="str">
        <f t="shared" si="1004"/>
        <v>天津众恒汽车减震器有限公司</v>
      </c>
    </row>
    <row r="2077" spans="1:10">
      <c r="A2077" s="1" t="str">
        <f t="shared" si="1002"/>
        <v>天津众恒汽车减震器有限公司</v>
      </c>
      <c r="B2077" s="1" t="str">
        <f>"一种CDC减震器"</f>
        <v>一种CDC减震器</v>
      </c>
      <c r="C2077" s="1" t="str">
        <f t="shared" si="1012"/>
        <v>实用新型</v>
      </c>
      <c r="D2077" s="1" t="str">
        <f t="shared" si="1013"/>
        <v>授权</v>
      </c>
      <c r="E2077" s="1" t="str">
        <f>"CN201920489514.6"</f>
        <v>CN201920489514.6</v>
      </c>
      <c r="F2077" s="1" t="str">
        <f>"2019-04-12"</f>
        <v>2019-04-12</v>
      </c>
      <c r="G2077" s="1" t="str">
        <f>"CN209762117U"</f>
        <v>CN209762117U</v>
      </c>
      <c r="H2077" s="1" t="str">
        <f t="shared" si="1017"/>
        <v>2019-12-10</v>
      </c>
      <c r="I2077" s="1" t="str">
        <f t="shared" si="1016"/>
        <v>刘占福</v>
      </c>
      <c r="J2077" s="1" t="str">
        <f t="shared" si="1004"/>
        <v>天津众恒汽车减震器有限公司</v>
      </c>
    </row>
    <row r="2078" spans="1:10">
      <c r="A2078" s="1" t="str">
        <f t="shared" si="1002"/>
        <v>天津众恒汽车减震器有限公司</v>
      </c>
      <c r="B2078" s="1" t="str">
        <f>"一种减震器衬套"</f>
        <v>一种减震器衬套</v>
      </c>
      <c r="C2078" s="1" t="str">
        <f t="shared" si="1012"/>
        <v>实用新型</v>
      </c>
      <c r="D2078" s="1" t="str">
        <f t="shared" si="1013"/>
        <v>授权</v>
      </c>
      <c r="E2078" s="1" t="str">
        <f>"CN201920429717.6"</f>
        <v>CN201920429717.6</v>
      </c>
      <c r="F2078" s="1" t="str">
        <f>"2019-04-01"</f>
        <v>2019-04-01</v>
      </c>
      <c r="G2078" s="1" t="str">
        <f>"CN209719191U"</f>
        <v>CN209719191U</v>
      </c>
      <c r="H2078" s="1" t="str">
        <f>"2019-12-03"</f>
        <v>2019-12-03</v>
      </c>
      <c r="I2078" s="1" t="s">
        <v>5073</v>
      </c>
      <c r="J2078" s="1" t="str">
        <f t="shared" si="1004"/>
        <v>天津众恒汽车减震器有限公司</v>
      </c>
    </row>
    <row r="2079" spans="1:10">
      <c r="A2079" s="1" t="str">
        <f t="shared" si="1002"/>
        <v>天津众恒汽车减震器有限公司</v>
      </c>
      <c r="B2079" s="1" t="str">
        <f>"一种汽车减震器的活塞"</f>
        <v>一种汽车减震器的活塞</v>
      </c>
      <c r="C2079" s="1" t="str">
        <f t="shared" si="1012"/>
        <v>实用新型</v>
      </c>
      <c r="D2079" s="1" t="str">
        <f t="shared" ref="D2079:D2085" si="1018">"未缴年费专利权终止"</f>
        <v>未缴年费专利权终止</v>
      </c>
      <c r="E2079" s="1" t="str">
        <f>"CN201720590690.X"</f>
        <v>CN201720590690.X</v>
      </c>
      <c r="F2079" s="1" t="str">
        <f>"2017-05-25"</f>
        <v>2017-05-25</v>
      </c>
      <c r="G2079" s="1" t="str">
        <f>"CN206943304U"</f>
        <v>CN206943304U</v>
      </c>
      <c r="H2079" s="1" t="str">
        <f>"2018-01-30"</f>
        <v>2018-01-30</v>
      </c>
      <c r="I2079" s="1" t="str">
        <f t="shared" ref="I2079:I2085" si="1019">"刘占福"</f>
        <v>刘占福</v>
      </c>
      <c r="J2079" s="1" t="str">
        <f t="shared" si="1004"/>
        <v>天津众恒汽车减震器有限公司</v>
      </c>
    </row>
    <row r="2080" spans="1:10">
      <c r="A2080" s="1" t="str">
        <f t="shared" si="1002"/>
        <v>天津众恒汽车减震器有限公司</v>
      </c>
      <c r="B2080" s="1" t="str">
        <f>"一种汽车减震器主托架"</f>
        <v>一种汽车减震器主托架</v>
      </c>
      <c r="C2080" s="1" t="str">
        <f t="shared" si="1012"/>
        <v>实用新型</v>
      </c>
      <c r="D2080" s="1" t="str">
        <f t="shared" si="1018"/>
        <v>未缴年费专利权终止</v>
      </c>
      <c r="E2080" s="1" t="str">
        <f>"CN201720607644.6"</f>
        <v>CN201720607644.6</v>
      </c>
      <c r="F2080" s="1" t="str">
        <f>"2017-05-26"</f>
        <v>2017-05-26</v>
      </c>
      <c r="G2080" s="1" t="str">
        <f>"CN206929263U"</f>
        <v>CN206929263U</v>
      </c>
      <c r="H2080" s="1" t="str">
        <f>"2018-01-26"</f>
        <v>2018-01-26</v>
      </c>
      <c r="I2080" s="1" t="str">
        <f t="shared" si="1019"/>
        <v>刘占福</v>
      </c>
      <c r="J2080" s="1" t="str">
        <f t="shared" si="1004"/>
        <v>天津众恒汽车减震器有限公司</v>
      </c>
    </row>
    <row r="2081" spans="1:10">
      <c r="A2081" s="1" t="str">
        <f t="shared" si="1002"/>
        <v>天津众恒汽车减震器有限公司</v>
      </c>
      <c r="B2081" s="1" t="str">
        <f>"一种用于汽车的减震器结构"</f>
        <v>一种用于汽车的减震器结构</v>
      </c>
      <c r="C2081" s="1" t="str">
        <f t="shared" si="1012"/>
        <v>实用新型</v>
      </c>
      <c r="D2081" s="1" t="str">
        <f t="shared" si="1018"/>
        <v>未缴年费专利权终止</v>
      </c>
      <c r="E2081" s="1" t="str">
        <f>"CN201720607870.4"</f>
        <v>CN201720607870.4</v>
      </c>
      <c r="F2081" s="1" t="str">
        <f t="shared" ref="F2081:F2083" si="1020">"2017-05-27"</f>
        <v>2017-05-27</v>
      </c>
      <c r="G2081" s="1" t="str">
        <f>"CN206770497U"</f>
        <v>CN206770497U</v>
      </c>
      <c r="H2081" s="1" t="str">
        <f t="shared" ref="H2081:H2084" si="1021">"2017-12-19"</f>
        <v>2017-12-19</v>
      </c>
      <c r="I2081" s="1" t="str">
        <f t="shared" si="1019"/>
        <v>刘占福</v>
      </c>
      <c r="J2081" s="1" t="str">
        <f t="shared" si="1004"/>
        <v>天津众恒汽车减震器有限公司</v>
      </c>
    </row>
    <row r="2082" spans="1:10">
      <c r="A2082" s="1" t="str">
        <f t="shared" si="1002"/>
        <v>天津众恒汽车减震器有限公司</v>
      </c>
      <c r="B2082" s="1" t="str">
        <f>"一种汽车减震器弹簧下座"</f>
        <v>一种汽车减震器弹簧下座</v>
      </c>
      <c r="C2082" s="1" t="str">
        <f t="shared" si="1012"/>
        <v>实用新型</v>
      </c>
      <c r="D2082" s="1" t="str">
        <f t="shared" si="1018"/>
        <v>未缴年费专利权终止</v>
      </c>
      <c r="E2082" s="1" t="str">
        <f>"CN201720608018.9"</f>
        <v>CN201720608018.9</v>
      </c>
      <c r="F2082" s="1" t="str">
        <f t="shared" si="1020"/>
        <v>2017-05-27</v>
      </c>
      <c r="G2082" s="1" t="str">
        <f>"CN206770498U"</f>
        <v>CN206770498U</v>
      </c>
      <c r="H2082" s="1" t="str">
        <f t="shared" si="1021"/>
        <v>2017-12-19</v>
      </c>
      <c r="I2082" s="1" t="str">
        <f t="shared" si="1019"/>
        <v>刘占福</v>
      </c>
      <c r="J2082" s="1" t="str">
        <f t="shared" si="1004"/>
        <v>天津众恒汽车减震器有限公司</v>
      </c>
    </row>
    <row r="2083" spans="1:10">
      <c r="A2083" s="1" t="str">
        <f t="shared" si="1002"/>
        <v>天津众恒汽车减震器有限公司</v>
      </c>
      <c r="B2083" s="1" t="str">
        <f>"一种改进型减震器用空心活塞杆"</f>
        <v>一种改进型减震器用空心活塞杆</v>
      </c>
      <c r="C2083" s="1" t="str">
        <f t="shared" si="1012"/>
        <v>实用新型</v>
      </c>
      <c r="D2083" s="1" t="str">
        <f t="shared" si="1018"/>
        <v>未缴年费专利权终止</v>
      </c>
      <c r="E2083" s="1" t="str">
        <f>"CN201720612977.8"</f>
        <v>CN201720612977.8</v>
      </c>
      <c r="F2083" s="1" t="str">
        <f t="shared" si="1020"/>
        <v>2017-05-27</v>
      </c>
      <c r="G2083" s="1" t="str">
        <f>"CN206770484U"</f>
        <v>CN206770484U</v>
      </c>
      <c r="H2083" s="1" t="str">
        <f t="shared" si="1021"/>
        <v>2017-12-19</v>
      </c>
      <c r="I2083" s="1" t="str">
        <f t="shared" si="1019"/>
        <v>刘占福</v>
      </c>
      <c r="J2083" s="1" t="str">
        <f t="shared" si="1004"/>
        <v>天津众恒汽车减震器有限公司</v>
      </c>
    </row>
    <row r="2084" spans="1:10">
      <c r="A2084" s="1" t="str">
        <f t="shared" si="1002"/>
        <v>天津众恒汽车减震器有限公司</v>
      </c>
      <c r="B2084" s="1" t="str">
        <f>"一种加强型汽车减震器"</f>
        <v>一种加强型汽车减震器</v>
      </c>
      <c r="C2084" s="1" t="str">
        <f t="shared" si="1012"/>
        <v>实用新型</v>
      </c>
      <c r="D2084" s="1" t="str">
        <f t="shared" si="1018"/>
        <v>未缴年费专利权终止</v>
      </c>
      <c r="E2084" s="1" t="str">
        <f>"CN201720599082.5"</f>
        <v>CN201720599082.5</v>
      </c>
      <c r="F2084" s="1" t="str">
        <f>"2017-05-26"</f>
        <v>2017-05-26</v>
      </c>
      <c r="G2084" s="1" t="str">
        <f>"CN206770477U"</f>
        <v>CN206770477U</v>
      </c>
      <c r="H2084" s="1" t="str">
        <f t="shared" si="1021"/>
        <v>2017-12-19</v>
      </c>
      <c r="I2084" s="1" t="str">
        <f t="shared" si="1019"/>
        <v>刘占福</v>
      </c>
      <c r="J2084" s="1" t="str">
        <f t="shared" si="1004"/>
        <v>天津众恒汽车减震器有限公司</v>
      </c>
    </row>
    <row r="2085" spans="1:10">
      <c r="A2085" s="1" t="str">
        <f t="shared" si="1002"/>
        <v>天津众恒汽车减震器有限公司</v>
      </c>
      <c r="B2085" s="1" t="str">
        <f>"一种汽车减震器"</f>
        <v>一种汽车减震器</v>
      </c>
      <c r="C2085" s="1" t="str">
        <f t="shared" si="1012"/>
        <v>实用新型</v>
      </c>
      <c r="D2085" s="1" t="str">
        <f t="shared" si="1018"/>
        <v>未缴年费专利权终止</v>
      </c>
      <c r="E2085" s="1" t="str">
        <f>"CN201720595248.6"</f>
        <v>CN201720595248.6</v>
      </c>
      <c r="F2085" s="1" t="str">
        <f>"2017-05-25"</f>
        <v>2017-05-25</v>
      </c>
      <c r="G2085" s="1" t="str">
        <f>"CN206738483U"</f>
        <v>CN206738483U</v>
      </c>
      <c r="H2085" s="1" t="str">
        <f>"2017-12-12"</f>
        <v>2017-12-12</v>
      </c>
      <c r="I2085" s="1" t="str">
        <f t="shared" si="1019"/>
        <v>刘占福</v>
      </c>
      <c r="J2085" s="1" t="str">
        <f t="shared" si="1004"/>
        <v>天津众恒汽车减震器有限公司</v>
      </c>
    </row>
    <row r="2086" spans="1:10">
      <c r="A2086" s="1" t="str">
        <f t="shared" ref="A2086:A2127" si="1022">"天津华恒汽车部件有限公司"</f>
        <v>天津华恒汽车部件有限公司</v>
      </c>
      <c r="B2086" s="1" t="str">
        <f>"一种自锁式角连接器"</f>
        <v>一种自锁式角连接器</v>
      </c>
      <c r="C2086" s="1" t="str">
        <f t="shared" si="1012"/>
        <v>实用新型</v>
      </c>
      <c r="D2086" s="1" t="str">
        <f t="shared" ref="D2086:D2102" si="1023">"授权"</f>
        <v>授权</v>
      </c>
      <c r="E2086" s="1" t="str">
        <f>"CN202420579894.3"</f>
        <v>CN202420579894.3</v>
      </c>
      <c r="F2086" s="1" t="str">
        <f>"2024-03-25"</f>
        <v>2024-03-25</v>
      </c>
      <c r="G2086" s="1" t="str">
        <f>"CN222667117U"</f>
        <v>CN222667117U</v>
      </c>
      <c r="H2086" s="1" t="str">
        <f>"2025-03-25"</f>
        <v>2025-03-25</v>
      </c>
      <c r="I2086" s="1" t="s">
        <v>5074</v>
      </c>
      <c r="J2086" s="1" t="str">
        <f t="shared" ref="J2086:J2127" si="1024">"天津华恒汽车部件有限公司"</f>
        <v>天津华恒汽车部件有限公司</v>
      </c>
    </row>
    <row r="2087" spans="1:10">
      <c r="A2087" s="1" t="str">
        <f t="shared" si="1022"/>
        <v>天津华恒汽车部件有限公司</v>
      </c>
      <c r="B2087" s="1" t="str">
        <f>"一种防水式过线套"</f>
        <v>一种防水式过线套</v>
      </c>
      <c r="C2087" s="1" t="str">
        <f t="shared" si="1012"/>
        <v>实用新型</v>
      </c>
      <c r="D2087" s="1" t="str">
        <f t="shared" si="1023"/>
        <v>授权</v>
      </c>
      <c r="E2087" s="1" t="str">
        <f>"CN202420579890.5"</f>
        <v>CN202420579890.5</v>
      </c>
      <c r="F2087" s="1" t="str">
        <f>"2024-03-25"</f>
        <v>2024-03-25</v>
      </c>
      <c r="G2087" s="1" t="str">
        <f>"CN222654715U"</f>
        <v>CN222654715U</v>
      </c>
      <c r="H2087" s="1" t="str">
        <f>"2025-03-21"</f>
        <v>2025-03-21</v>
      </c>
      <c r="I2087" s="1" t="s">
        <v>5074</v>
      </c>
      <c r="J2087" s="1" t="str">
        <f t="shared" si="1024"/>
        <v>天津华恒汽车部件有限公司</v>
      </c>
    </row>
    <row r="2088" spans="1:10">
      <c r="A2088" s="1" t="str">
        <f t="shared" si="1022"/>
        <v>天津华恒汽车部件有限公司</v>
      </c>
      <c r="B2088" s="1" t="str">
        <f>"一种汽车暖风管盖"</f>
        <v>一种汽车暖风管盖</v>
      </c>
      <c r="C2088" s="1" t="str">
        <f t="shared" si="1012"/>
        <v>实用新型</v>
      </c>
      <c r="D2088" s="1" t="str">
        <f t="shared" si="1023"/>
        <v>授权</v>
      </c>
      <c r="E2088" s="1" t="str">
        <f>"CN202420352752.3"</f>
        <v>CN202420352752.3</v>
      </c>
      <c r="F2088" s="1" t="str">
        <f t="shared" ref="F2088:F2090" si="1025">"2024-02-26"</f>
        <v>2024-02-26</v>
      </c>
      <c r="G2088" s="1" t="str">
        <f>"CN221986214U"</f>
        <v>CN221986214U</v>
      </c>
      <c r="H2088" s="1" t="str">
        <f t="shared" ref="H2088:H2090" si="1026">"2024-11-12"</f>
        <v>2024-11-12</v>
      </c>
      <c r="I2088" s="1" t="s">
        <v>5074</v>
      </c>
      <c r="J2088" s="1" t="str">
        <f t="shared" si="1024"/>
        <v>天津华恒汽车部件有限公司</v>
      </c>
    </row>
    <row r="2089" spans="1:10">
      <c r="A2089" s="1" t="str">
        <f t="shared" si="1022"/>
        <v>天津华恒汽车部件有限公司</v>
      </c>
      <c r="B2089" s="1" t="str">
        <f>"一种汽车进出水管接头堵"</f>
        <v>一种汽车进出水管接头堵</v>
      </c>
      <c r="C2089" s="1" t="str">
        <f t="shared" si="1012"/>
        <v>实用新型</v>
      </c>
      <c r="D2089" s="1" t="str">
        <f t="shared" si="1023"/>
        <v>授权</v>
      </c>
      <c r="E2089" s="1" t="str">
        <f>"CN202420352754.2"</f>
        <v>CN202420352754.2</v>
      </c>
      <c r="F2089" s="1" t="str">
        <f t="shared" si="1025"/>
        <v>2024-02-26</v>
      </c>
      <c r="G2089" s="1" t="str">
        <f>"CN221991242U"</f>
        <v>CN221991242U</v>
      </c>
      <c r="H2089" s="1" t="str">
        <f t="shared" si="1026"/>
        <v>2024-11-12</v>
      </c>
      <c r="I2089" s="1" t="s">
        <v>5074</v>
      </c>
      <c r="J2089" s="1" t="str">
        <f t="shared" si="1024"/>
        <v>天津华恒汽车部件有限公司</v>
      </c>
    </row>
    <row r="2090" spans="1:10">
      <c r="A2090" s="1" t="str">
        <f t="shared" si="1022"/>
        <v>天津华恒汽车部件有限公司</v>
      </c>
      <c r="B2090" s="1" t="str">
        <f>"一种便于取放的卷芯托盘"</f>
        <v>一种便于取放的卷芯托盘</v>
      </c>
      <c r="C2090" s="1" t="str">
        <f t="shared" si="1012"/>
        <v>实用新型</v>
      </c>
      <c r="D2090" s="1" t="str">
        <f t="shared" si="1023"/>
        <v>授权</v>
      </c>
      <c r="E2090" s="1" t="str">
        <f>"CN202420352779.2"</f>
        <v>CN202420352779.2</v>
      </c>
      <c r="F2090" s="1" t="str">
        <f t="shared" si="1025"/>
        <v>2024-02-26</v>
      </c>
      <c r="G2090" s="1" t="str">
        <f>"CN221986895U"</f>
        <v>CN221986895U</v>
      </c>
      <c r="H2090" s="1" t="str">
        <f t="shared" si="1026"/>
        <v>2024-11-12</v>
      </c>
      <c r="I2090" s="1" t="s">
        <v>5075</v>
      </c>
      <c r="J2090" s="1" t="str">
        <f t="shared" si="1024"/>
        <v>天津华恒汽车部件有限公司</v>
      </c>
    </row>
    <row r="2091" spans="1:10">
      <c r="A2091" s="1" t="str">
        <f t="shared" si="1022"/>
        <v>天津华恒汽车部件有限公司</v>
      </c>
      <c r="B2091" s="1" t="str">
        <f>"一种汽车发动机零件的注塑成型设备"</f>
        <v>一种汽车发动机零件的注塑成型设备</v>
      </c>
      <c r="C2091" s="1" t="str">
        <f>"发明授权"</f>
        <v>发明授权</v>
      </c>
      <c r="D2091" s="1" t="str">
        <f t="shared" si="1023"/>
        <v>授权</v>
      </c>
      <c r="E2091" s="1" t="str">
        <f>"CN201710481429.0"</f>
        <v>CN201710481429.0</v>
      </c>
      <c r="F2091" s="1" t="str">
        <f>"2017-06-22"</f>
        <v>2017-06-22</v>
      </c>
      <c r="G2091" s="1" t="str">
        <f>"CN107116766B"</f>
        <v>CN107116766B</v>
      </c>
      <c r="H2091" s="1" t="str">
        <f>"2023-11-14"</f>
        <v>2023-11-14</v>
      </c>
      <c r="I2091" s="1" t="str">
        <f>"董学震"</f>
        <v>董学震</v>
      </c>
      <c r="J2091" s="1" t="str">
        <f t="shared" si="1024"/>
        <v>天津华恒汽车部件有限公司</v>
      </c>
    </row>
    <row r="2092" spans="1:10">
      <c r="A2092" s="1" t="str">
        <f t="shared" si="1022"/>
        <v>天津华恒汽车部件有限公司</v>
      </c>
      <c r="B2092" s="1" t="str">
        <f>"一种暖风进出水管快速安装接头"</f>
        <v>一种暖风进出水管快速安装接头</v>
      </c>
      <c r="C2092" s="1" t="str">
        <f t="shared" ref="C2092:C2102" si="1027">"实用新型"</f>
        <v>实用新型</v>
      </c>
      <c r="D2092" s="1" t="str">
        <f t="shared" si="1023"/>
        <v>授权</v>
      </c>
      <c r="E2092" s="1" t="str">
        <f>"CN202321342774.3"</f>
        <v>CN202321342774.3</v>
      </c>
      <c r="F2092" s="1" t="str">
        <f>"2023-05-30"</f>
        <v>2023-05-30</v>
      </c>
      <c r="G2092" s="1" t="str">
        <f>"CN219994727U"</f>
        <v>CN219994727U</v>
      </c>
      <c r="H2092" s="1" t="str">
        <f>"2023-11-10"</f>
        <v>2023-11-10</v>
      </c>
      <c r="I2092" s="1" t="s">
        <v>5076</v>
      </c>
      <c r="J2092" s="1" t="str">
        <f t="shared" si="1024"/>
        <v>天津华恒汽车部件有限公司</v>
      </c>
    </row>
    <row r="2093" spans="1:10">
      <c r="A2093" s="1" t="str">
        <f t="shared" si="1022"/>
        <v>天津华恒汽车部件有限公司</v>
      </c>
      <c r="B2093" s="1" t="str">
        <f>"一种汽车零部件加工装置"</f>
        <v>一种汽车零部件加工装置</v>
      </c>
      <c r="C2093" s="1" t="str">
        <f t="shared" si="1027"/>
        <v>实用新型</v>
      </c>
      <c r="D2093" s="1" t="str">
        <f t="shared" si="1023"/>
        <v>授权</v>
      </c>
      <c r="E2093" s="1" t="str">
        <f>"CN202320805814.7"</f>
        <v>CN202320805814.7</v>
      </c>
      <c r="F2093" s="1" t="str">
        <f t="shared" ref="F2093:F2095" si="1028">"2023-04-12"</f>
        <v>2023-04-12</v>
      </c>
      <c r="G2093" s="1" t="str">
        <f>"CN219945751U"</f>
        <v>CN219945751U</v>
      </c>
      <c r="H2093" s="1" t="str">
        <f>"2023-11-03"</f>
        <v>2023-11-03</v>
      </c>
      <c r="I2093" s="1" t="s">
        <v>5077</v>
      </c>
      <c r="J2093" s="1" t="str">
        <f t="shared" si="1024"/>
        <v>天津华恒汽车部件有限公司</v>
      </c>
    </row>
    <row r="2094" spans="1:10">
      <c r="A2094" s="1" t="str">
        <f t="shared" si="1022"/>
        <v>天津华恒汽车部件有限公司</v>
      </c>
      <c r="B2094" s="1" t="str">
        <f>"一种汽车零部件磨削装置"</f>
        <v>一种汽车零部件磨削装置</v>
      </c>
      <c r="C2094" s="1" t="str">
        <f t="shared" si="1027"/>
        <v>实用新型</v>
      </c>
      <c r="D2094" s="1" t="str">
        <f t="shared" si="1023"/>
        <v>授权</v>
      </c>
      <c r="E2094" s="1" t="str">
        <f>"CN202320805812.8"</f>
        <v>CN202320805812.8</v>
      </c>
      <c r="F2094" s="1" t="str">
        <f t="shared" si="1028"/>
        <v>2023-04-12</v>
      </c>
      <c r="G2094" s="1" t="str">
        <f>"CN219853737U"</f>
        <v>CN219853737U</v>
      </c>
      <c r="H2094" s="1" t="str">
        <f>"2023-10-20"</f>
        <v>2023-10-20</v>
      </c>
      <c r="I2094" s="1" t="s">
        <v>5078</v>
      </c>
      <c r="J2094" s="1" t="str">
        <f t="shared" si="1024"/>
        <v>天津华恒汽车部件有限公司</v>
      </c>
    </row>
    <row r="2095" spans="1:10">
      <c r="A2095" s="1" t="str">
        <f t="shared" si="1022"/>
        <v>天津华恒汽车部件有限公司</v>
      </c>
      <c r="B2095" s="1" t="str">
        <f>"一种便于安装的角连接器"</f>
        <v>一种便于安装的角连接器</v>
      </c>
      <c r="C2095" s="1" t="str">
        <f t="shared" si="1027"/>
        <v>实用新型</v>
      </c>
      <c r="D2095" s="1" t="str">
        <f t="shared" si="1023"/>
        <v>授权</v>
      </c>
      <c r="E2095" s="1" t="str">
        <f>"CN202320805804.3"</f>
        <v>CN202320805804.3</v>
      </c>
      <c r="F2095" s="1" t="str">
        <f t="shared" si="1028"/>
        <v>2023-04-12</v>
      </c>
      <c r="G2095" s="1" t="str">
        <f>"CN219843205U"</f>
        <v>CN219843205U</v>
      </c>
      <c r="H2095" s="1" t="str">
        <f>"2023-10-17"</f>
        <v>2023-10-17</v>
      </c>
      <c r="I2095" s="1" t="s">
        <v>5079</v>
      </c>
      <c r="J2095" s="1" t="str">
        <f t="shared" si="1024"/>
        <v>天津华恒汽车部件有限公司</v>
      </c>
    </row>
    <row r="2096" spans="1:10">
      <c r="A2096" s="1" t="str">
        <f t="shared" si="1022"/>
        <v>天津华恒汽车部件有限公司</v>
      </c>
      <c r="B2096" s="1" t="str">
        <f>"一种汽车导风支架"</f>
        <v>一种汽车导风支架</v>
      </c>
      <c r="C2096" s="1" t="str">
        <f t="shared" si="1027"/>
        <v>实用新型</v>
      </c>
      <c r="D2096" s="1" t="str">
        <f t="shared" si="1023"/>
        <v>授权</v>
      </c>
      <c r="E2096" s="1" t="str">
        <f>"CN202321342739.1"</f>
        <v>CN202321342739.1</v>
      </c>
      <c r="F2096" s="1" t="str">
        <f>"2023-05-30"</f>
        <v>2023-05-30</v>
      </c>
      <c r="G2096" s="1" t="str">
        <f>"CN219790335U"</f>
        <v>CN219790335U</v>
      </c>
      <c r="H2096" s="1" t="str">
        <f>"2023-10-03"</f>
        <v>2023-10-03</v>
      </c>
      <c r="I2096" s="1" t="s">
        <v>5080</v>
      </c>
      <c r="J2096" s="1" t="str">
        <f t="shared" si="1024"/>
        <v>天津华恒汽车部件有限公司</v>
      </c>
    </row>
    <row r="2097" spans="1:10">
      <c r="A2097" s="1" t="str">
        <f t="shared" si="1022"/>
        <v>天津华恒汽车部件有限公司</v>
      </c>
      <c r="B2097" s="1" t="str">
        <f>"一种可以快速更换的冲压机冲头"</f>
        <v>一种可以快速更换的冲压机冲头</v>
      </c>
      <c r="C2097" s="1" t="str">
        <f t="shared" si="1027"/>
        <v>实用新型</v>
      </c>
      <c r="D2097" s="1" t="str">
        <f t="shared" si="1023"/>
        <v>授权</v>
      </c>
      <c r="E2097" s="1" t="str">
        <f>"CN202320805813.2"</f>
        <v>CN202320805813.2</v>
      </c>
      <c r="F2097" s="1" t="str">
        <f>"2023-04-12"</f>
        <v>2023-04-12</v>
      </c>
      <c r="G2097" s="1" t="str">
        <f>"CN219703204U"</f>
        <v>CN219703204U</v>
      </c>
      <c r="H2097" s="1" t="str">
        <f>"2023-09-19"</f>
        <v>2023-09-19</v>
      </c>
      <c r="I2097" s="1" t="s">
        <v>5081</v>
      </c>
      <c r="J2097" s="1" t="str">
        <f t="shared" si="1024"/>
        <v>天津华恒汽车部件有限公司</v>
      </c>
    </row>
    <row r="2098" spans="1:10">
      <c r="A2098" s="1" t="str">
        <f t="shared" si="1022"/>
        <v>天津华恒汽车部件有限公司</v>
      </c>
      <c r="B2098" s="1" t="str">
        <f>"一种线束导向支架用底盘线束安装结构"</f>
        <v>一种线束导向支架用底盘线束安装结构</v>
      </c>
      <c r="C2098" s="1" t="str">
        <f t="shared" si="1027"/>
        <v>实用新型</v>
      </c>
      <c r="D2098" s="1" t="str">
        <f t="shared" si="1023"/>
        <v>授权</v>
      </c>
      <c r="E2098" s="1" t="str">
        <f>"CN202022506170.0"</f>
        <v>CN202022506170.0</v>
      </c>
      <c r="F2098" s="1" t="str">
        <f t="shared" ref="F2098:F2103" si="1029">"2020-11-03"</f>
        <v>2020-11-03</v>
      </c>
      <c r="G2098" s="1" t="str">
        <f>"CN214153812U"</f>
        <v>CN214153812U</v>
      </c>
      <c r="H2098" s="1" t="str">
        <f>"2021-09-07"</f>
        <v>2021-09-07</v>
      </c>
      <c r="I2098" s="1" t="str">
        <f>"董学震"</f>
        <v>董学震</v>
      </c>
      <c r="J2098" s="1" t="str">
        <f t="shared" si="1024"/>
        <v>天津华恒汽车部件有限公司</v>
      </c>
    </row>
    <row r="2099" spans="1:10">
      <c r="A2099" s="1" t="str">
        <f t="shared" si="1022"/>
        <v>天津华恒汽车部件有限公司</v>
      </c>
      <c r="B2099" s="1" t="str">
        <f>"一种新型汽车发动机吊耳用冲压模具"</f>
        <v>一种新型汽车发动机吊耳用冲压模具</v>
      </c>
      <c r="C2099" s="1" t="str">
        <f t="shared" si="1027"/>
        <v>实用新型</v>
      </c>
      <c r="D2099" s="1" t="str">
        <f t="shared" si="1023"/>
        <v>授权</v>
      </c>
      <c r="E2099" s="1" t="str">
        <f>"CN202022506226.2"</f>
        <v>CN202022506226.2</v>
      </c>
      <c r="F2099" s="1" t="str">
        <f t="shared" si="1029"/>
        <v>2020-11-03</v>
      </c>
      <c r="G2099" s="1" t="str">
        <f>"CN214133535U"</f>
        <v>CN214133535U</v>
      </c>
      <c r="H2099" s="1" t="str">
        <f>"2021-09-07"</f>
        <v>2021-09-07</v>
      </c>
      <c r="I2099" s="1" t="str">
        <f t="shared" ref="I2099:I2102" si="1030">"董姝言"</f>
        <v>董姝言</v>
      </c>
      <c r="J2099" s="1" t="str">
        <f t="shared" si="1024"/>
        <v>天津华恒汽车部件有限公司</v>
      </c>
    </row>
    <row r="2100" spans="1:10">
      <c r="A2100" s="1" t="str">
        <f t="shared" si="1022"/>
        <v>天津华恒汽车部件有限公司</v>
      </c>
      <c r="B2100" s="1" t="str">
        <f>"一种汽车发动机用吊耳连接结构"</f>
        <v>一种汽车发动机用吊耳连接结构</v>
      </c>
      <c r="C2100" s="1" t="str">
        <f t="shared" si="1027"/>
        <v>实用新型</v>
      </c>
      <c r="D2100" s="1" t="str">
        <f t="shared" si="1023"/>
        <v>授权</v>
      </c>
      <c r="E2100" s="1" t="str">
        <f>"CN202022504664.5"</f>
        <v>CN202022504664.5</v>
      </c>
      <c r="F2100" s="1" t="str">
        <f t="shared" si="1029"/>
        <v>2020-11-03</v>
      </c>
      <c r="G2100" s="1" t="str">
        <f>"CN213799226U"</f>
        <v>CN213799226U</v>
      </c>
      <c r="H2100" s="1" t="str">
        <f t="shared" ref="H2100:H2102" si="1031">"2021-07-27"</f>
        <v>2021-07-27</v>
      </c>
      <c r="I2100" s="1" t="str">
        <f t="shared" si="1030"/>
        <v>董姝言</v>
      </c>
      <c r="J2100" s="1" t="str">
        <f t="shared" si="1024"/>
        <v>天津华恒汽车部件有限公司</v>
      </c>
    </row>
    <row r="2101" spans="1:10">
      <c r="A2101" s="1" t="str">
        <f t="shared" si="1022"/>
        <v>天津华恒汽车部件有限公司</v>
      </c>
      <c r="B2101" s="1" t="str">
        <f>"一种具有防水功能的汽车角连接器"</f>
        <v>一种具有防水功能的汽车角连接器</v>
      </c>
      <c r="C2101" s="1" t="str">
        <f t="shared" si="1027"/>
        <v>实用新型</v>
      </c>
      <c r="D2101" s="1" t="str">
        <f t="shared" si="1023"/>
        <v>授权</v>
      </c>
      <c r="E2101" s="1" t="str">
        <f>"CN202022506155.6"</f>
        <v>CN202022506155.6</v>
      </c>
      <c r="F2101" s="1" t="str">
        <f t="shared" si="1029"/>
        <v>2020-11-03</v>
      </c>
      <c r="G2101" s="1" t="str">
        <f>"CN213816575U"</f>
        <v>CN213816575U</v>
      </c>
      <c r="H2101" s="1" t="str">
        <f t="shared" si="1031"/>
        <v>2021-07-27</v>
      </c>
      <c r="I2101" s="1" t="str">
        <f t="shared" ref="I2101:I2104" si="1032">"杨锐智"</f>
        <v>杨锐智</v>
      </c>
      <c r="J2101" s="1" t="str">
        <f t="shared" si="1024"/>
        <v>天津华恒汽车部件有限公司</v>
      </c>
    </row>
    <row r="2102" spans="1:10">
      <c r="A2102" s="1" t="str">
        <f t="shared" si="1022"/>
        <v>天津华恒汽车部件有限公司</v>
      </c>
      <c r="B2102" s="1" t="str">
        <f>"一种新型汽车加工用机组托盘组件"</f>
        <v>一种新型汽车加工用机组托盘组件</v>
      </c>
      <c r="C2102" s="1" t="str">
        <f t="shared" si="1027"/>
        <v>实用新型</v>
      </c>
      <c r="D2102" s="1" t="str">
        <f t="shared" si="1023"/>
        <v>授权</v>
      </c>
      <c r="E2102" s="1" t="str">
        <f>"CN202022506308.7"</f>
        <v>CN202022506308.7</v>
      </c>
      <c r="F2102" s="1" t="str">
        <f t="shared" si="1029"/>
        <v>2020-11-03</v>
      </c>
      <c r="G2102" s="1" t="str">
        <f>"CN213795102U"</f>
        <v>CN213795102U</v>
      </c>
      <c r="H2102" s="1" t="str">
        <f t="shared" si="1031"/>
        <v>2021-07-27</v>
      </c>
      <c r="I2102" s="1" t="str">
        <f t="shared" si="1030"/>
        <v>董姝言</v>
      </c>
      <c r="J2102" s="1" t="str">
        <f t="shared" si="1024"/>
        <v>天津华恒汽车部件有限公司</v>
      </c>
    </row>
    <row r="2103" spans="1:10">
      <c r="A2103" s="1" t="str">
        <f t="shared" si="1022"/>
        <v>天津华恒汽车部件有限公司</v>
      </c>
      <c r="B2103" s="1" t="str">
        <f>"一种汽车零件加工环保回收装置"</f>
        <v>一种汽车零件加工环保回收装置</v>
      </c>
      <c r="C2103" s="1" t="str">
        <f>"发明公布"</f>
        <v>发明公布</v>
      </c>
      <c r="D2103" s="1" t="str">
        <f>"公布驳回"</f>
        <v>公布驳回</v>
      </c>
      <c r="E2103" s="1" t="str">
        <f>"CN202011210894.9"</f>
        <v>CN202011210894.9</v>
      </c>
      <c r="F2103" s="1" t="str">
        <f t="shared" si="1029"/>
        <v>2020-11-03</v>
      </c>
      <c r="G2103" s="1" t="str">
        <f>"CN112427118A"</f>
        <v>CN112427118A</v>
      </c>
      <c r="H2103" s="1" t="str">
        <f>"2021-03-02"</f>
        <v>2021-03-02</v>
      </c>
      <c r="I2103" s="1" t="str">
        <f t="shared" si="1032"/>
        <v>杨锐智</v>
      </c>
      <c r="J2103" s="1" t="str">
        <f t="shared" si="1024"/>
        <v>天津华恒汽车部件有限公司</v>
      </c>
    </row>
    <row r="2104" spans="1:10">
      <c r="A2104" s="1" t="str">
        <f t="shared" si="1022"/>
        <v>天津华恒汽车部件有限公司</v>
      </c>
      <c r="B2104" s="1" t="str">
        <f>"一种卧式加工车床旋转刀具座"</f>
        <v>一种卧式加工车床旋转刀具座</v>
      </c>
      <c r="C2104" s="1" t="str">
        <f t="shared" ref="C2104:C2107" si="1033">"实用新型"</f>
        <v>实用新型</v>
      </c>
      <c r="D2104" s="1" t="str">
        <f t="shared" ref="D2104:D2107" si="1034">"未缴年费专利权终止"</f>
        <v>未缴年费专利权终止</v>
      </c>
      <c r="E2104" s="1" t="str">
        <f>"CN201921500131.0"</f>
        <v>CN201921500131.0</v>
      </c>
      <c r="F2104" s="1" t="str">
        <f t="shared" ref="F2104:F2107" si="1035">"2019-09-10"</f>
        <v>2019-09-10</v>
      </c>
      <c r="G2104" s="1" t="str">
        <f>"CN210549789U"</f>
        <v>CN210549789U</v>
      </c>
      <c r="H2104" s="1" t="str">
        <f t="shared" ref="H2104:H2106" si="1036">"2020-05-19"</f>
        <v>2020-05-19</v>
      </c>
      <c r="I2104" s="1" t="str">
        <f t="shared" si="1032"/>
        <v>杨锐智</v>
      </c>
      <c r="J2104" s="1" t="str">
        <f t="shared" si="1024"/>
        <v>天津华恒汽车部件有限公司</v>
      </c>
    </row>
    <row r="2105" spans="1:10">
      <c r="A2105" s="1" t="str">
        <f t="shared" si="1022"/>
        <v>天津华恒汽车部件有限公司</v>
      </c>
      <c r="B2105" s="1" t="str">
        <f>"一种铣床的切屑与冷却液回收处理装置"</f>
        <v>一种铣床的切屑与冷却液回收处理装置</v>
      </c>
      <c r="C2105" s="1" t="str">
        <f t="shared" si="1033"/>
        <v>实用新型</v>
      </c>
      <c r="D2105" s="1" t="str">
        <f t="shared" si="1034"/>
        <v>未缴年费专利权终止</v>
      </c>
      <c r="E2105" s="1" t="str">
        <f>"CN201921500093.9"</f>
        <v>CN201921500093.9</v>
      </c>
      <c r="F2105" s="1" t="str">
        <f t="shared" si="1035"/>
        <v>2019-09-10</v>
      </c>
      <c r="G2105" s="1" t="str">
        <f>"CN210549925U"</f>
        <v>CN210549925U</v>
      </c>
      <c r="H2105" s="1" t="str">
        <f t="shared" si="1036"/>
        <v>2020-05-19</v>
      </c>
      <c r="I2105" s="1" t="str">
        <f t="shared" ref="I2105:I2110" si="1037">"董姝言"</f>
        <v>董姝言</v>
      </c>
      <c r="J2105" s="1" t="str">
        <f t="shared" si="1024"/>
        <v>天津华恒汽车部件有限公司</v>
      </c>
    </row>
    <row r="2106" spans="1:10">
      <c r="A2106" s="1" t="str">
        <f t="shared" si="1022"/>
        <v>天津华恒汽车部件有限公司</v>
      </c>
      <c r="B2106" s="1" t="str">
        <f>"一种工件加工废料收集装置"</f>
        <v>一种工件加工废料收集装置</v>
      </c>
      <c r="C2106" s="1" t="str">
        <f t="shared" si="1033"/>
        <v>实用新型</v>
      </c>
      <c r="D2106" s="1" t="str">
        <f t="shared" si="1034"/>
        <v>未缴年费专利权终止</v>
      </c>
      <c r="E2106" s="1" t="str">
        <f>"CN201921500070.8"</f>
        <v>CN201921500070.8</v>
      </c>
      <c r="F2106" s="1" t="str">
        <f t="shared" si="1035"/>
        <v>2019-09-10</v>
      </c>
      <c r="G2106" s="1" t="str">
        <f>"CN210549881U"</f>
        <v>CN210549881U</v>
      </c>
      <c r="H2106" s="1" t="str">
        <f t="shared" si="1036"/>
        <v>2020-05-19</v>
      </c>
      <c r="I2106" s="1" t="str">
        <f t="shared" si="1037"/>
        <v>董姝言</v>
      </c>
      <c r="J2106" s="1" t="str">
        <f t="shared" si="1024"/>
        <v>天津华恒汽车部件有限公司</v>
      </c>
    </row>
    <row r="2107" spans="1:10">
      <c r="A2107" s="1" t="str">
        <f t="shared" si="1022"/>
        <v>天津华恒汽车部件有限公司</v>
      </c>
      <c r="B2107" s="1" t="str">
        <f>"一种汽车部件加工吸尘排尘装置"</f>
        <v>一种汽车部件加工吸尘排尘装置</v>
      </c>
      <c r="C2107" s="1" t="str">
        <f t="shared" si="1033"/>
        <v>实用新型</v>
      </c>
      <c r="D2107" s="1" t="str">
        <f t="shared" si="1034"/>
        <v>未缴年费专利权终止</v>
      </c>
      <c r="E2107" s="1" t="str">
        <f>"CN201921499489.6"</f>
        <v>CN201921499489.6</v>
      </c>
      <c r="F2107" s="1" t="str">
        <f t="shared" si="1035"/>
        <v>2019-09-10</v>
      </c>
      <c r="G2107" s="1" t="str">
        <f>"CN210523344U"</f>
        <v>CN210523344U</v>
      </c>
      <c r="H2107" s="1" t="str">
        <f>"2020-05-15"</f>
        <v>2020-05-15</v>
      </c>
      <c r="I2107" s="1" t="str">
        <f>"杨锐智"</f>
        <v>杨锐智</v>
      </c>
      <c r="J2107" s="1" t="str">
        <f t="shared" si="1024"/>
        <v>天津华恒汽车部件有限公司</v>
      </c>
    </row>
    <row r="2108" spans="1:10">
      <c r="A2108" s="1" t="str">
        <f t="shared" si="1022"/>
        <v>天津华恒汽车部件有限公司</v>
      </c>
      <c r="B2108" s="1" t="str">
        <f>"一种用于汽车发动机零件加工的自动化车床"</f>
        <v>一种用于汽车发动机零件加工的自动化车床</v>
      </c>
      <c r="C2108" s="1" t="str">
        <f>"发明授权"</f>
        <v>发明授权</v>
      </c>
      <c r="D2108" s="1" t="str">
        <f>"授权"</f>
        <v>授权</v>
      </c>
      <c r="E2108" s="1" t="str">
        <f>"CN201810871871.9"</f>
        <v>CN201810871871.9</v>
      </c>
      <c r="F2108" s="1" t="str">
        <f t="shared" ref="F2108:F2113" si="1038">"2018-08-02"</f>
        <v>2018-08-02</v>
      </c>
      <c r="G2108" s="1" t="str">
        <f>"CN108972016B"</f>
        <v>CN108972016B</v>
      </c>
      <c r="H2108" s="1" t="str">
        <f>"2019-12-17"</f>
        <v>2019-12-17</v>
      </c>
      <c r="I2108" s="1" t="str">
        <f t="shared" si="1037"/>
        <v>董姝言</v>
      </c>
      <c r="J2108" s="1" t="str">
        <f t="shared" si="1024"/>
        <v>天津华恒汽车部件有限公司</v>
      </c>
    </row>
    <row r="2109" spans="1:10">
      <c r="A2109" s="1" t="str">
        <f t="shared" si="1022"/>
        <v>天津华恒汽车部件有限公司</v>
      </c>
      <c r="B2109" s="1" t="str">
        <f>"一种汽车零件加工车床冷却循环系统"</f>
        <v>一种汽车零件加工车床冷却循环系统</v>
      </c>
      <c r="C2109" s="1" t="str">
        <f>"发明公布"</f>
        <v>发明公布</v>
      </c>
      <c r="D2109" s="1" t="str">
        <f>"公布驳回"</f>
        <v>公布驳回</v>
      </c>
      <c r="E2109" s="1" t="str">
        <f>"CN201910852827.8"</f>
        <v>CN201910852827.8</v>
      </c>
      <c r="F2109" s="1" t="str">
        <f>"2019-09-10"</f>
        <v>2019-09-10</v>
      </c>
      <c r="G2109" s="1" t="str">
        <f>"CN110548881A"</f>
        <v>CN110548881A</v>
      </c>
      <c r="H2109" s="1" t="str">
        <f>"2019-12-10"</f>
        <v>2019-12-10</v>
      </c>
      <c r="I2109" s="1" t="str">
        <f t="shared" si="1037"/>
        <v>董姝言</v>
      </c>
      <c r="J2109" s="1" t="str">
        <f t="shared" si="1024"/>
        <v>天津华恒汽车部件有限公司</v>
      </c>
    </row>
    <row r="2110" spans="1:10">
      <c r="A2110" s="1" t="str">
        <f t="shared" si="1022"/>
        <v>天津华恒汽车部件有限公司</v>
      </c>
      <c r="B2110" s="1" t="str">
        <f>"一种提高汽车零件加工精度的数控铣床"</f>
        <v>一种提高汽车零件加工精度的数控铣床</v>
      </c>
      <c r="C2110" s="1" t="str">
        <f t="shared" ref="C2110:C2154" si="1039">"实用新型"</f>
        <v>实用新型</v>
      </c>
      <c r="D2110" s="1" t="str">
        <f t="shared" ref="D2110:D2144" si="1040">"未缴年费专利权终止"</f>
        <v>未缴年费专利权终止</v>
      </c>
      <c r="E2110" s="1" t="str">
        <f>"CN201821239560.2"</f>
        <v>CN201821239560.2</v>
      </c>
      <c r="F2110" s="1" t="str">
        <f t="shared" si="1038"/>
        <v>2018-08-02</v>
      </c>
      <c r="G2110" s="1" t="str">
        <f>"CN208906317U"</f>
        <v>CN208906317U</v>
      </c>
      <c r="H2110" s="1" t="str">
        <f>"2019-05-28"</f>
        <v>2019-05-28</v>
      </c>
      <c r="I2110" s="1" t="str">
        <f t="shared" si="1037"/>
        <v>董姝言</v>
      </c>
      <c r="J2110" s="1" t="str">
        <f t="shared" si="1024"/>
        <v>天津华恒汽车部件有限公司</v>
      </c>
    </row>
    <row r="2111" spans="1:10">
      <c r="A2111" s="1" t="str">
        <f t="shared" si="1022"/>
        <v>天津华恒汽车部件有限公司</v>
      </c>
      <c r="B2111" s="1" t="str">
        <f>"一种用于汽车零件加工的台式攻丝机"</f>
        <v>一种用于汽车零件加工的台式攻丝机</v>
      </c>
      <c r="C2111" s="1" t="str">
        <f t="shared" si="1039"/>
        <v>实用新型</v>
      </c>
      <c r="D2111" s="1" t="str">
        <f t="shared" si="1040"/>
        <v>未缴年费专利权终止</v>
      </c>
      <c r="E2111" s="1" t="str">
        <f>"CN201821239574.4"</f>
        <v>CN201821239574.4</v>
      </c>
      <c r="F2111" s="1" t="str">
        <f t="shared" si="1038"/>
        <v>2018-08-02</v>
      </c>
      <c r="G2111" s="1" t="str">
        <f>"CN208788142U"</f>
        <v>CN208788142U</v>
      </c>
      <c r="H2111" s="1" t="str">
        <f t="shared" ref="H2111:H2113" si="1041">"2019-04-26"</f>
        <v>2019-04-26</v>
      </c>
      <c r="I2111" s="1" t="str">
        <f>"杨锐智"</f>
        <v>杨锐智</v>
      </c>
      <c r="J2111" s="1" t="str">
        <f t="shared" si="1024"/>
        <v>天津华恒汽车部件有限公司</v>
      </c>
    </row>
    <row r="2112" spans="1:10">
      <c r="A2112" s="1" t="str">
        <f t="shared" si="1022"/>
        <v>天津华恒汽车部件有限公司</v>
      </c>
      <c r="B2112" s="1" t="str">
        <f>"一种使用方便的锯床"</f>
        <v>一种使用方便的锯床</v>
      </c>
      <c r="C2112" s="1" t="str">
        <f t="shared" si="1039"/>
        <v>实用新型</v>
      </c>
      <c r="D2112" s="1" t="str">
        <f t="shared" si="1040"/>
        <v>未缴年费专利权终止</v>
      </c>
      <c r="E2112" s="1" t="str">
        <f>"CN201821239575.9"</f>
        <v>CN201821239575.9</v>
      </c>
      <c r="F2112" s="1" t="str">
        <f t="shared" si="1038"/>
        <v>2018-08-02</v>
      </c>
      <c r="G2112" s="1" t="str">
        <f>"CN208787665U"</f>
        <v>CN208787665U</v>
      </c>
      <c r="H2112" s="1" t="str">
        <f t="shared" si="1041"/>
        <v>2019-04-26</v>
      </c>
      <c r="I2112" s="1" t="str">
        <f>"董姝言"</f>
        <v>董姝言</v>
      </c>
      <c r="J2112" s="1" t="str">
        <f t="shared" si="1024"/>
        <v>天津华恒汽车部件有限公司</v>
      </c>
    </row>
    <row r="2113" spans="1:10">
      <c r="A2113" s="1" t="str">
        <f t="shared" si="1022"/>
        <v>天津华恒汽车部件有限公司</v>
      </c>
      <c r="B2113" s="1" t="str">
        <f>"一种用于汽车零件加工的新型台式钻床"</f>
        <v>一种用于汽车零件加工的新型台式钻床</v>
      </c>
      <c r="C2113" s="1" t="str">
        <f t="shared" si="1039"/>
        <v>实用新型</v>
      </c>
      <c r="D2113" s="1" t="str">
        <f t="shared" si="1040"/>
        <v>未缴年费专利权终止</v>
      </c>
      <c r="E2113" s="1" t="str">
        <f>"CN201821239520.8"</f>
        <v>CN201821239520.8</v>
      </c>
      <c r="F2113" s="1" t="str">
        <f t="shared" si="1038"/>
        <v>2018-08-02</v>
      </c>
      <c r="G2113" s="1" t="str">
        <f>"CN208787590U"</f>
        <v>CN208787590U</v>
      </c>
      <c r="H2113" s="1" t="str">
        <f t="shared" si="1041"/>
        <v>2019-04-26</v>
      </c>
      <c r="I2113" s="1" t="str">
        <f>"杨锐智"</f>
        <v>杨锐智</v>
      </c>
      <c r="J2113" s="1" t="str">
        <f t="shared" si="1024"/>
        <v>天津华恒汽车部件有限公司</v>
      </c>
    </row>
    <row r="2114" spans="1:10">
      <c r="A2114" s="1" t="str">
        <f t="shared" si="1022"/>
        <v>天津华恒汽车部件有限公司</v>
      </c>
      <c r="B2114" s="1" t="str">
        <f>"一种汽车零件周转箱的注塑成型设备"</f>
        <v>一种汽车零件周转箱的注塑成型设备</v>
      </c>
      <c r="C2114" s="1" t="str">
        <f t="shared" si="1039"/>
        <v>实用新型</v>
      </c>
      <c r="D2114" s="1" t="str">
        <f t="shared" si="1040"/>
        <v>未缴年费专利权终止</v>
      </c>
      <c r="E2114" s="1" t="str">
        <f>"CN201720735289.0"</f>
        <v>CN201720735289.0</v>
      </c>
      <c r="F2114" s="1" t="str">
        <f t="shared" ref="F2114:F2123" si="1042">"2017-06-22"</f>
        <v>2017-06-22</v>
      </c>
      <c r="G2114" s="1" t="str">
        <f>"CN207014679U"</f>
        <v>CN207014679U</v>
      </c>
      <c r="H2114" s="1" t="str">
        <f t="shared" ref="H2114:H2123" si="1043">"2018-02-16"</f>
        <v>2018-02-16</v>
      </c>
      <c r="I2114" s="1" t="str">
        <f t="shared" ref="I2114:I2127" si="1044">"董学震"</f>
        <v>董学震</v>
      </c>
      <c r="J2114" s="1" t="str">
        <f t="shared" si="1024"/>
        <v>天津华恒汽车部件有限公司</v>
      </c>
    </row>
    <row r="2115" spans="1:10">
      <c r="A2115" s="1" t="str">
        <f t="shared" si="1022"/>
        <v>天津华恒汽车部件有限公司</v>
      </c>
      <c r="B2115" s="1" t="str">
        <f>"一种汽车发动机零件的注塑成型设备"</f>
        <v>一种汽车发动机零件的注塑成型设备</v>
      </c>
      <c r="C2115" s="1" t="str">
        <f t="shared" si="1039"/>
        <v>实用新型</v>
      </c>
      <c r="D2115" s="1" t="str">
        <f t="shared" si="1040"/>
        <v>未缴年费专利权终止</v>
      </c>
      <c r="E2115" s="1" t="str">
        <f>"CN201720733080.0"</f>
        <v>CN201720733080.0</v>
      </c>
      <c r="F2115" s="1" t="str">
        <f t="shared" si="1042"/>
        <v>2017-06-22</v>
      </c>
      <c r="G2115" s="1" t="str">
        <f>"CN207014729U"</f>
        <v>CN207014729U</v>
      </c>
      <c r="H2115" s="1" t="str">
        <f t="shared" si="1043"/>
        <v>2018-02-16</v>
      </c>
      <c r="I2115" s="1" t="str">
        <f t="shared" si="1044"/>
        <v>董学震</v>
      </c>
      <c r="J2115" s="1" t="str">
        <f t="shared" si="1024"/>
        <v>天津华恒汽车部件有限公司</v>
      </c>
    </row>
    <row r="2116" spans="1:10">
      <c r="A2116" s="1" t="str">
        <f t="shared" si="1022"/>
        <v>天津华恒汽车部件有限公司</v>
      </c>
      <c r="B2116" s="1" t="str">
        <f>"一种汽车发动机板形零件的切割设备"</f>
        <v>一种汽车发动机板形零件的切割设备</v>
      </c>
      <c r="C2116" s="1" t="str">
        <f t="shared" si="1039"/>
        <v>实用新型</v>
      </c>
      <c r="D2116" s="1" t="str">
        <f t="shared" si="1040"/>
        <v>未缴年费专利权终止</v>
      </c>
      <c r="E2116" s="1" t="str">
        <f>"CN201720732440.5"</f>
        <v>CN201720732440.5</v>
      </c>
      <c r="F2116" s="1" t="str">
        <f t="shared" si="1042"/>
        <v>2017-06-22</v>
      </c>
      <c r="G2116" s="1" t="str">
        <f>"CN207013782U"</f>
        <v>CN207013782U</v>
      </c>
      <c r="H2116" s="1" t="str">
        <f t="shared" si="1043"/>
        <v>2018-02-16</v>
      </c>
      <c r="I2116" s="1" t="str">
        <f t="shared" si="1044"/>
        <v>董学震</v>
      </c>
      <c r="J2116" s="1" t="str">
        <f t="shared" si="1024"/>
        <v>天津华恒汽车部件有限公司</v>
      </c>
    </row>
    <row r="2117" spans="1:10">
      <c r="A2117" s="1" t="str">
        <f t="shared" si="1022"/>
        <v>天津华恒汽车部件有限公司</v>
      </c>
      <c r="B2117" s="1" t="str">
        <f>"一种新型汽车零件冲压机"</f>
        <v>一种新型汽车零件冲压机</v>
      </c>
      <c r="C2117" s="1" t="str">
        <f t="shared" si="1039"/>
        <v>实用新型</v>
      </c>
      <c r="D2117" s="1" t="str">
        <f t="shared" si="1040"/>
        <v>未缴年费专利权终止</v>
      </c>
      <c r="E2117" s="1" t="str">
        <f>"CN201720735273.X"</f>
        <v>CN201720735273.X</v>
      </c>
      <c r="F2117" s="1" t="str">
        <f t="shared" si="1042"/>
        <v>2017-06-22</v>
      </c>
      <c r="G2117" s="1" t="str">
        <f>"CN207013638U"</f>
        <v>CN207013638U</v>
      </c>
      <c r="H2117" s="1" t="str">
        <f t="shared" si="1043"/>
        <v>2018-02-16</v>
      </c>
      <c r="I2117" s="1" t="str">
        <f t="shared" si="1044"/>
        <v>董学震</v>
      </c>
      <c r="J2117" s="1" t="str">
        <f t="shared" si="1024"/>
        <v>天津华恒汽车部件有限公司</v>
      </c>
    </row>
    <row r="2118" spans="1:10">
      <c r="A2118" s="1" t="str">
        <f t="shared" si="1022"/>
        <v>天津华恒汽车部件有限公司</v>
      </c>
      <c r="B2118" s="1" t="str">
        <f>"一种用于汽车零件加工的钻床"</f>
        <v>一种用于汽车零件加工的钻床</v>
      </c>
      <c r="C2118" s="1" t="str">
        <f t="shared" si="1039"/>
        <v>实用新型</v>
      </c>
      <c r="D2118" s="1" t="str">
        <f t="shared" si="1040"/>
        <v>未缴年费专利权终止</v>
      </c>
      <c r="E2118" s="1" t="str">
        <f>"CN201720732439.2"</f>
        <v>CN201720732439.2</v>
      </c>
      <c r="F2118" s="1" t="str">
        <f t="shared" si="1042"/>
        <v>2017-06-22</v>
      </c>
      <c r="G2118" s="1" t="str">
        <f>"CN207014105U"</f>
        <v>CN207014105U</v>
      </c>
      <c r="H2118" s="1" t="str">
        <f t="shared" si="1043"/>
        <v>2018-02-16</v>
      </c>
      <c r="I2118" s="1" t="str">
        <f t="shared" si="1044"/>
        <v>董学震</v>
      </c>
      <c r="J2118" s="1" t="str">
        <f t="shared" si="1024"/>
        <v>天津华恒汽车部件有限公司</v>
      </c>
    </row>
    <row r="2119" spans="1:10">
      <c r="A2119" s="1" t="str">
        <f t="shared" si="1022"/>
        <v>天津华恒汽车部件有限公司</v>
      </c>
      <c r="B2119" s="1" t="str">
        <f>"一种汽车散热器零件冲压机"</f>
        <v>一种汽车散热器零件冲压机</v>
      </c>
      <c r="C2119" s="1" t="str">
        <f t="shared" si="1039"/>
        <v>实用新型</v>
      </c>
      <c r="D2119" s="1" t="str">
        <f t="shared" si="1040"/>
        <v>未缴年费专利权终止</v>
      </c>
      <c r="E2119" s="1" t="str">
        <f>"CN201720733483.5"</f>
        <v>CN201720733483.5</v>
      </c>
      <c r="F2119" s="1" t="str">
        <f t="shared" si="1042"/>
        <v>2017-06-22</v>
      </c>
      <c r="G2119" s="1" t="str">
        <f>"CN207013571U"</f>
        <v>CN207013571U</v>
      </c>
      <c r="H2119" s="1" t="str">
        <f t="shared" si="1043"/>
        <v>2018-02-16</v>
      </c>
      <c r="I2119" s="1" t="str">
        <f t="shared" si="1044"/>
        <v>董学震</v>
      </c>
      <c r="J2119" s="1" t="str">
        <f t="shared" si="1024"/>
        <v>天津华恒汽车部件有限公司</v>
      </c>
    </row>
    <row r="2120" spans="1:10">
      <c r="A2120" s="1" t="str">
        <f t="shared" si="1022"/>
        <v>天津华恒汽车部件有限公司</v>
      </c>
      <c r="B2120" s="1" t="str">
        <f>"一种汽车发动机板形零件的冲压设备"</f>
        <v>一种汽车发动机板形零件的冲压设备</v>
      </c>
      <c r="C2120" s="1" t="str">
        <f t="shared" si="1039"/>
        <v>实用新型</v>
      </c>
      <c r="D2120" s="1" t="str">
        <f t="shared" si="1040"/>
        <v>未缴年费专利权终止</v>
      </c>
      <c r="E2120" s="1" t="str">
        <f>"CN201720733469.5"</f>
        <v>CN201720733469.5</v>
      </c>
      <c r="F2120" s="1" t="str">
        <f t="shared" si="1042"/>
        <v>2017-06-22</v>
      </c>
      <c r="G2120" s="1" t="str">
        <f>"CN207014836U"</f>
        <v>CN207014836U</v>
      </c>
      <c r="H2120" s="1" t="str">
        <f t="shared" si="1043"/>
        <v>2018-02-16</v>
      </c>
      <c r="I2120" s="1" t="str">
        <f t="shared" si="1044"/>
        <v>董学震</v>
      </c>
      <c r="J2120" s="1" t="str">
        <f t="shared" si="1024"/>
        <v>天津华恒汽车部件有限公司</v>
      </c>
    </row>
    <row r="2121" spans="1:10">
      <c r="A2121" s="1" t="str">
        <f t="shared" si="1022"/>
        <v>天津华恒汽车部件有限公司</v>
      </c>
      <c r="B2121" s="1" t="str">
        <f>"一种汽车集线盒的注塑成型设备"</f>
        <v>一种汽车集线盒的注塑成型设备</v>
      </c>
      <c r="C2121" s="1" t="str">
        <f t="shared" si="1039"/>
        <v>实用新型</v>
      </c>
      <c r="D2121" s="1" t="str">
        <f t="shared" si="1040"/>
        <v>未缴年费专利权终止</v>
      </c>
      <c r="E2121" s="1" t="str">
        <f>"CN201720733470.8"</f>
        <v>CN201720733470.8</v>
      </c>
      <c r="F2121" s="1" t="str">
        <f t="shared" si="1042"/>
        <v>2017-06-22</v>
      </c>
      <c r="G2121" s="1" t="str">
        <f>"CN207014732U"</f>
        <v>CN207014732U</v>
      </c>
      <c r="H2121" s="1" t="str">
        <f t="shared" si="1043"/>
        <v>2018-02-16</v>
      </c>
      <c r="I2121" s="1" t="str">
        <f t="shared" si="1044"/>
        <v>董学震</v>
      </c>
      <c r="J2121" s="1" t="str">
        <f t="shared" si="1024"/>
        <v>天津华恒汽车部件有限公司</v>
      </c>
    </row>
    <row r="2122" spans="1:10">
      <c r="A2122" s="1" t="str">
        <f t="shared" si="1022"/>
        <v>天津华恒汽车部件有限公司</v>
      </c>
      <c r="B2122" s="1" t="str">
        <f>"一种汽车发动机零件的冲压机"</f>
        <v>一种汽车发动机零件的冲压机</v>
      </c>
      <c r="C2122" s="1" t="str">
        <f t="shared" si="1039"/>
        <v>实用新型</v>
      </c>
      <c r="D2122" s="1" t="str">
        <f t="shared" si="1040"/>
        <v>未缴年费专利权终止</v>
      </c>
      <c r="E2122" s="1" t="str">
        <f>"CN201720733481.6"</f>
        <v>CN201720733481.6</v>
      </c>
      <c r="F2122" s="1" t="str">
        <f t="shared" si="1042"/>
        <v>2017-06-22</v>
      </c>
      <c r="G2122" s="1" t="str">
        <f>"CN207013636U"</f>
        <v>CN207013636U</v>
      </c>
      <c r="H2122" s="1" t="str">
        <f t="shared" si="1043"/>
        <v>2018-02-16</v>
      </c>
      <c r="I2122" s="1" t="str">
        <f t="shared" si="1044"/>
        <v>董学震</v>
      </c>
      <c r="J2122" s="1" t="str">
        <f t="shared" si="1024"/>
        <v>天津华恒汽车部件有限公司</v>
      </c>
    </row>
    <row r="2123" spans="1:10">
      <c r="A2123" s="1" t="str">
        <f t="shared" si="1022"/>
        <v>天津华恒汽车部件有限公司</v>
      </c>
      <c r="B2123" s="1" t="str">
        <f>"一种汽车零件冲压模具"</f>
        <v>一种汽车零件冲压模具</v>
      </c>
      <c r="C2123" s="1" t="str">
        <f t="shared" si="1039"/>
        <v>实用新型</v>
      </c>
      <c r="D2123" s="1" t="str">
        <f t="shared" si="1040"/>
        <v>未缴年费专利权终止</v>
      </c>
      <c r="E2123" s="1" t="str">
        <f>"CN201720733467.6"</f>
        <v>CN201720733467.6</v>
      </c>
      <c r="F2123" s="1" t="str">
        <f t="shared" si="1042"/>
        <v>2017-06-22</v>
      </c>
      <c r="G2123" s="1" t="str">
        <f>"CN207013570U"</f>
        <v>CN207013570U</v>
      </c>
      <c r="H2123" s="1" t="str">
        <f t="shared" si="1043"/>
        <v>2018-02-16</v>
      </c>
      <c r="I2123" s="1" t="str">
        <f t="shared" si="1044"/>
        <v>董学震</v>
      </c>
      <c r="J2123" s="1" t="str">
        <f t="shared" si="1024"/>
        <v>天津华恒汽车部件有限公司</v>
      </c>
    </row>
    <row r="2124" spans="1:10">
      <c r="A2124" s="1" t="str">
        <f t="shared" si="1022"/>
        <v>天津华恒汽车部件有限公司</v>
      </c>
      <c r="B2124" s="1" t="str">
        <f>"一种集成式发动机吊耳"</f>
        <v>一种集成式发动机吊耳</v>
      </c>
      <c r="C2124" s="1" t="str">
        <f t="shared" si="1039"/>
        <v>实用新型</v>
      </c>
      <c r="D2124" s="1" t="str">
        <f t="shared" si="1040"/>
        <v>未缴年费专利权终止</v>
      </c>
      <c r="E2124" s="1" t="str">
        <f>"CN201720343953.7"</f>
        <v>CN201720343953.7</v>
      </c>
      <c r="F2124" s="1" t="str">
        <f t="shared" ref="F2124:F2127" si="1045">"2017-04-04"</f>
        <v>2017-04-04</v>
      </c>
      <c r="G2124" s="1" t="str">
        <f>"CN206681850U"</f>
        <v>CN206681850U</v>
      </c>
      <c r="H2124" s="1" t="str">
        <f t="shared" ref="H2124:H2127" si="1046">"2017-11-28"</f>
        <v>2017-11-28</v>
      </c>
      <c r="I2124" s="1" t="str">
        <f t="shared" si="1044"/>
        <v>董学震</v>
      </c>
      <c r="J2124" s="1" t="str">
        <f t="shared" si="1024"/>
        <v>天津华恒汽车部件有限公司</v>
      </c>
    </row>
    <row r="2125" spans="1:10">
      <c r="A2125" s="1" t="str">
        <f t="shared" si="1022"/>
        <v>天津华恒汽车部件有限公司</v>
      </c>
      <c r="B2125" s="1" t="str">
        <f>"一种多功能组合发电机支架"</f>
        <v>一种多功能组合发电机支架</v>
      </c>
      <c r="C2125" s="1" t="str">
        <f t="shared" si="1039"/>
        <v>实用新型</v>
      </c>
      <c r="D2125" s="1" t="str">
        <f t="shared" si="1040"/>
        <v>未缴年费专利权终止</v>
      </c>
      <c r="E2125" s="1" t="str">
        <f>"CN201720343955.6"</f>
        <v>CN201720343955.6</v>
      </c>
      <c r="F2125" s="1" t="str">
        <f t="shared" si="1045"/>
        <v>2017-04-04</v>
      </c>
      <c r="G2125" s="1" t="str">
        <f>"CN206685998U"</f>
        <v>CN206685998U</v>
      </c>
      <c r="H2125" s="1" t="str">
        <f t="shared" si="1046"/>
        <v>2017-11-28</v>
      </c>
      <c r="I2125" s="1" t="str">
        <f t="shared" si="1044"/>
        <v>董学震</v>
      </c>
      <c r="J2125" s="1" t="str">
        <f t="shared" si="1024"/>
        <v>天津华恒汽车部件有限公司</v>
      </c>
    </row>
    <row r="2126" spans="1:10">
      <c r="A2126" s="1" t="str">
        <f t="shared" si="1022"/>
        <v>天津华恒汽车部件有限公司</v>
      </c>
      <c r="B2126" s="1" t="str">
        <f>"一种改进的控制阀过滤器"</f>
        <v>一种改进的控制阀过滤器</v>
      </c>
      <c r="C2126" s="1" t="str">
        <f t="shared" si="1039"/>
        <v>实用新型</v>
      </c>
      <c r="D2126" s="1" t="str">
        <f t="shared" si="1040"/>
        <v>未缴年费专利权终止</v>
      </c>
      <c r="E2126" s="1" t="str">
        <f>"CN201720343952.2"</f>
        <v>CN201720343952.2</v>
      </c>
      <c r="F2126" s="1" t="str">
        <f t="shared" si="1045"/>
        <v>2017-04-04</v>
      </c>
      <c r="G2126" s="1" t="str">
        <f>"CN206676075U"</f>
        <v>CN206676075U</v>
      </c>
      <c r="H2126" s="1" t="str">
        <f t="shared" si="1046"/>
        <v>2017-11-28</v>
      </c>
      <c r="I2126" s="1" t="str">
        <f t="shared" si="1044"/>
        <v>董学震</v>
      </c>
      <c r="J2126" s="1" t="str">
        <f t="shared" si="1024"/>
        <v>天津华恒汽车部件有限公司</v>
      </c>
    </row>
    <row r="2127" spans="1:10">
      <c r="A2127" s="1" t="str">
        <f t="shared" si="1022"/>
        <v>天津华恒汽车部件有限公司</v>
      </c>
      <c r="B2127" s="1" t="str">
        <f>"一种新型组合吊耳"</f>
        <v>一种新型组合吊耳</v>
      </c>
      <c r="C2127" s="1" t="str">
        <f t="shared" si="1039"/>
        <v>实用新型</v>
      </c>
      <c r="D2127" s="1" t="str">
        <f t="shared" si="1040"/>
        <v>未缴年费专利权终止</v>
      </c>
      <c r="E2127" s="1" t="str">
        <f>"CN201720343935.9"</f>
        <v>CN201720343935.9</v>
      </c>
      <c r="F2127" s="1" t="str">
        <f t="shared" si="1045"/>
        <v>2017-04-04</v>
      </c>
      <c r="G2127" s="1" t="str">
        <f>"CN206680052U"</f>
        <v>CN206680052U</v>
      </c>
      <c r="H2127" s="1" t="str">
        <f t="shared" si="1046"/>
        <v>2017-11-28</v>
      </c>
      <c r="I2127" s="1" t="str">
        <f t="shared" si="1044"/>
        <v>董学震</v>
      </c>
      <c r="J2127" s="1" t="str">
        <f t="shared" si="1024"/>
        <v>天津华恒汽车部件有限公司</v>
      </c>
    </row>
    <row r="2128" spans="1:10">
      <c r="A2128" s="1" t="str">
        <f t="shared" ref="A2128:A2142" si="1047">"天津先众汽车部件有限公司"</f>
        <v>天津先众汽车部件有限公司</v>
      </c>
      <c r="B2128" s="1" t="str">
        <f>"一种用于汽车零部件的清洗装置"</f>
        <v>一种用于汽车零部件的清洗装置</v>
      </c>
      <c r="C2128" s="1" t="str">
        <f t="shared" si="1039"/>
        <v>实用新型</v>
      </c>
      <c r="D2128" s="1" t="str">
        <f t="shared" si="1040"/>
        <v>未缴年费专利权终止</v>
      </c>
      <c r="E2128" s="1" t="str">
        <f>"CN202022286193.5"</f>
        <v>CN202022286193.5</v>
      </c>
      <c r="F2128" s="1" t="str">
        <f>"2020-10-14"</f>
        <v>2020-10-14</v>
      </c>
      <c r="G2128" s="1" t="str">
        <f>"CN213944030U"</f>
        <v>CN213944030U</v>
      </c>
      <c r="H2128" s="1" t="str">
        <f>"2021-08-13"</f>
        <v>2021-08-13</v>
      </c>
      <c r="I2128" s="1" t="str">
        <f>"李春花"</f>
        <v>李春花</v>
      </c>
      <c r="J2128" s="1" t="str">
        <f t="shared" ref="J2128:J2142" si="1048">"天津先众汽车部件有限公司"</f>
        <v>天津先众汽车部件有限公司</v>
      </c>
    </row>
    <row r="2129" spans="1:10">
      <c r="A2129" s="1" t="str">
        <f t="shared" si="1047"/>
        <v>天津先众汽车部件有限公司</v>
      </c>
      <c r="B2129" s="1" t="str">
        <f>"一种针对氧化槽药剂补充用支架机构"</f>
        <v>一种针对氧化槽药剂补充用支架机构</v>
      </c>
      <c r="C2129" s="1" t="str">
        <f t="shared" si="1039"/>
        <v>实用新型</v>
      </c>
      <c r="D2129" s="1" t="str">
        <f t="shared" si="1040"/>
        <v>未缴年费专利权终止</v>
      </c>
      <c r="E2129" s="1" t="str">
        <f>"CN202021015473.6"</f>
        <v>CN202021015473.6</v>
      </c>
      <c r="F2129" s="1" t="str">
        <f t="shared" ref="F2129:F2133" si="1049">"2020-06-05"</f>
        <v>2020-06-05</v>
      </c>
      <c r="G2129" s="1" t="str">
        <f>"CN212596835U"</f>
        <v>CN212596835U</v>
      </c>
      <c r="H2129" s="1" t="str">
        <f>"2021-02-26"</f>
        <v>2021-02-26</v>
      </c>
      <c r="I2129" s="1" t="str">
        <f>"赵帅"</f>
        <v>赵帅</v>
      </c>
      <c r="J2129" s="1" t="str">
        <f t="shared" si="1048"/>
        <v>天津先众汽车部件有限公司</v>
      </c>
    </row>
    <row r="2130" spans="1:10">
      <c r="A2130" s="1" t="str">
        <f t="shared" si="1047"/>
        <v>天津先众汽车部件有限公司</v>
      </c>
      <c r="B2130" s="1" t="str">
        <f>"一种零部件的烘干系统"</f>
        <v>一种零部件的烘干系统</v>
      </c>
      <c r="C2130" s="1" t="str">
        <f t="shared" si="1039"/>
        <v>实用新型</v>
      </c>
      <c r="D2130" s="1" t="str">
        <f t="shared" si="1040"/>
        <v>未缴年费专利权终止</v>
      </c>
      <c r="E2130" s="1" t="str">
        <f>"CN202020895488.X"</f>
        <v>CN202020895488.X</v>
      </c>
      <c r="F2130" s="1" t="str">
        <f>"2020-05-25"</f>
        <v>2020-05-25</v>
      </c>
      <c r="G2130" s="1" t="str">
        <f>"CN212566598U"</f>
        <v>CN212566598U</v>
      </c>
      <c r="H2130" s="1" t="str">
        <f>"2021-02-19"</f>
        <v>2021-02-19</v>
      </c>
      <c r="I2130" s="1" t="str">
        <f>"不公告发明人"</f>
        <v>不公告发明人</v>
      </c>
      <c r="J2130" s="1" t="str">
        <f t="shared" si="1048"/>
        <v>天津先众汽车部件有限公司</v>
      </c>
    </row>
    <row r="2131" spans="1:10">
      <c r="A2131" s="1" t="str">
        <f t="shared" si="1047"/>
        <v>天津先众汽车部件有限公司</v>
      </c>
      <c r="B2131" s="1" t="str">
        <f>"一种用于DQ400变速箱端盖阳极氧化的挂具"</f>
        <v>一种用于DQ400变速箱端盖阳极氧化的挂具</v>
      </c>
      <c r="C2131" s="1" t="str">
        <f t="shared" si="1039"/>
        <v>实用新型</v>
      </c>
      <c r="D2131" s="1" t="str">
        <f t="shared" si="1040"/>
        <v>未缴年费专利权终止</v>
      </c>
      <c r="E2131" s="1" t="str">
        <f>"CN201921195811.6"</f>
        <v>CN201921195811.6</v>
      </c>
      <c r="F2131" s="1" t="str">
        <f>"2019-07-28"</f>
        <v>2019-07-28</v>
      </c>
      <c r="G2131" s="1" t="str">
        <f>"CN212388131U"</f>
        <v>CN212388131U</v>
      </c>
      <c r="H2131" s="1" t="str">
        <f>"2021-01-22"</f>
        <v>2021-01-22</v>
      </c>
      <c r="I2131" s="1" t="str">
        <f t="shared" ref="I2131:I2133" si="1050">"陈明"</f>
        <v>陈明</v>
      </c>
      <c r="J2131" s="1" t="str">
        <f t="shared" si="1048"/>
        <v>天津先众汽车部件有限公司</v>
      </c>
    </row>
    <row r="2132" spans="1:10">
      <c r="A2132" s="1" t="str">
        <f t="shared" si="1047"/>
        <v>天津先众汽车部件有限公司</v>
      </c>
      <c r="B2132" s="1" t="str">
        <f>"一种针对出口油泵壳体复合镀层的挂装机构"</f>
        <v>一种针对出口油泵壳体复合镀层的挂装机构</v>
      </c>
      <c r="C2132" s="1" t="str">
        <f t="shared" si="1039"/>
        <v>实用新型</v>
      </c>
      <c r="D2132" s="1" t="str">
        <f t="shared" si="1040"/>
        <v>未缴年费专利权终止</v>
      </c>
      <c r="E2132" s="1" t="str">
        <f>"CN202021015460.9"</f>
        <v>CN202021015460.9</v>
      </c>
      <c r="F2132" s="1" t="str">
        <f t="shared" si="1049"/>
        <v>2020-06-05</v>
      </c>
      <c r="G2132" s="1" t="str">
        <f>"CN212287372U"</f>
        <v>CN212287372U</v>
      </c>
      <c r="H2132" s="1" t="str">
        <f>"2021-01-05"</f>
        <v>2021-01-05</v>
      </c>
      <c r="I2132" s="1" t="str">
        <f t="shared" si="1050"/>
        <v>陈明</v>
      </c>
      <c r="J2132" s="1" t="str">
        <f t="shared" si="1048"/>
        <v>天津先众汽车部件有限公司</v>
      </c>
    </row>
    <row r="2133" spans="1:10">
      <c r="A2133" s="1" t="str">
        <f t="shared" si="1047"/>
        <v>天津先众汽车部件有限公司</v>
      </c>
      <c r="B2133" s="1" t="str">
        <f>"一种针对汽车水泵阀体硬质阳极氧化的挂具机构"</f>
        <v>一种针对汽车水泵阀体硬质阳极氧化的挂具机构</v>
      </c>
      <c r="C2133" s="1" t="str">
        <f t="shared" si="1039"/>
        <v>实用新型</v>
      </c>
      <c r="D2133" s="1" t="str">
        <f t="shared" si="1040"/>
        <v>未缴年费专利权终止</v>
      </c>
      <c r="E2133" s="1" t="str">
        <f>"CN202021015458.1"</f>
        <v>CN202021015458.1</v>
      </c>
      <c r="F2133" s="1" t="str">
        <f t="shared" si="1049"/>
        <v>2020-06-05</v>
      </c>
      <c r="G2133" s="1" t="str">
        <f>"CN212293795U"</f>
        <v>CN212293795U</v>
      </c>
      <c r="H2133" s="1" t="str">
        <f>"2021-01-05"</f>
        <v>2021-01-05</v>
      </c>
      <c r="I2133" s="1" t="str">
        <f t="shared" si="1050"/>
        <v>陈明</v>
      </c>
      <c r="J2133" s="1" t="str">
        <f t="shared" si="1048"/>
        <v>天津先众汽车部件有限公司</v>
      </c>
    </row>
    <row r="2134" spans="1:10">
      <c r="A2134" s="1" t="str">
        <f t="shared" si="1047"/>
        <v>天津先众汽车部件有限公司</v>
      </c>
      <c r="B2134" s="1" t="str">
        <f>"一种基于五金零部件清洗用浮油处理装置"</f>
        <v>一种基于五金零部件清洗用浮油处理装置</v>
      </c>
      <c r="C2134" s="1" t="str">
        <f t="shared" si="1039"/>
        <v>实用新型</v>
      </c>
      <c r="D2134" s="1" t="str">
        <f t="shared" si="1040"/>
        <v>未缴年费专利权终止</v>
      </c>
      <c r="E2134" s="1" t="str">
        <f>"CN201921727039.8"</f>
        <v>CN201921727039.8</v>
      </c>
      <c r="F2134" s="1" t="str">
        <f>"2019-10-15"</f>
        <v>2019-10-15</v>
      </c>
      <c r="G2134" s="1" t="str">
        <f>"CN211813718U"</f>
        <v>CN211813718U</v>
      </c>
      <c r="H2134" s="1" t="str">
        <f>"2020-10-30"</f>
        <v>2020-10-30</v>
      </c>
      <c r="I2134" s="1" t="str">
        <f>"刘兴芝"</f>
        <v>刘兴芝</v>
      </c>
      <c r="J2134" s="1" t="str">
        <f t="shared" si="1048"/>
        <v>天津先众汽车部件有限公司</v>
      </c>
    </row>
    <row r="2135" spans="1:10">
      <c r="A2135" s="1" t="str">
        <f t="shared" si="1047"/>
        <v>天津先众汽车部件有限公司</v>
      </c>
      <c r="B2135" s="1" t="str">
        <f>"一种汽车配件阳极氧化清洗装置"</f>
        <v>一种汽车配件阳极氧化清洗装置</v>
      </c>
      <c r="C2135" s="1" t="str">
        <f t="shared" si="1039"/>
        <v>实用新型</v>
      </c>
      <c r="D2135" s="1" t="str">
        <f t="shared" si="1040"/>
        <v>未缴年费专利权终止</v>
      </c>
      <c r="E2135" s="1" t="str">
        <f>"CN201922111139.4"</f>
        <v>CN201922111139.4</v>
      </c>
      <c r="F2135" s="1" t="str">
        <f>"2019-11-30"</f>
        <v>2019-11-30</v>
      </c>
      <c r="G2135" s="1" t="str">
        <f>"CN211563984U"</f>
        <v>CN211563984U</v>
      </c>
      <c r="H2135" s="1" t="str">
        <f>"2020-09-25"</f>
        <v>2020-09-25</v>
      </c>
      <c r="I2135" s="1" t="str">
        <f>"陈帅帅"</f>
        <v>陈帅帅</v>
      </c>
      <c r="J2135" s="1" t="str">
        <f t="shared" si="1048"/>
        <v>天津先众汽车部件有限公司</v>
      </c>
    </row>
    <row r="2136" spans="1:10">
      <c r="A2136" s="1" t="str">
        <f t="shared" si="1047"/>
        <v>天津先众汽车部件有限公司</v>
      </c>
      <c r="B2136" s="1" t="str">
        <f>"一种风力发电减速机衬套化学镀镍挂架"</f>
        <v>一种风力发电减速机衬套化学镀镍挂架</v>
      </c>
      <c r="C2136" s="1" t="str">
        <f t="shared" si="1039"/>
        <v>实用新型</v>
      </c>
      <c r="D2136" s="1" t="str">
        <f t="shared" si="1040"/>
        <v>未缴年费专利权终止</v>
      </c>
      <c r="E2136" s="1" t="str">
        <f>"CN201921353719.8"</f>
        <v>CN201921353719.8</v>
      </c>
      <c r="F2136" s="1" t="str">
        <f>"2019-08-20"</f>
        <v>2019-08-20</v>
      </c>
      <c r="G2136" s="1" t="str">
        <f>"CN211256087U"</f>
        <v>CN211256087U</v>
      </c>
      <c r="H2136" s="1" t="str">
        <f>"2020-08-14"</f>
        <v>2020-08-14</v>
      </c>
      <c r="I2136" s="1" t="str">
        <f t="shared" ref="I2136:I2142" si="1051">"陈明"</f>
        <v>陈明</v>
      </c>
      <c r="J2136" s="1" t="str">
        <f t="shared" si="1048"/>
        <v>天津先众汽车部件有限公司</v>
      </c>
    </row>
    <row r="2137" spans="1:10">
      <c r="A2137" s="1" t="str">
        <f t="shared" si="1047"/>
        <v>天津先众汽车部件有限公司</v>
      </c>
      <c r="B2137" s="1" t="str">
        <f>"一种用于铝挤压板材阳极氧化的挂具"</f>
        <v>一种用于铝挤压板材阳极氧化的挂具</v>
      </c>
      <c r="C2137" s="1" t="str">
        <f t="shared" si="1039"/>
        <v>实用新型</v>
      </c>
      <c r="D2137" s="1" t="str">
        <f t="shared" si="1040"/>
        <v>未缴年费专利权终止</v>
      </c>
      <c r="E2137" s="1" t="str">
        <f>"CN201921195812.0"</f>
        <v>CN201921195812.0</v>
      </c>
      <c r="F2137" s="1" t="str">
        <f t="shared" ref="F2137:F2142" si="1052">"2019-07-28"</f>
        <v>2019-07-28</v>
      </c>
      <c r="G2137" s="1" t="str">
        <f>"CN210287556U"</f>
        <v>CN210287556U</v>
      </c>
      <c r="H2137" s="1" t="str">
        <f t="shared" ref="H2137:H2139" si="1053">"2020-04-10"</f>
        <v>2020-04-10</v>
      </c>
      <c r="I2137" s="1" t="str">
        <f t="shared" si="1051"/>
        <v>陈明</v>
      </c>
      <c r="J2137" s="1" t="str">
        <f t="shared" si="1048"/>
        <v>天津先众汽车部件有限公司</v>
      </c>
    </row>
    <row r="2138" spans="1:10">
      <c r="A2138" s="1" t="str">
        <f t="shared" si="1047"/>
        <v>天津先众汽车部件有限公司</v>
      </c>
      <c r="B2138" s="1" t="str">
        <f>"一种热风循环的氧化铝烘干箱"</f>
        <v>一种热风循环的氧化铝烘干箱</v>
      </c>
      <c r="C2138" s="1" t="str">
        <f t="shared" si="1039"/>
        <v>实用新型</v>
      </c>
      <c r="D2138" s="1" t="str">
        <f t="shared" si="1040"/>
        <v>未缴年费专利权终止</v>
      </c>
      <c r="E2138" s="1" t="str">
        <f>"CN201921195807.X"</f>
        <v>CN201921195807.X</v>
      </c>
      <c r="F2138" s="1" t="str">
        <f t="shared" si="1052"/>
        <v>2019-07-28</v>
      </c>
      <c r="G2138" s="1" t="str">
        <f>"CN210292588U"</f>
        <v>CN210292588U</v>
      </c>
      <c r="H2138" s="1" t="str">
        <f t="shared" si="1053"/>
        <v>2020-04-10</v>
      </c>
      <c r="I2138" s="1" t="str">
        <f t="shared" si="1051"/>
        <v>陈明</v>
      </c>
      <c r="J2138" s="1" t="str">
        <f t="shared" si="1048"/>
        <v>天津先众汽车部件有限公司</v>
      </c>
    </row>
    <row r="2139" spans="1:10">
      <c r="A2139" s="1" t="str">
        <f t="shared" si="1047"/>
        <v>天津先众汽车部件有限公司</v>
      </c>
      <c r="B2139" s="1" t="str">
        <f>"一种用于刹车泵铝卡钳阳极氧化的挂具"</f>
        <v>一种用于刹车泵铝卡钳阳极氧化的挂具</v>
      </c>
      <c r="C2139" s="1" t="str">
        <f t="shared" si="1039"/>
        <v>实用新型</v>
      </c>
      <c r="D2139" s="1" t="str">
        <f t="shared" si="1040"/>
        <v>未缴年费专利权终止</v>
      </c>
      <c r="E2139" s="1" t="str">
        <f>"CN201921195803.1"</f>
        <v>CN201921195803.1</v>
      </c>
      <c r="F2139" s="1" t="str">
        <f t="shared" si="1052"/>
        <v>2019-07-28</v>
      </c>
      <c r="G2139" s="1" t="str">
        <f>"CN210287555U"</f>
        <v>CN210287555U</v>
      </c>
      <c r="H2139" s="1" t="str">
        <f t="shared" si="1053"/>
        <v>2020-04-10</v>
      </c>
      <c r="I2139" s="1" t="str">
        <f t="shared" si="1051"/>
        <v>陈明</v>
      </c>
      <c r="J2139" s="1" t="str">
        <f t="shared" si="1048"/>
        <v>天津先众汽车部件有限公司</v>
      </c>
    </row>
    <row r="2140" spans="1:10">
      <c r="A2140" s="1" t="str">
        <f t="shared" si="1047"/>
        <v>天津先众汽车部件有限公司</v>
      </c>
      <c r="B2140" s="1" t="str">
        <f>"一种用于齿轮油泵泵体复合镀层的挂装结构"</f>
        <v>一种用于齿轮油泵泵体复合镀层的挂装结构</v>
      </c>
      <c r="C2140" s="1" t="str">
        <f t="shared" si="1039"/>
        <v>实用新型</v>
      </c>
      <c r="D2140" s="1" t="str">
        <f t="shared" si="1040"/>
        <v>未缴年费专利权终止</v>
      </c>
      <c r="E2140" s="1" t="str">
        <f>"CN201921195806.5"</f>
        <v>CN201921195806.5</v>
      </c>
      <c r="F2140" s="1" t="str">
        <f t="shared" si="1052"/>
        <v>2019-07-28</v>
      </c>
      <c r="G2140" s="1" t="str">
        <f>"CN210261995U"</f>
        <v>CN210261995U</v>
      </c>
      <c r="H2140" s="1" t="str">
        <f>"2020-04-07"</f>
        <v>2020-04-07</v>
      </c>
      <c r="I2140" s="1" t="str">
        <f t="shared" si="1051"/>
        <v>陈明</v>
      </c>
      <c r="J2140" s="1" t="str">
        <f t="shared" si="1048"/>
        <v>天津先众汽车部件有限公司</v>
      </c>
    </row>
    <row r="2141" spans="1:10">
      <c r="A2141" s="1" t="str">
        <f t="shared" si="1047"/>
        <v>天津先众汽车部件有限公司</v>
      </c>
      <c r="B2141" s="1" t="str">
        <f>"一种用于执行器硬质阳极氧化的挂具"</f>
        <v>一种用于执行器硬质阳极氧化的挂具</v>
      </c>
      <c r="C2141" s="1" t="str">
        <f t="shared" si="1039"/>
        <v>实用新型</v>
      </c>
      <c r="D2141" s="1" t="str">
        <f t="shared" si="1040"/>
        <v>未缴年费专利权终止</v>
      </c>
      <c r="E2141" s="1" t="str">
        <f>"CN201921195800.8"</f>
        <v>CN201921195800.8</v>
      </c>
      <c r="F2141" s="1" t="str">
        <f t="shared" si="1052"/>
        <v>2019-07-28</v>
      </c>
      <c r="G2141" s="1" t="str">
        <f>"CN210237812U"</f>
        <v>CN210237812U</v>
      </c>
      <c r="H2141" s="1" t="str">
        <f>"2020-04-03"</f>
        <v>2020-04-03</v>
      </c>
      <c r="I2141" s="1" t="str">
        <f t="shared" si="1051"/>
        <v>陈明</v>
      </c>
      <c r="J2141" s="1" t="str">
        <f t="shared" si="1048"/>
        <v>天津先众汽车部件有限公司</v>
      </c>
    </row>
    <row r="2142" spans="1:10">
      <c r="A2142" s="1" t="str">
        <f t="shared" si="1047"/>
        <v>天津先众汽车部件有限公司</v>
      </c>
      <c r="B2142" s="1" t="str">
        <f>"一种用于刹车泵泵体阳极氧化的挂具"</f>
        <v>一种用于刹车泵泵体阳极氧化的挂具</v>
      </c>
      <c r="C2142" s="1" t="str">
        <f t="shared" si="1039"/>
        <v>实用新型</v>
      </c>
      <c r="D2142" s="1" t="str">
        <f t="shared" si="1040"/>
        <v>未缴年费专利权终止</v>
      </c>
      <c r="E2142" s="1" t="str">
        <f>"CN201921195799.9"</f>
        <v>CN201921195799.9</v>
      </c>
      <c r="F2142" s="1" t="str">
        <f t="shared" si="1052"/>
        <v>2019-07-28</v>
      </c>
      <c r="G2142" s="1" t="str">
        <f>"CN210237815U"</f>
        <v>CN210237815U</v>
      </c>
      <c r="H2142" s="1" t="str">
        <f>"2020-04-03"</f>
        <v>2020-04-03</v>
      </c>
      <c r="I2142" s="1" t="str">
        <f t="shared" si="1051"/>
        <v>陈明</v>
      </c>
      <c r="J2142" s="1" t="str">
        <f t="shared" si="1048"/>
        <v>天津先众汽车部件有限公司</v>
      </c>
    </row>
    <row r="2143" spans="1:10">
      <c r="A2143" s="1" t="str">
        <f>"天津瑞格尔汽车用品有限公司"</f>
        <v>天津瑞格尔汽车用品有限公司</v>
      </c>
      <c r="B2143" s="1" t="str">
        <f>"一种具有车内空气滤清及除异味功能的汽车椅垫"</f>
        <v>一种具有车内空气滤清及除异味功能的汽车椅垫</v>
      </c>
      <c r="C2143" s="1" t="str">
        <f t="shared" si="1039"/>
        <v>实用新型</v>
      </c>
      <c r="D2143" s="1" t="str">
        <f t="shared" si="1040"/>
        <v>未缴年费专利权终止</v>
      </c>
      <c r="E2143" s="1" t="str">
        <f>"CN201921466823.8"</f>
        <v>CN201921466823.8</v>
      </c>
      <c r="F2143" s="1" t="str">
        <f>"2019-09-05"</f>
        <v>2019-09-05</v>
      </c>
      <c r="G2143" s="1" t="str">
        <f>"CN210792905U"</f>
        <v>CN210792905U</v>
      </c>
      <c r="H2143" s="1" t="str">
        <f>"2020-06-19"</f>
        <v>2020-06-19</v>
      </c>
      <c r="I2143" s="1" t="str">
        <f>"林崇茂"</f>
        <v>林崇茂</v>
      </c>
      <c r="J2143" s="1" t="str">
        <f>"天津瑞格尔汽车用品有限公司"</f>
        <v>天津瑞格尔汽车用品有限公司</v>
      </c>
    </row>
    <row r="2144" spans="1:10">
      <c r="A2144" s="1" t="str">
        <f>"天津盛洋汽车部件厂"</f>
        <v>天津盛洋汽车部件厂</v>
      </c>
      <c r="B2144" s="1" t="str">
        <f>"汽车电动门锁控制器"</f>
        <v>汽车电动门锁控制器</v>
      </c>
      <c r="C2144" s="1" t="str">
        <f t="shared" si="1039"/>
        <v>实用新型</v>
      </c>
      <c r="D2144" s="1" t="str">
        <f t="shared" si="1040"/>
        <v>未缴年费专利权终止</v>
      </c>
      <c r="E2144" s="1" t="str">
        <f>"CN200420028360.4"</f>
        <v>CN200420028360.4</v>
      </c>
      <c r="F2144" s="1" t="str">
        <f>"2004-02-16"</f>
        <v>2004-02-16</v>
      </c>
      <c r="G2144" s="1" t="str">
        <f>"CN2678975"</f>
        <v>CN2678975</v>
      </c>
      <c r="H2144" s="1" t="str">
        <f>"2005-02-16"</f>
        <v>2005-02-16</v>
      </c>
      <c r="I2144" s="1" t="s">
        <v>5082</v>
      </c>
      <c r="J2144" s="1" t="str">
        <f>"天津盛洋汽车部件厂"</f>
        <v>天津盛洋汽车部件厂</v>
      </c>
    </row>
    <row r="2145" spans="1:10">
      <c r="A2145" s="1" t="str">
        <f t="shared" ref="A2145:A2150" si="1054">"天津市荣昌汽车灯具有限公司"</f>
        <v>天津市荣昌汽车灯具有限公司</v>
      </c>
      <c r="B2145" s="1" t="str">
        <f>"一种汽车饰件注塑件转运架"</f>
        <v>一种汽车饰件注塑件转运架</v>
      </c>
      <c r="C2145" s="1" t="str">
        <f t="shared" si="1039"/>
        <v>实用新型</v>
      </c>
      <c r="D2145" s="1" t="str">
        <f t="shared" ref="D2145:D2147" si="1055">"授权"</f>
        <v>授权</v>
      </c>
      <c r="E2145" s="1" t="str">
        <f>"CN202421469141.3"</f>
        <v>CN202421469141.3</v>
      </c>
      <c r="F2145" s="1" t="str">
        <f>"2024-06-26"</f>
        <v>2024-06-26</v>
      </c>
      <c r="G2145" s="1" t="str">
        <f>"CN223015168U"</f>
        <v>CN223015168U</v>
      </c>
      <c r="H2145" s="1" t="str">
        <f>"2025-06-24"</f>
        <v>2025-06-24</v>
      </c>
      <c r="I2145" s="1" t="str">
        <f>"高凤安"</f>
        <v>高凤安</v>
      </c>
      <c r="J2145" s="1" t="str">
        <f t="shared" ref="J2145:J2150" si="1056">"天津市荣昌汽车灯具有限公司"</f>
        <v>天津市荣昌汽车灯具有限公司</v>
      </c>
    </row>
    <row r="2146" spans="1:10">
      <c r="A2146" s="1" t="str">
        <f t="shared" si="1054"/>
        <v>天津市荣昌汽车灯具有限公司</v>
      </c>
      <c r="B2146" s="1" t="str">
        <f>"一种用于汽车注塑件生产的注塑机用注塑螺杆"</f>
        <v>一种用于汽车注塑件生产的注塑机用注塑螺杆</v>
      </c>
      <c r="C2146" s="1" t="str">
        <f t="shared" si="1039"/>
        <v>实用新型</v>
      </c>
      <c r="D2146" s="1" t="str">
        <f t="shared" si="1055"/>
        <v>授权</v>
      </c>
      <c r="E2146" s="1" t="str">
        <f>"CN202420537284.7"</f>
        <v>CN202420537284.7</v>
      </c>
      <c r="F2146" s="1" t="str">
        <f>"2024-03-20"</f>
        <v>2024-03-20</v>
      </c>
      <c r="G2146" s="1" t="str">
        <f>"CN221985756U"</f>
        <v>CN221985756U</v>
      </c>
      <c r="H2146" s="1" t="str">
        <f>"2024-11-12"</f>
        <v>2024-11-12</v>
      </c>
      <c r="I2146" s="1" t="str">
        <f>"高凤安"</f>
        <v>高凤安</v>
      </c>
      <c r="J2146" s="1" t="str">
        <f t="shared" si="1056"/>
        <v>天津市荣昌汽车灯具有限公司</v>
      </c>
    </row>
    <row r="2147" spans="1:10">
      <c r="A2147" s="1" t="str">
        <f t="shared" si="1054"/>
        <v>天津市荣昌汽车灯具有限公司</v>
      </c>
      <c r="B2147" s="1" t="str">
        <f>"一种注塑机防堵注塑嘴"</f>
        <v>一种注塑机防堵注塑嘴</v>
      </c>
      <c r="C2147" s="1" t="str">
        <f t="shared" si="1039"/>
        <v>实用新型</v>
      </c>
      <c r="D2147" s="1" t="str">
        <f t="shared" si="1055"/>
        <v>授权</v>
      </c>
      <c r="E2147" s="1" t="str">
        <f>"CN202420045860.6"</f>
        <v>CN202420045860.6</v>
      </c>
      <c r="F2147" s="1" t="str">
        <f>"2024-01-09"</f>
        <v>2024-01-09</v>
      </c>
      <c r="G2147" s="1" t="str">
        <f>"CN221985691U"</f>
        <v>CN221985691U</v>
      </c>
      <c r="H2147" s="1" t="str">
        <f>"2024-11-12"</f>
        <v>2024-11-12</v>
      </c>
      <c r="I2147" s="1" t="str">
        <f>"马文革"</f>
        <v>马文革</v>
      </c>
      <c r="J2147" s="1" t="str">
        <f t="shared" si="1056"/>
        <v>天津市荣昌汽车灯具有限公司</v>
      </c>
    </row>
    <row r="2148" spans="1:10">
      <c r="A2148" s="1" t="str">
        <f t="shared" si="1054"/>
        <v>天津市荣昌汽车灯具有限公司</v>
      </c>
      <c r="B2148" s="1" t="str">
        <f>"一种注塑机下料用吸盘手"</f>
        <v>一种注塑机下料用吸盘手</v>
      </c>
      <c r="C2148" s="1" t="str">
        <f t="shared" si="1039"/>
        <v>实用新型</v>
      </c>
      <c r="D2148" s="1" t="str">
        <f t="shared" ref="D2148:D2154" si="1057">"未缴年费专利权终止"</f>
        <v>未缴年费专利权终止</v>
      </c>
      <c r="E2148" s="1" t="str">
        <f>"CN202322143729.1"</f>
        <v>CN202322143729.1</v>
      </c>
      <c r="F2148" s="1" t="str">
        <f>"2023-08-10"</f>
        <v>2023-08-10</v>
      </c>
      <c r="G2148" s="1" t="str">
        <f>"CN220742020U"</f>
        <v>CN220742020U</v>
      </c>
      <c r="H2148" s="1" t="str">
        <f>"2024-04-09"</f>
        <v>2024-04-09</v>
      </c>
      <c r="I2148" s="1" t="str">
        <f>"马文革"</f>
        <v>马文革</v>
      </c>
      <c r="J2148" s="1" t="str">
        <f t="shared" si="1056"/>
        <v>天津市荣昌汽车灯具有限公司</v>
      </c>
    </row>
    <row r="2149" spans="1:10">
      <c r="A2149" s="1" t="str">
        <f t="shared" si="1054"/>
        <v>天津市荣昌汽车灯具有限公司</v>
      </c>
      <c r="B2149" s="1" t="str">
        <f>"一种便于卸模的汽车模具"</f>
        <v>一种便于卸模的汽车模具</v>
      </c>
      <c r="C2149" s="1" t="str">
        <f t="shared" si="1039"/>
        <v>实用新型</v>
      </c>
      <c r="D2149" s="1" t="str">
        <f t="shared" si="1057"/>
        <v>未缴年费专利权终止</v>
      </c>
      <c r="E2149" s="1" t="str">
        <f>"CN201822216178.6"</f>
        <v>CN201822216178.6</v>
      </c>
      <c r="F2149" s="1" t="str">
        <f>"2018-12-27"</f>
        <v>2018-12-27</v>
      </c>
      <c r="G2149" s="1" t="str">
        <f>"CN209633629U"</f>
        <v>CN209633629U</v>
      </c>
      <c r="H2149" s="1" t="str">
        <f>"2019-11-15"</f>
        <v>2019-11-15</v>
      </c>
      <c r="I2149" s="1" t="str">
        <f>"李长忠"</f>
        <v>李长忠</v>
      </c>
      <c r="J2149" s="1" t="str">
        <f t="shared" si="1056"/>
        <v>天津市荣昌汽车灯具有限公司</v>
      </c>
    </row>
    <row r="2150" spans="1:10">
      <c r="A2150" s="1" t="str">
        <f t="shared" si="1054"/>
        <v>天津市荣昌汽车灯具有限公司</v>
      </c>
      <c r="B2150" s="1" t="str">
        <f>"一种带起吊装置的汽车模具"</f>
        <v>一种带起吊装置的汽车模具</v>
      </c>
      <c r="C2150" s="1" t="str">
        <f t="shared" si="1039"/>
        <v>实用新型</v>
      </c>
      <c r="D2150" s="1" t="str">
        <f t="shared" si="1057"/>
        <v>未缴年费专利权终止</v>
      </c>
      <c r="E2150" s="1" t="str">
        <f>"CN201822162519.6"</f>
        <v>CN201822162519.6</v>
      </c>
      <c r="F2150" s="1" t="str">
        <f>"2018-12-23"</f>
        <v>2018-12-23</v>
      </c>
      <c r="G2150" s="1" t="str">
        <f>"CN209633647U"</f>
        <v>CN209633647U</v>
      </c>
      <c r="H2150" s="1" t="str">
        <f>"2019-11-15"</f>
        <v>2019-11-15</v>
      </c>
      <c r="I2150" s="1" t="str">
        <f>"李长忠"</f>
        <v>李长忠</v>
      </c>
      <c r="J2150" s="1" t="str">
        <f t="shared" si="1056"/>
        <v>天津市荣昌汽车灯具有限公司</v>
      </c>
    </row>
    <row r="2151" spans="1:10">
      <c r="A2151" s="1" t="str">
        <f t="shared" ref="A2151:A2153" si="1058">"天津市赛奥德汽车零部件有限公司"</f>
        <v>天津市赛奥德汽车零部件有限公司</v>
      </c>
      <c r="B2151" s="1" t="str">
        <f>"汽车空气净化器"</f>
        <v>汽车空气净化器</v>
      </c>
      <c r="C2151" s="1" t="str">
        <f t="shared" si="1039"/>
        <v>实用新型</v>
      </c>
      <c r="D2151" s="1" t="str">
        <f t="shared" si="1057"/>
        <v>未缴年费专利权终止</v>
      </c>
      <c r="E2151" s="1" t="str">
        <f>"CN201320159464.8"</f>
        <v>CN201320159464.8</v>
      </c>
      <c r="F2151" s="1" t="str">
        <f t="shared" ref="F2151:F2153" si="1059">"2013-04-02"</f>
        <v>2013-04-02</v>
      </c>
      <c r="G2151" s="1" t="str">
        <f>"CN203186040U"</f>
        <v>CN203186040U</v>
      </c>
      <c r="H2151" s="1" t="str">
        <f t="shared" ref="H2151:H2153" si="1060">"2013-09-11"</f>
        <v>2013-09-11</v>
      </c>
      <c r="I2151" s="1" t="str">
        <f t="shared" ref="I2151:I2153" si="1061">"贾成忠"</f>
        <v>贾成忠</v>
      </c>
      <c r="J2151" s="1" t="str">
        <f t="shared" ref="J2151:J2153" si="1062">"天津市赛奥德工贸有限公司"</f>
        <v>天津市赛奥德工贸有限公司</v>
      </c>
    </row>
    <row r="2152" spans="1:10">
      <c r="A2152" s="1" t="str">
        <f t="shared" si="1058"/>
        <v>天津市赛奥德汽车零部件有限公司</v>
      </c>
      <c r="B2152" s="1" t="str">
        <f>"单侧反光公路道钉"</f>
        <v>单侧反光公路道钉</v>
      </c>
      <c r="C2152" s="1" t="str">
        <f t="shared" si="1039"/>
        <v>实用新型</v>
      </c>
      <c r="D2152" s="1" t="str">
        <f t="shared" si="1057"/>
        <v>未缴年费专利权终止</v>
      </c>
      <c r="E2152" s="1" t="str">
        <f>"CN201320161062.1"</f>
        <v>CN201320161062.1</v>
      </c>
      <c r="F2152" s="1" t="str">
        <f t="shared" si="1059"/>
        <v>2013-04-02</v>
      </c>
      <c r="G2152" s="1" t="str">
        <f>"CN203188141U"</f>
        <v>CN203188141U</v>
      </c>
      <c r="H2152" s="1" t="str">
        <f t="shared" si="1060"/>
        <v>2013-09-11</v>
      </c>
      <c r="I2152" s="1" t="str">
        <f t="shared" si="1061"/>
        <v>贾成忠</v>
      </c>
      <c r="J2152" s="1" t="str">
        <f t="shared" si="1062"/>
        <v>天津市赛奥德工贸有限公司</v>
      </c>
    </row>
    <row r="2153" spans="1:10">
      <c r="A2153" s="1" t="str">
        <f t="shared" si="1058"/>
        <v>天津市赛奥德汽车零部件有限公司</v>
      </c>
      <c r="B2153" s="1" t="str">
        <f>"双侧反光公路道钉"</f>
        <v>双侧反光公路道钉</v>
      </c>
      <c r="C2153" s="1" t="str">
        <f t="shared" si="1039"/>
        <v>实用新型</v>
      </c>
      <c r="D2153" s="1" t="str">
        <f t="shared" si="1057"/>
        <v>未缴年费专利权终止</v>
      </c>
      <c r="E2153" s="1" t="str">
        <f>"CN201320159557.0"</f>
        <v>CN201320159557.0</v>
      </c>
      <c r="F2153" s="1" t="str">
        <f t="shared" si="1059"/>
        <v>2013-04-02</v>
      </c>
      <c r="G2153" s="1" t="str">
        <f>"CN203188140U"</f>
        <v>CN203188140U</v>
      </c>
      <c r="H2153" s="1" t="str">
        <f t="shared" si="1060"/>
        <v>2013-09-11</v>
      </c>
      <c r="I2153" s="1" t="str">
        <f t="shared" si="1061"/>
        <v>贾成忠</v>
      </c>
      <c r="J2153" s="1" t="str">
        <f t="shared" si="1062"/>
        <v>天津市赛奥德工贸有限公司</v>
      </c>
    </row>
    <row r="2154" spans="1:10">
      <c r="A2154" s="1" t="str">
        <f>"天津市福业金属管路制品有限公司"</f>
        <v>天津市福业金属管路制品有限公司</v>
      </c>
      <c r="B2154" s="1" t="str">
        <f>"一种带涂层的钢管"</f>
        <v>一种带涂层的钢管</v>
      </c>
      <c r="C2154" s="1" t="str">
        <f t="shared" si="1039"/>
        <v>实用新型</v>
      </c>
      <c r="D2154" s="1" t="str">
        <f t="shared" si="1057"/>
        <v>未缴年费专利权终止</v>
      </c>
      <c r="E2154" s="1" t="str">
        <f>"CN200720190390.9"</f>
        <v>CN200720190390.9</v>
      </c>
      <c r="F2154" s="1" t="str">
        <f>"2007-11-27"</f>
        <v>2007-11-27</v>
      </c>
      <c r="G2154" s="1" t="str">
        <f>"CN201121795"</f>
        <v>CN201121795</v>
      </c>
      <c r="H2154" s="1" t="str">
        <f>"2008-09-24"</f>
        <v>2008-09-24</v>
      </c>
      <c r="I2154" s="1" t="str">
        <f>"赵秀发"</f>
        <v>赵秀发</v>
      </c>
      <c r="J2154" s="1" t="str">
        <f>"天津市福业金属管路制品有限公司"</f>
        <v>天津市福业金属管路制品有限公司</v>
      </c>
    </row>
    <row r="2155" spans="1:10">
      <c r="A2155" s="1" t="str">
        <f t="shared" ref="A2155:A2158" si="1063">"天津恒瑞通达汽车部品有限公司"</f>
        <v>天津恒瑞通达汽车部品有限公司</v>
      </c>
      <c r="B2155" s="1" t="str">
        <f>"高效雨刮器"</f>
        <v>高效雨刮器</v>
      </c>
      <c r="C2155" s="1" t="str">
        <f t="shared" ref="C2155:C2158" si="1064">"发明公布"</f>
        <v>发明公布</v>
      </c>
      <c r="D2155" s="1" t="str">
        <f t="shared" ref="D2155:D2158" si="1065">"公布视为撤回"</f>
        <v>公布视为撤回</v>
      </c>
      <c r="E2155" s="1" t="str">
        <f>"CN201710003441.0"</f>
        <v>CN201710003441.0</v>
      </c>
      <c r="F2155" s="1" t="str">
        <f t="shared" ref="F2155:F2158" si="1066">"2017-01-04"</f>
        <v>2017-01-04</v>
      </c>
      <c r="G2155" s="1" t="str">
        <f>"CN106800011A"</f>
        <v>CN106800011A</v>
      </c>
      <c r="H2155" s="1" t="str">
        <f>"2017-06-06"</f>
        <v>2017-06-06</v>
      </c>
      <c r="I2155" s="1" t="str">
        <f t="shared" ref="I2155:I2158" si="1067">"李如贤"</f>
        <v>李如贤</v>
      </c>
      <c r="J2155" s="1" t="str">
        <f t="shared" ref="J2155:J2158" si="1068">"天津恒瑞通达汽车部品有限公司"</f>
        <v>天津恒瑞通达汽车部品有限公司</v>
      </c>
    </row>
    <row r="2156" spans="1:10">
      <c r="A2156" s="1" t="str">
        <f t="shared" si="1063"/>
        <v>天津恒瑞通达汽车部品有限公司</v>
      </c>
      <c r="B2156" s="1" t="str">
        <f>"舒适型汽车座椅"</f>
        <v>舒适型汽车座椅</v>
      </c>
      <c r="C2156" s="1" t="str">
        <f t="shared" si="1064"/>
        <v>发明公布</v>
      </c>
      <c r="D2156" s="1" t="str">
        <f t="shared" si="1065"/>
        <v>公布视为撤回</v>
      </c>
      <c r="E2156" s="1" t="str">
        <f>"CN201710003436.X"</f>
        <v>CN201710003436.X</v>
      </c>
      <c r="F2156" s="1" t="str">
        <f t="shared" si="1066"/>
        <v>2017-01-04</v>
      </c>
      <c r="G2156" s="1" t="str">
        <f>"CN106799980A"</f>
        <v>CN106799980A</v>
      </c>
      <c r="H2156" s="1" t="str">
        <f>"2017-06-06"</f>
        <v>2017-06-06</v>
      </c>
      <c r="I2156" s="1" t="str">
        <f t="shared" si="1067"/>
        <v>李如贤</v>
      </c>
      <c r="J2156" s="1" t="str">
        <f t="shared" si="1068"/>
        <v>天津恒瑞通达汽车部品有限公司</v>
      </c>
    </row>
    <row r="2157" spans="1:10">
      <c r="A2157" s="1" t="str">
        <f t="shared" si="1063"/>
        <v>天津恒瑞通达汽车部品有限公司</v>
      </c>
      <c r="B2157" s="1" t="str">
        <f>"布局合理的公交车座椅及使用该座椅的公交车"</f>
        <v>布局合理的公交车座椅及使用该座椅的公交车</v>
      </c>
      <c r="C2157" s="1" t="str">
        <f t="shared" si="1064"/>
        <v>发明公布</v>
      </c>
      <c r="D2157" s="1" t="str">
        <f t="shared" si="1065"/>
        <v>公布视为撤回</v>
      </c>
      <c r="E2157" s="1" t="str">
        <f>"CN201710003428.5"</f>
        <v>CN201710003428.5</v>
      </c>
      <c r="F2157" s="1" t="str">
        <f t="shared" si="1066"/>
        <v>2017-01-04</v>
      </c>
      <c r="G2157" s="1" t="str">
        <f>"CN106740299A"</f>
        <v>CN106740299A</v>
      </c>
      <c r="H2157" s="1" t="str">
        <f>"2017-05-31"</f>
        <v>2017-05-31</v>
      </c>
      <c r="I2157" s="1" t="str">
        <f t="shared" si="1067"/>
        <v>李如贤</v>
      </c>
      <c r="J2157" s="1" t="str">
        <f t="shared" si="1068"/>
        <v>天津恒瑞通达汽车部品有限公司</v>
      </c>
    </row>
    <row r="2158" spans="1:10">
      <c r="A2158" s="1" t="str">
        <f t="shared" si="1063"/>
        <v>天津恒瑞通达汽车部品有限公司</v>
      </c>
      <c r="B2158" s="1" t="str">
        <f>"实用型轿车行李架"</f>
        <v>实用型轿车行李架</v>
      </c>
      <c r="C2158" s="1" t="str">
        <f t="shared" si="1064"/>
        <v>发明公布</v>
      </c>
      <c r="D2158" s="1" t="str">
        <f t="shared" si="1065"/>
        <v>公布视为撤回</v>
      </c>
      <c r="E2158" s="1" t="str">
        <f>"CN201710003424.7"</f>
        <v>CN201710003424.7</v>
      </c>
      <c r="F2158" s="1" t="str">
        <f t="shared" si="1066"/>
        <v>2017-01-04</v>
      </c>
      <c r="G2158" s="1" t="str">
        <f>"CN106740518A"</f>
        <v>CN106740518A</v>
      </c>
      <c r="H2158" s="1" t="str">
        <f>"2017-05-31"</f>
        <v>2017-05-31</v>
      </c>
      <c r="I2158" s="1" t="str">
        <f t="shared" si="1067"/>
        <v>李如贤</v>
      </c>
      <c r="J2158" s="1" t="str">
        <f t="shared" si="1068"/>
        <v>天津恒瑞通达汽车部品有限公司</v>
      </c>
    </row>
    <row r="2159" spans="1:10">
      <c r="A2159" s="1" t="str">
        <f t="shared" ref="A2159:A2182" si="1069">"天津市精志诚拉线厂"</f>
        <v>天津市精志诚拉线厂</v>
      </c>
      <c r="B2159" s="1" t="str">
        <f>"一种拉线生产废料处理装置"</f>
        <v>一种拉线生产废料处理装置</v>
      </c>
      <c r="C2159" s="1" t="str">
        <f t="shared" ref="C2159:C2180" si="1070">"实用新型"</f>
        <v>实用新型</v>
      </c>
      <c r="D2159" s="1" t="str">
        <f t="shared" ref="D2159:D2180" si="1071">"未缴年费专利权终止"</f>
        <v>未缴年费专利权终止</v>
      </c>
      <c r="E2159" s="1" t="str">
        <f>"CN202020367562.0"</f>
        <v>CN202020367562.0</v>
      </c>
      <c r="F2159" s="1" t="str">
        <f>"2020-03-23"</f>
        <v>2020-03-23</v>
      </c>
      <c r="G2159" s="1" t="str">
        <f>"CN212041975U"</f>
        <v>CN212041975U</v>
      </c>
      <c r="H2159" s="1" t="str">
        <f t="shared" ref="H2159:H2161" si="1072">"2020-12-01"</f>
        <v>2020-12-01</v>
      </c>
      <c r="I2159" s="1" t="str">
        <f t="shared" ref="I2159:I2163" si="1073">"于世洪"</f>
        <v>于世洪</v>
      </c>
      <c r="J2159" s="1" t="str">
        <f t="shared" ref="J2159:J2182" si="1074">"天津市精志诚拉线厂"</f>
        <v>天津市精志诚拉线厂</v>
      </c>
    </row>
    <row r="2160" spans="1:10">
      <c r="A2160" s="1" t="str">
        <f t="shared" si="1069"/>
        <v>天津市精志诚拉线厂</v>
      </c>
      <c r="B2160" s="1" t="str">
        <f>"一种便于收集余料的立式制管机"</f>
        <v>一种便于收集余料的立式制管机</v>
      </c>
      <c r="C2160" s="1" t="str">
        <f t="shared" si="1070"/>
        <v>实用新型</v>
      </c>
      <c r="D2160" s="1" t="str">
        <f t="shared" si="1071"/>
        <v>未缴年费专利权终止</v>
      </c>
      <c r="E2160" s="1" t="str">
        <f>"CN202020345727.4"</f>
        <v>CN202020345727.4</v>
      </c>
      <c r="F2160" s="1" t="str">
        <f>"2020-03-19"</f>
        <v>2020-03-19</v>
      </c>
      <c r="G2160" s="1" t="str">
        <f>"CN212045298U"</f>
        <v>CN212045298U</v>
      </c>
      <c r="H2160" s="1" t="str">
        <f t="shared" si="1072"/>
        <v>2020-12-01</v>
      </c>
      <c r="I2160" s="1" t="str">
        <f t="shared" ref="I2160:I2165" si="1075">"范国强"</f>
        <v>范国强</v>
      </c>
      <c r="J2160" s="1" t="str">
        <f t="shared" si="1074"/>
        <v>天津市精志诚拉线厂</v>
      </c>
    </row>
    <row r="2161" spans="1:10">
      <c r="A2161" s="1" t="str">
        <f t="shared" si="1069"/>
        <v>天津市精志诚拉线厂</v>
      </c>
      <c r="B2161" s="1" t="str">
        <f>"一种防尘性能好的立式制管机"</f>
        <v>一种防尘性能好的立式制管机</v>
      </c>
      <c r="C2161" s="1" t="str">
        <f t="shared" si="1070"/>
        <v>实用新型</v>
      </c>
      <c r="D2161" s="1" t="str">
        <f t="shared" si="1071"/>
        <v>未缴年费专利权终止</v>
      </c>
      <c r="E2161" s="1" t="str">
        <f>"CN202020354012.5"</f>
        <v>CN202020354012.5</v>
      </c>
      <c r="F2161" s="1" t="str">
        <f>"2020-03-19"</f>
        <v>2020-03-19</v>
      </c>
      <c r="G2161" s="1" t="str">
        <f>"CN212045301U"</f>
        <v>CN212045301U</v>
      </c>
      <c r="H2161" s="1" t="str">
        <f t="shared" si="1072"/>
        <v>2020-12-01</v>
      </c>
      <c r="I2161" s="1" t="str">
        <f t="shared" si="1075"/>
        <v>范国强</v>
      </c>
      <c r="J2161" s="1" t="str">
        <f t="shared" si="1074"/>
        <v>天津市精志诚拉线厂</v>
      </c>
    </row>
    <row r="2162" spans="1:10">
      <c r="A2162" s="1" t="str">
        <f t="shared" si="1069"/>
        <v>天津市精志诚拉线厂</v>
      </c>
      <c r="B2162" s="1" t="str">
        <f>"一种拉线生产用包塑机"</f>
        <v>一种拉线生产用包塑机</v>
      </c>
      <c r="C2162" s="1" t="str">
        <f t="shared" si="1070"/>
        <v>实用新型</v>
      </c>
      <c r="D2162" s="1" t="str">
        <f t="shared" si="1071"/>
        <v>未缴年费专利权终止</v>
      </c>
      <c r="E2162" s="1" t="str">
        <f>"CN202020375647.3"</f>
        <v>CN202020375647.3</v>
      </c>
      <c r="F2162" s="1" t="str">
        <f>"2020-03-23"</f>
        <v>2020-03-23</v>
      </c>
      <c r="G2162" s="1" t="str">
        <f>"CN211941963U"</f>
        <v>CN211941963U</v>
      </c>
      <c r="H2162" s="1" t="str">
        <f t="shared" ref="H2162:H2164" si="1076">"2020-11-17"</f>
        <v>2020-11-17</v>
      </c>
      <c r="I2162" s="1" t="str">
        <f t="shared" si="1073"/>
        <v>于世洪</v>
      </c>
      <c r="J2162" s="1" t="str">
        <f t="shared" si="1074"/>
        <v>天津市精志诚拉线厂</v>
      </c>
    </row>
    <row r="2163" spans="1:10">
      <c r="A2163" s="1" t="str">
        <f t="shared" si="1069"/>
        <v>天津市精志诚拉线厂</v>
      </c>
      <c r="B2163" s="1" t="str">
        <f>"一种拉线生产包装用固定装置"</f>
        <v>一种拉线生产包装用固定装置</v>
      </c>
      <c r="C2163" s="1" t="str">
        <f t="shared" si="1070"/>
        <v>实用新型</v>
      </c>
      <c r="D2163" s="1" t="str">
        <f t="shared" si="1071"/>
        <v>未缴年费专利权终止</v>
      </c>
      <c r="E2163" s="1" t="str">
        <f>"CN202020362416.9"</f>
        <v>CN202020362416.9</v>
      </c>
      <c r="F2163" s="1" t="str">
        <f>"2020-03-20"</f>
        <v>2020-03-20</v>
      </c>
      <c r="G2163" s="1" t="str">
        <f>"CN211945695U"</f>
        <v>CN211945695U</v>
      </c>
      <c r="H2163" s="1" t="str">
        <f t="shared" si="1076"/>
        <v>2020-11-17</v>
      </c>
      <c r="I2163" s="1" t="str">
        <f t="shared" si="1073"/>
        <v>于世洪</v>
      </c>
      <c r="J2163" s="1" t="str">
        <f t="shared" si="1074"/>
        <v>天津市精志诚拉线厂</v>
      </c>
    </row>
    <row r="2164" spans="1:10">
      <c r="A2164" s="1" t="str">
        <f t="shared" si="1069"/>
        <v>天津市精志诚拉线厂</v>
      </c>
      <c r="B2164" s="1" t="str">
        <f>"一种扎丝机送料装置"</f>
        <v>一种扎丝机送料装置</v>
      </c>
      <c r="C2164" s="1" t="str">
        <f t="shared" si="1070"/>
        <v>实用新型</v>
      </c>
      <c r="D2164" s="1" t="str">
        <f t="shared" si="1071"/>
        <v>未缴年费专利权终止</v>
      </c>
      <c r="E2164" s="1" t="str">
        <f>"CN202020378227.0"</f>
        <v>CN202020378227.0</v>
      </c>
      <c r="F2164" s="1" t="str">
        <f>"2020-03-24"</f>
        <v>2020-03-24</v>
      </c>
      <c r="G2164" s="1" t="str">
        <f>"CN211943919U"</f>
        <v>CN211943919U</v>
      </c>
      <c r="H2164" s="1" t="str">
        <f t="shared" si="1076"/>
        <v>2020-11-17</v>
      </c>
      <c r="I2164" s="1" t="str">
        <f>"范喜荣"</f>
        <v>范喜荣</v>
      </c>
      <c r="J2164" s="1" t="str">
        <f t="shared" si="1074"/>
        <v>天津市精志诚拉线厂</v>
      </c>
    </row>
    <row r="2165" spans="1:10">
      <c r="A2165" s="1" t="str">
        <f t="shared" si="1069"/>
        <v>天津市精志诚拉线厂</v>
      </c>
      <c r="B2165" s="1" t="str">
        <f>"一种高效率塑料挤出机"</f>
        <v>一种高效率塑料挤出机</v>
      </c>
      <c r="C2165" s="1" t="str">
        <f t="shared" si="1070"/>
        <v>实用新型</v>
      </c>
      <c r="D2165" s="1" t="str">
        <f t="shared" si="1071"/>
        <v>未缴年费专利权终止</v>
      </c>
      <c r="E2165" s="1" t="str">
        <f>"CN202020355231.5"</f>
        <v>CN202020355231.5</v>
      </c>
      <c r="F2165" s="1" t="str">
        <f>"2020-03-20"</f>
        <v>2020-03-20</v>
      </c>
      <c r="G2165" s="1" t="str">
        <f>"CN211917644U"</f>
        <v>CN211917644U</v>
      </c>
      <c r="H2165" s="1" t="str">
        <f>"2020-11-13"</f>
        <v>2020-11-13</v>
      </c>
      <c r="I2165" s="1" t="str">
        <f t="shared" si="1075"/>
        <v>范国强</v>
      </c>
      <c r="J2165" s="1" t="str">
        <f t="shared" si="1074"/>
        <v>天津市精志诚拉线厂</v>
      </c>
    </row>
    <row r="2166" spans="1:10">
      <c r="A2166" s="1" t="str">
        <f t="shared" si="1069"/>
        <v>天津市精志诚拉线厂</v>
      </c>
      <c r="B2166" s="1" t="str">
        <f>"一种自动制管收集装置"</f>
        <v>一种自动制管收集装置</v>
      </c>
      <c r="C2166" s="1" t="str">
        <f t="shared" si="1070"/>
        <v>实用新型</v>
      </c>
      <c r="D2166" s="1" t="str">
        <f t="shared" si="1071"/>
        <v>未缴年费专利权终止</v>
      </c>
      <c r="E2166" s="1" t="str">
        <f>"CN202020208027.0"</f>
        <v>CN202020208027.0</v>
      </c>
      <c r="F2166" s="1" t="str">
        <f>"2020-02-25"</f>
        <v>2020-02-25</v>
      </c>
      <c r="G2166" s="1" t="str">
        <f>"CN211846014U"</f>
        <v>CN211846014U</v>
      </c>
      <c r="H2166" s="1" t="str">
        <f>"2020-11-03"</f>
        <v>2020-11-03</v>
      </c>
      <c r="I2166" s="1" t="str">
        <f t="shared" ref="I2166:I2170" si="1077">"马宝忠"</f>
        <v>马宝忠</v>
      </c>
      <c r="J2166" s="1" t="str">
        <f t="shared" si="1074"/>
        <v>天津市精志诚拉线厂</v>
      </c>
    </row>
    <row r="2167" spans="1:10">
      <c r="A2167" s="1" t="str">
        <f t="shared" si="1069"/>
        <v>天津市精志诚拉线厂</v>
      </c>
      <c r="B2167" s="1" t="str">
        <f>"驻车制动操纵装置"</f>
        <v>驻车制动操纵装置</v>
      </c>
      <c r="C2167" s="1" t="str">
        <f t="shared" si="1070"/>
        <v>实用新型</v>
      </c>
      <c r="D2167" s="1" t="str">
        <f t="shared" si="1071"/>
        <v>未缴年费专利权终止</v>
      </c>
      <c r="E2167" s="1" t="str">
        <f>"CN202020210107.X"</f>
        <v>CN202020210107.X</v>
      </c>
      <c r="F2167" s="1" t="str">
        <f>"2020-02-26"</f>
        <v>2020-02-26</v>
      </c>
      <c r="G2167" s="1" t="str">
        <f>"CN211765469U"</f>
        <v>CN211765469U</v>
      </c>
      <c r="H2167" s="1" t="str">
        <f t="shared" ref="H2167:H2179" si="1078">"2020-10-27"</f>
        <v>2020-10-27</v>
      </c>
      <c r="I2167" s="1" t="str">
        <f t="shared" si="1077"/>
        <v>马宝忠</v>
      </c>
      <c r="J2167" s="1" t="str">
        <f t="shared" si="1074"/>
        <v>天津市精志诚拉线厂</v>
      </c>
    </row>
    <row r="2168" spans="1:10">
      <c r="A2168" s="1" t="str">
        <f t="shared" si="1069"/>
        <v>天津市精志诚拉线厂</v>
      </c>
      <c r="B2168" s="1" t="str">
        <f>"一种起重机尾气净化催化剂封装压注机"</f>
        <v>一种起重机尾气净化催化剂封装压注机</v>
      </c>
      <c r="C2168" s="1" t="str">
        <f t="shared" si="1070"/>
        <v>实用新型</v>
      </c>
      <c r="D2168" s="1" t="str">
        <f t="shared" si="1071"/>
        <v>未缴年费专利权终止</v>
      </c>
      <c r="E2168" s="1" t="str">
        <f>"CN202020195567.X"</f>
        <v>CN202020195567.X</v>
      </c>
      <c r="F2168" s="1" t="str">
        <f>"2020-02-23"</f>
        <v>2020-02-23</v>
      </c>
      <c r="G2168" s="1" t="str">
        <f>"CN211766449U"</f>
        <v>CN211766449U</v>
      </c>
      <c r="H2168" s="1" t="str">
        <f t="shared" si="1078"/>
        <v>2020-10-27</v>
      </c>
      <c r="I2168" s="1" t="str">
        <f>"刘德喜"</f>
        <v>刘德喜</v>
      </c>
      <c r="J2168" s="1" t="str">
        <f t="shared" si="1074"/>
        <v>天津市精志诚拉线厂</v>
      </c>
    </row>
    <row r="2169" spans="1:10">
      <c r="A2169" s="1" t="str">
        <f t="shared" si="1069"/>
        <v>天津市精志诚拉线厂</v>
      </c>
      <c r="B2169" s="1" t="str">
        <f>"一种便于拆装的开式可倾压力机"</f>
        <v>一种便于拆装的开式可倾压力机</v>
      </c>
      <c r="C2169" s="1" t="str">
        <f t="shared" si="1070"/>
        <v>实用新型</v>
      </c>
      <c r="D2169" s="1" t="str">
        <f t="shared" si="1071"/>
        <v>未缴年费专利权终止</v>
      </c>
      <c r="E2169" s="1" t="str">
        <f>"CN202020178018.1"</f>
        <v>CN202020178018.1</v>
      </c>
      <c r="F2169" s="1" t="str">
        <f>"2020-02-18"</f>
        <v>2020-02-18</v>
      </c>
      <c r="G2169" s="1" t="str">
        <f>"CN211758147U"</f>
        <v>CN211758147U</v>
      </c>
      <c r="H2169" s="1" t="str">
        <f t="shared" si="1078"/>
        <v>2020-10-27</v>
      </c>
      <c r="I2169" s="1" t="str">
        <f>"刘均平"</f>
        <v>刘均平</v>
      </c>
      <c r="J2169" s="1" t="str">
        <f t="shared" si="1074"/>
        <v>天津市精志诚拉线厂</v>
      </c>
    </row>
    <row r="2170" spans="1:10">
      <c r="A2170" s="1" t="str">
        <f t="shared" si="1069"/>
        <v>天津市精志诚拉线厂</v>
      </c>
      <c r="B2170" s="1" t="str">
        <f>"一种注塑挤出机上料装置"</f>
        <v>一种注塑挤出机上料装置</v>
      </c>
      <c r="C2170" s="1" t="str">
        <f t="shared" si="1070"/>
        <v>实用新型</v>
      </c>
      <c r="D2170" s="1" t="str">
        <f t="shared" si="1071"/>
        <v>未缴年费专利权终止</v>
      </c>
      <c r="E2170" s="1" t="str">
        <f>"CN202020204284.7"</f>
        <v>CN202020204284.7</v>
      </c>
      <c r="F2170" s="1" t="str">
        <f>"2020-02-25"</f>
        <v>2020-02-25</v>
      </c>
      <c r="G2170" s="1" t="str">
        <f>"CN211763065U"</f>
        <v>CN211763065U</v>
      </c>
      <c r="H2170" s="1" t="str">
        <f t="shared" si="1078"/>
        <v>2020-10-27</v>
      </c>
      <c r="I2170" s="1" t="str">
        <f t="shared" si="1077"/>
        <v>马宝忠</v>
      </c>
      <c r="J2170" s="1" t="str">
        <f t="shared" si="1074"/>
        <v>天津市精志诚拉线厂</v>
      </c>
    </row>
    <row r="2171" spans="1:10">
      <c r="A2171" s="1" t="str">
        <f t="shared" si="1069"/>
        <v>天津市精志诚拉线厂</v>
      </c>
      <c r="B2171" s="1" t="str">
        <f>"一种便于加工固定的制管机"</f>
        <v>一种便于加工固定的制管机</v>
      </c>
      <c r="C2171" s="1" t="str">
        <f t="shared" si="1070"/>
        <v>实用新型</v>
      </c>
      <c r="D2171" s="1" t="str">
        <f t="shared" si="1071"/>
        <v>未缴年费专利权终止</v>
      </c>
      <c r="E2171" s="1" t="str">
        <f>"CN202020180393.X"</f>
        <v>CN202020180393.X</v>
      </c>
      <c r="F2171" s="1" t="str">
        <f>"2020-02-18"</f>
        <v>2020-02-18</v>
      </c>
      <c r="G2171" s="1" t="str">
        <f>"CN211759125U"</f>
        <v>CN211759125U</v>
      </c>
      <c r="H2171" s="1" t="str">
        <f t="shared" si="1078"/>
        <v>2020-10-27</v>
      </c>
      <c r="I2171" s="1" t="str">
        <f>"刘均平"</f>
        <v>刘均平</v>
      </c>
      <c r="J2171" s="1" t="str">
        <f t="shared" si="1074"/>
        <v>天津市精志诚拉线厂</v>
      </c>
    </row>
    <row r="2172" spans="1:10">
      <c r="A2172" s="1" t="str">
        <f t="shared" si="1069"/>
        <v>天津市精志诚拉线厂</v>
      </c>
      <c r="B2172" s="1" t="str">
        <f>"一种全自动制管切管机"</f>
        <v>一种全自动制管切管机</v>
      </c>
      <c r="C2172" s="1" t="str">
        <f t="shared" si="1070"/>
        <v>实用新型</v>
      </c>
      <c r="D2172" s="1" t="str">
        <f t="shared" si="1071"/>
        <v>未缴年费专利权终止</v>
      </c>
      <c r="E2172" s="1" t="str">
        <f>"CN202020195981.0"</f>
        <v>CN202020195981.0</v>
      </c>
      <c r="F2172" s="1" t="str">
        <f>"2020-02-23"</f>
        <v>2020-02-23</v>
      </c>
      <c r="G2172" s="1" t="str">
        <f>"CN211758957U"</f>
        <v>CN211758957U</v>
      </c>
      <c r="H2172" s="1" t="str">
        <f t="shared" si="1078"/>
        <v>2020-10-27</v>
      </c>
      <c r="I2172" s="1" t="str">
        <f>"刘德喜"</f>
        <v>刘德喜</v>
      </c>
      <c r="J2172" s="1" t="str">
        <f t="shared" si="1074"/>
        <v>天津市精志诚拉线厂</v>
      </c>
    </row>
    <row r="2173" spans="1:10">
      <c r="A2173" s="1" t="str">
        <f t="shared" si="1069"/>
        <v>天津市精志诚拉线厂</v>
      </c>
      <c r="B2173" s="1" t="str">
        <f>"一种车床主轴箱固定装置"</f>
        <v>一种车床主轴箱固定装置</v>
      </c>
      <c r="C2173" s="1" t="str">
        <f t="shared" si="1070"/>
        <v>实用新型</v>
      </c>
      <c r="D2173" s="1" t="str">
        <f t="shared" si="1071"/>
        <v>未缴年费专利权终止</v>
      </c>
      <c r="E2173" s="1" t="str">
        <f>"CN202020184995.2"</f>
        <v>CN202020184995.2</v>
      </c>
      <c r="F2173" s="1" t="str">
        <f>"2020-02-19"</f>
        <v>2020-02-19</v>
      </c>
      <c r="G2173" s="1" t="str">
        <f>"CN211758499U"</f>
        <v>CN211758499U</v>
      </c>
      <c r="H2173" s="1" t="str">
        <f t="shared" si="1078"/>
        <v>2020-10-27</v>
      </c>
      <c r="I2173" s="1" t="str">
        <f>"范喜胜"</f>
        <v>范喜胜</v>
      </c>
      <c r="J2173" s="1" t="str">
        <f t="shared" si="1074"/>
        <v>天津市精志诚拉线厂</v>
      </c>
    </row>
    <row r="2174" spans="1:10">
      <c r="A2174" s="1" t="str">
        <f t="shared" si="1069"/>
        <v>天津市精志诚拉线厂</v>
      </c>
      <c r="B2174" s="1" t="str">
        <f>"一种可调节式钻床"</f>
        <v>一种可调节式钻床</v>
      </c>
      <c r="C2174" s="1" t="str">
        <f t="shared" si="1070"/>
        <v>实用新型</v>
      </c>
      <c r="D2174" s="1" t="str">
        <f t="shared" si="1071"/>
        <v>未缴年费专利权终止</v>
      </c>
      <c r="E2174" s="1" t="str">
        <f>"CN202020194468.X"</f>
        <v>CN202020194468.X</v>
      </c>
      <c r="F2174" s="1" t="str">
        <f>"2020-02-22"</f>
        <v>2020-02-22</v>
      </c>
      <c r="G2174" s="1" t="str">
        <f>"CN211759972U"</f>
        <v>CN211759972U</v>
      </c>
      <c r="H2174" s="1" t="str">
        <f t="shared" si="1078"/>
        <v>2020-10-27</v>
      </c>
      <c r="I2174" s="1" t="str">
        <f>"周丽娟"</f>
        <v>周丽娟</v>
      </c>
      <c r="J2174" s="1" t="str">
        <f t="shared" si="1074"/>
        <v>天津市精志诚拉线厂</v>
      </c>
    </row>
    <row r="2175" spans="1:10">
      <c r="A2175" s="1" t="str">
        <f t="shared" si="1069"/>
        <v>天津市精志诚拉线厂</v>
      </c>
      <c r="B2175" s="1" t="str">
        <f>"一种具有清理功能的长尺制管机"</f>
        <v>一种具有清理功能的长尺制管机</v>
      </c>
      <c r="C2175" s="1" t="str">
        <f t="shared" si="1070"/>
        <v>实用新型</v>
      </c>
      <c r="D2175" s="1" t="str">
        <f t="shared" si="1071"/>
        <v>未缴年费专利权终止</v>
      </c>
      <c r="E2175" s="1" t="str">
        <f>"CN202020193653.7"</f>
        <v>CN202020193653.7</v>
      </c>
      <c r="F2175" s="1" t="str">
        <f>"2020-02-21"</f>
        <v>2020-02-21</v>
      </c>
      <c r="G2175" s="1" t="str">
        <f>"CN211757357U"</f>
        <v>CN211757357U</v>
      </c>
      <c r="H2175" s="1" t="str">
        <f t="shared" si="1078"/>
        <v>2020-10-27</v>
      </c>
      <c r="I2175" s="1" t="str">
        <f>"周丽娟"</f>
        <v>周丽娟</v>
      </c>
      <c r="J2175" s="1" t="str">
        <f t="shared" si="1074"/>
        <v>天津市精志诚拉线厂</v>
      </c>
    </row>
    <row r="2176" spans="1:10">
      <c r="A2176" s="1" t="str">
        <f t="shared" si="1069"/>
        <v>天津市精志诚拉线厂</v>
      </c>
      <c r="B2176" s="1" t="str">
        <f>"一种冲床防噪装置"</f>
        <v>一种冲床防噪装置</v>
      </c>
      <c r="C2176" s="1" t="str">
        <f t="shared" si="1070"/>
        <v>实用新型</v>
      </c>
      <c r="D2176" s="1" t="str">
        <f t="shared" si="1071"/>
        <v>未缴年费专利权终止</v>
      </c>
      <c r="E2176" s="1" t="str">
        <f>"CN202020186476.X"</f>
        <v>CN202020186476.X</v>
      </c>
      <c r="F2176" s="1" t="str">
        <f>"2020-02-20"</f>
        <v>2020-02-20</v>
      </c>
      <c r="G2176" s="1" t="str">
        <f>"CN211757862U"</f>
        <v>CN211757862U</v>
      </c>
      <c r="H2176" s="1" t="str">
        <f t="shared" si="1078"/>
        <v>2020-10-27</v>
      </c>
      <c r="I2176" s="1" t="str">
        <f>"范喜胜"</f>
        <v>范喜胜</v>
      </c>
      <c r="J2176" s="1" t="str">
        <f t="shared" si="1074"/>
        <v>天津市精志诚拉线厂</v>
      </c>
    </row>
    <row r="2177" spans="1:10">
      <c r="A2177" s="1" t="str">
        <f t="shared" si="1069"/>
        <v>天津市精志诚拉线厂</v>
      </c>
      <c r="B2177" s="1" t="str">
        <f>"一种快速清料式注塑挤出机"</f>
        <v>一种快速清料式注塑挤出机</v>
      </c>
      <c r="C2177" s="1" t="str">
        <f t="shared" si="1070"/>
        <v>实用新型</v>
      </c>
      <c r="D2177" s="1" t="str">
        <f t="shared" si="1071"/>
        <v>未缴年费专利权终止</v>
      </c>
      <c r="E2177" s="1" t="str">
        <f>"CN202020195150.3"</f>
        <v>CN202020195150.3</v>
      </c>
      <c r="F2177" s="1" t="str">
        <f>"2020-02-22"</f>
        <v>2020-02-22</v>
      </c>
      <c r="G2177" s="1" t="str">
        <f>"CN211763063U"</f>
        <v>CN211763063U</v>
      </c>
      <c r="H2177" s="1" t="str">
        <f t="shared" si="1078"/>
        <v>2020-10-27</v>
      </c>
      <c r="I2177" s="1" t="str">
        <f>"刘德喜"</f>
        <v>刘德喜</v>
      </c>
      <c r="J2177" s="1" t="str">
        <f t="shared" si="1074"/>
        <v>天津市精志诚拉线厂</v>
      </c>
    </row>
    <row r="2178" spans="1:10">
      <c r="A2178" s="1" t="str">
        <f t="shared" si="1069"/>
        <v>天津市精志诚拉线厂</v>
      </c>
      <c r="B2178" s="1" t="str">
        <f>"一种便于清理的铣床"</f>
        <v>一种便于清理的铣床</v>
      </c>
      <c r="C2178" s="1" t="str">
        <f t="shared" si="1070"/>
        <v>实用新型</v>
      </c>
      <c r="D2178" s="1" t="str">
        <f t="shared" si="1071"/>
        <v>未缴年费专利权终止</v>
      </c>
      <c r="E2178" s="1" t="str">
        <f>"CN202020182182.X"</f>
        <v>CN202020182182.X</v>
      </c>
      <c r="F2178" s="1" t="str">
        <f>"2020-02-19"</f>
        <v>2020-02-19</v>
      </c>
      <c r="G2178" s="1" t="str">
        <f>"CN211758791U"</f>
        <v>CN211758791U</v>
      </c>
      <c r="H2178" s="1" t="str">
        <f t="shared" si="1078"/>
        <v>2020-10-27</v>
      </c>
      <c r="I2178" s="1" t="str">
        <f>"刘均平"</f>
        <v>刘均平</v>
      </c>
      <c r="J2178" s="1" t="str">
        <f t="shared" si="1074"/>
        <v>天津市精志诚拉线厂</v>
      </c>
    </row>
    <row r="2179" spans="1:10">
      <c r="A2179" s="1" t="str">
        <f t="shared" si="1069"/>
        <v>天津市精志诚拉线厂</v>
      </c>
      <c r="B2179" s="1" t="str">
        <f>"一种钢丝轧丝机"</f>
        <v>一种钢丝轧丝机</v>
      </c>
      <c r="C2179" s="1" t="str">
        <f t="shared" si="1070"/>
        <v>实用新型</v>
      </c>
      <c r="D2179" s="1" t="str">
        <f t="shared" si="1071"/>
        <v>未缴年费专利权终止</v>
      </c>
      <c r="E2179" s="1" t="str">
        <f>"CN202020190561.3"</f>
        <v>CN202020190561.3</v>
      </c>
      <c r="F2179" s="1" t="str">
        <f>"2020-02-20"</f>
        <v>2020-02-20</v>
      </c>
      <c r="G2179" s="1" t="str">
        <f>"CN211760291U"</f>
        <v>CN211760291U</v>
      </c>
      <c r="H2179" s="1" t="str">
        <f t="shared" si="1078"/>
        <v>2020-10-27</v>
      </c>
      <c r="I2179" s="1" t="str">
        <f>"范喜胜"</f>
        <v>范喜胜</v>
      </c>
      <c r="J2179" s="1" t="str">
        <f t="shared" si="1074"/>
        <v>天津市精志诚拉线厂</v>
      </c>
    </row>
    <row r="2180" spans="1:10">
      <c r="A2180" s="1" t="str">
        <f t="shared" si="1069"/>
        <v>天津市精志诚拉线厂</v>
      </c>
      <c r="B2180" s="1" t="str">
        <f>"一种减震性能好的套管组件"</f>
        <v>一种减震性能好的套管组件</v>
      </c>
      <c r="C2180" s="1" t="str">
        <f t="shared" si="1070"/>
        <v>实用新型</v>
      </c>
      <c r="D2180" s="1" t="str">
        <f t="shared" si="1071"/>
        <v>未缴年费专利权终止</v>
      </c>
      <c r="E2180" s="1" t="str">
        <f>"CN202020189880.2"</f>
        <v>CN202020189880.2</v>
      </c>
      <c r="F2180" s="1" t="str">
        <f>"2020-02-21"</f>
        <v>2020-02-21</v>
      </c>
      <c r="G2180" s="1" t="str">
        <f>"CN211320835U"</f>
        <v>CN211320835U</v>
      </c>
      <c r="H2180" s="1" t="str">
        <f>"2020-08-21"</f>
        <v>2020-08-21</v>
      </c>
      <c r="I2180" s="1" t="str">
        <f>"周丽娟"</f>
        <v>周丽娟</v>
      </c>
      <c r="J2180" s="1" t="str">
        <f t="shared" si="1074"/>
        <v>天津市精志诚拉线厂</v>
      </c>
    </row>
    <row r="2181" spans="1:10">
      <c r="A2181" s="1" t="str">
        <f t="shared" si="1069"/>
        <v>天津市精志诚拉线厂</v>
      </c>
      <c r="B2181" s="1" t="str">
        <f>"一种防腐耐污拉线体"</f>
        <v>一种防腐耐污拉线体</v>
      </c>
      <c r="C2181" s="1" t="str">
        <f>"发明公布"</f>
        <v>发明公布</v>
      </c>
      <c r="D2181" s="1" t="str">
        <f>"公布驳回"</f>
        <v>公布驳回</v>
      </c>
      <c r="E2181" s="1" t="str">
        <f>"CN202010215396.7"</f>
        <v>CN202010215396.7</v>
      </c>
      <c r="F2181" s="1" t="str">
        <f>"2020-03-25"</f>
        <v>2020-03-25</v>
      </c>
      <c r="G2181" s="1" t="str">
        <f>"CN111234577A"</f>
        <v>CN111234577A</v>
      </c>
      <c r="H2181" s="1" t="str">
        <f>"2020-06-05"</f>
        <v>2020-06-05</v>
      </c>
      <c r="I2181" s="1" t="str">
        <f>"范喜荣"</f>
        <v>范喜荣</v>
      </c>
      <c r="J2181" s="1" t="str">
        <f t="shared" si="1074"/>
        <v>天津市精志诚拉线厂</v>
      </c>
    </row>
    <row r="2182" spans="1:10">
      <c r="A2182" s="1" t="str">
        <f t="shared" si="1069"/>
        <v>天津市精志诚拉线厂</v>
      </c>
      <c r="B2182" s="1" t="str">
        <f>"一种tpo拉线线体生产工艺"</f>
        <v>一种tpo拉线线体生产工艺</v>
      </c>
      <c r="C2182" s="1" t="str">
        <f>"发明公布"</f>
        <v>发明公布</v>
      </c>
      <c r="D2182" s="1" t="str">
        <f>"公布驳回"</f>
        <v>公布驳回</v>
      </c>
      <c r="E2182" s="1" t="str">
        <f>"CN202010214855.X"</f>
        <v>CN202010214855.X</v>
      </c>
      <c r="F2182" s="1" t="str">
        <f>"2020-03-24"</f>
        <v>2020-03-24</v>
      </c>
      <c r="G2182" s="1" t="str">
        <f>"CN111187480A"</f>
        <v>CN111187480A</v>
      </c>
      <c r="H2182" s="1" t="str">
        <f>"2020-05-22"</f>
        <v>2020-05-22</v>
      </c>
      <c r="I2182" s="1" t="str">
        <f>"范喜荣"</f>
        <v>范喜荣</v>
      </c>
      <c r="J2182" s="1" t="str">
        <f t="shared" si="1074"/>
        <v>天津市精志诚拉线厂</v>
      </c>
    </row>
    <row r="2183" spans="1:10">
      <c r="A2183" s="1" t="str">
        <f t="shared" ref="A2183:A2197" si="1079">"天津鑫淼盛源汽车部品有限公司"</f>
        <v>天津鑫淼盛源汽车部品有限公司</v>
      </c>
      <c r="B2183" s="1" t="str">
        <f>"发动机托盘"</f>
        <v>发动机托盘</v>
      </c>
      <c r="C2183" s="1" t="str">
        <f t="shared" ref="C2183:C2246" si="1080">"实用新型"</f>
        <v>实用新型</v>
      </c>
      <c r="D2183" s="1" t="str">
        <f t="shared" ref="D2183:D2197" si="1081">"授权"</f>
        <v>授权</v>
      </c>
      <c r="E2183" s="1" t="str">
        <f>"CN202022088777.1"</f>
        <v>CN202022088777.1</v>
      </c>
      <c r="F2183" s="1" t="str">
        <f t="shared" ref="F2183:F2197" si="1082">"2020-09-22"</f>
        <v>2020-09-22</v>
      </c>
      <c r="G2183" s="1" t="str">
        <f>"CN214029655U"</f>
        <v>CN214029655U</v>
      </c>
      <c r="H2183" s="1" t="str">
        <f>"2021-08-24"</f>
        <v>2021-08-24</v>
      </c>
      <c r="I2183" s="1" t="s">
        <v>5083</v>
      </c>
      <c r="J2183" s="1" t="str">
        <f t="shared" ref="J2183:J2197" si="1083">"天津鑫淼盛源汽车部品有限公司"</f>
        <v>天津鑫淼盛源汽车部品有限公司</v>
      </c>
    </row>
    <row r="2184" spans="1:10">
      <c r="A2184" s="1" t="str">
        <f t="shared" si="1079"/>
        <v>天津鑫淼盛源汽车部品有限公司</v>
      </c>
      <c r="B2184" s="1" t="str">
        <f>"前牵引减震装置"</f>
        <v>前牵引减震装置</v>
      </c>
      <c r="C2184" s="1" t="str">
        <f t="shared" si="1080"/>
        <v>实用新型</v>
      </c>
      <c r="D2184" s="1" t="str">
        <f t="shared" si="1081"/>
        <v>授权</v>
      </c>
      <c r="E2184" s="1" t="str">
        <f>"CN202022088769.7"</f>
        <v>CN202022088769.7</v>
      </c>
      <c r="F2184" s="1" t="str">
        <f t="shared" si="1082"/>
        <v>2020-09-22</v>
      </c>
      <c r="G2184" s="1" t="str">
        <f>"CN213929286U"</f>
        <v>CN213929286U</v>
      </c>
      <c r="H2184" s="1" t="str">
        <f>"2021-08-10"</f>
        <v>2021-08-10</v>
      </c>
      <c r="I2184" s="1" t="s">
        <v>5083</v>
      </c>
      <c r="J2184" s="1" t="str">
        <f t="shared" si="1083"/>
        <v>天津鑫淼盛源汽车部品有限公司</v>
      </c>
    </row>
    <row r="2185" spans="1:10">
      <c r="A2185" s="1" t="str">
        <f t="shared" si="1079"/>
        <v>天津鑫淼盛源汽车部品有限公司</v>
      </c>
      <c r="B2185" s="1" t="str">
        <f>"总装座椅台车自动门"</f>
        <v>总装座椅台车自动门</v>
      </c>
      <c r="C2185" s="1" t="str">
        <f t="shared" si="1080"/>
        <v>实用新型</v>
      </c>
      <c r="D2185" s="1" t="str">
        <f t="shared" si="1081"/>
        <v>授权</v>
      </c>
      <c r="E2185" s="1" t="str">
        <f>"CN202022088744.7"</f>
        <v>CN202022088744.7</v>
      </c>
      <c r="F2185" s="1" t="str">
        <f t="shared" si="1082"/>
        <v>2020-09-22</v>
      </c>
      <c r="G2185" s="1" t="str">
        <f>"CN213928051U"</f>
        <v>CN213928051U</v>
      </c>
      <c r="H2185" s="1" t="str">
        <f>"2021-08-10"</f>
        <v>2021-08-10</v>
      </c>
      <c r="I2185" s="1" t="s">
        <v>5083</v>
      </c>
      <c r="J2185" s="1" t="str">
        <f t="shared" si="1083"/>
        <v>天津鑫淼盛源汽车部品有限公司</v>
      </c>
    </row>
    <row r="2186" spans="1:10">
      <c r="A2186" s="1" t="str">
        <f t="shared" si="1079"/>
        <v>天津鑫淼盛源汽车部品有限公司</v>
      </c>
      <c r="B2186" s="1" t="str">
        <f>"一种完成台车收容库"</f>
        <v>一种完成台车收容库</v>
      </c>
      <c r="C2186" s="1" t="str">
        <f t="shared" si="1080"/>
        <v>实用新型</v>
      </c>
      <c r="D2186" s="1" t="str">
        <f t="shared" si="1081"/>
        <v>授权</v>
      </c>
      <c r="E2186" s="1" t="str">
        <f>"CN202022090901.8"</f>
        <v>CN202022090901.8</v>
      </c>
      <c r="F2186" s="1" t="str">
        <f t="shared" si="1082"/>
        <v>2020-09-22</v>
      </c>
      <c r="G2186" s="1" t="str">
        <f>"CN213806854U"</f>
        <v>CN213806854U</v>
      </c>
      <c r="H2186" s="1" t="str">
        <f>"2021-07-27"</f>
        <v>2021-07-27</v>
      </c>
      <c r="I2186" s="1" t="s">
        <v>5083</v>
      </c>
      <c r="J2186" s="1" t="str">
        <f t="shared" si="1083"/>
        <v>天津鑫淼盛源汽车部品有限公司</v>
      </c>
    </row>
    <row r="2187" spans="1:10">
      <c r="A2187" s="1" t="str">
        <f t="shared" si="1079"/>
        <v>天津鑫淼盛源汽车部品有限公司</v>
      </c>
      <c r="B2187" s="1" t="str">
        <f>"一种变速器吊具"</f>
        <v>一种变速器吊具</v>
      </c>
      <c r="C2187" s="1" t="str">
        <f t="shared" si="1080"/>
        <v>实用新型</v>
      </c>
      <c r="D2187" s="1" t="str">
        <f t="shared" si="1081"/>
        <v>授权</v>
      </c>
      <c r="E2187" s="1" t="str">
        <f>"CN202022090868.9"</f>
        <v>CN202022090868.9</v>
      </c>
      <c r="F2187" s="1" t="str">
        <f t="shared" si="1082"/>
        <v>2020-09-22</v>
      </c>
      <c r="G2187" s="1" t="str">
        <f>"CN213802549U"</f>
        <v>CN213802549U</v>
      </c>
      <c r="H2187" s="1" t="str">
        <f>"2021-07-27"</f>
        <v>2021-07-27</v>
      </c>
      <c r="I2187" s="1" t="s">
        <v>5083</v>
      </c>
      <c r="J2187" s="1" t="str">
        <f t="shared" si="1083"/>
        <v>天津鑫淼盛源汽车部品有限公司</v>
      </c>
    </row>
    <row r="2188" spans="1:10">
      <c r="A2188" s="1" t="str">
        <f t="shared" si="1079"/>
        <v>天津鑫淼盛源汽车部品有限公司</v>
      </c>
      <c r="B2188" s="1" t="str">
        <f>"一种冲压托盘子托盘防脱出结构"</f>
        <v>一种冲压托盘子托盘防脱出结构</v>
      </c>
      <c r="C2188" s="1" t="str">
        <f t="shared" si="1080"/>
        <v>实用新型</v>
      </c>
      <c r="D2188" s="1" t="str">
        <f t="shared" si="1081"/>
        <v>授权</v>
      </c>
      <c r="E2188" s="1" t="str">
        <f>"CN202022088727.3"</f>
        <v>CN202022088727.3</v>
      </c>
      <c r="F2188" s="1" t="str">
        <f t="shared" si="1082"/>
        <v>2020-09-22</v>
      </c>
      <c r="G2188" s="1" t="str">
        <f>"CN213736588U"</f>
        <v>CN213736588U</v>
      </c>
      <c r="H2188" s="1" t="str">
        <f t="shared" ref="H2188:H2190" si="1084">"2021-07-20"</f>
        <v>2021-07-20</v>
      </c>
      <c r="I2188" s="1" t="s">
        <v>5083</v>
      </c>
      <c r="J2188" s="1" t="str">
        <f t="shared" si="1083"/>
        <v>天津鑫淼盛源汽车部品有限公司</v>
      </c>
    </row>
    <row r="2189" spans="1:10">
      <c r="A2189" s="1" t="str">
        <f t="shared" si="1079"/>
        <v>天津鑫淼盛源汽车部品有限公司</v>
      </c>
      <c r="B2189" s="1" t="str">
        <f>"一种滑道空返避免摘钩结构"</f>
        <v>一种滑道空返避免摘钩结构</v>
      </c>
      <c r="C2189" s="1" t="str">
        <f t="shared" si="1080"/>
        <v>实用新型</v>
      </c>
      <c r="D2189" s="1" t="str">
        <f t="shared" si="1081"/>
        <v>授权</v>
      </c>
      <c r="E2189" s="1" t="str">
        <f>"CN202022088721.6"</f>
        <v>CN202022088721.6</v>
      </c>
      <c r="F2189" s="1" t="str">
        <f t="shared" si="1082"/>
        <v>2020-09-22</v>
      </c>
      <c r="G2189" s="1" t="str">
        <f>"CN213734962U"</f>
        <v>CN213734962U</v>
      </c>
      <c r="H2189" s="1" t="str">
        <f t="shared" si="1084"/>
        <v>2021-07-20</v>
      </c>
      <c r="I2189" s="1" t="s">
        <v>5083</v>
      </c>
      <c r="J2189" s="1" t="str">
        <f t="shared" si="1083"/>
        <v>天津鑫淼盛源汽车部品有限公司</v>
      </c>
    </row>
    <row r="2190" spans="1:10">
      <c r="A2190" s="1" t="str">
        <f t="shared" si="1079"/>
        <v>天津鑫淼盛源汽车部品有限公司</v>
      </c>
      <c r="B2190" s="1" t="str">
        <f>"台车半自动牵引"</f>
        <v>台车半自动牵引</v>
      </c>
      <c r="C2190" s="1" t="str">
        <f t="shared" si="1080"/>
        <v>实用新型</v>
      </c>
      <c r="D2190" s="1" t="str">
        <f t="shared" si="1081"/>
        <v>授权</v>
      </c>
      <c r="E2190" s="1" t="str">
        <f>"CN202022090876.3"</f>
        <v>CN202022090876.3</v>
      </c>
      <c r="F2190" s="1" t="str">
        <f t="shared" si="1082"/>
        <v>2020-09-22</v>
      </c>
      <c r="G2190" s="1" t="str">
        <f>"CN213734481U"</f>
        <v>CN213734481U</v>
      </c>
      <c r="H2190" s="1" t="str">
        <f t="shared" si="1084"/>
        <v>2021-07-20</v>
      </c>
      <c r="I2190" s="1" t="s">
        <v>5083</v>
      </c>
      <c r="J2190" s="1" t="str">
        <f t="shared" si="1083"/>
        <v>天津鑫淼盛源汽车部品有限公司</v>
      </c>
    </row>
    <row r="2191" spans="1:10">
      <c r="A2191" s="1" t="str">
        <f t="shared" si="1079"/>
        <v>天津鑫淼盛源汽车部品有限公司</v>
      </c>
      <c r="B2191" s="1" t="str">
        <f>"一种总装大灯台车"</f>
        <v>一种总装大灯台车</v>
      </c>
      <c r="C2191" s="1" t="str">
        <f t="shared" si="1080"/>
        <v>实用新型</v>
      </c>
      <c r="D2191" s="1" t="str">
        <f t="shared" si="1081"/>
        <v>授权</v>
      </c>
      <c r="E2191" s="1" t="str">
        <f>"CN202022088725.4"</f>
        <v>CN202022088725.4</v>
      </c>
      <c r="F2191" s="1" t="str">
        <f t="shared" si="1082"/>
        <v>2020-09-22</v>
      </c>
      <c r="G2191" s="1" t="str">
        <f>"CN213676762U"</f>
        <v>CN213676762U</v>
      </c>
      <c r="H2191" s="1" t="str">
        <f>"2021-07-13"</f>
        <v>2021-07-13</v>
      </c>
      <c r="I2191" s="1" t="s">
        <v>5083</v>
      </c>
      <c r="J2191" s="1" t="str">
        <f t="shared" si="1083"/>
        <v>天津鑫淼盛源汽车部品有限公司</v>
      </c>
    </row>
    <row r="2192" spans="1:10">
      <c r="A2192" s="1" t="str">
        <f t="shared" si="1079"/>
        <v>天津鑫淼盛源汽车部品有限公司</v>
      </c>
      <c r="B2192" s="1" t="str">
        <f>"旋转焊接检查台"</f>
        <v>旋转焊接检查台</v>
      </c>
      <c r="C2192" s="1" t="str">
        <f t="shared" si="1080"/>
        <v>实用新型</v>
      </c>
      <c r="D2192" s="1" t="str">
        <f t="shared" si="1081"/>
        <v>授权</v>
      </c>
      <c r="E2192" s="1" t="str">
        <f>"CN202022088815.3"</f>
        <v>CN202022088815.3</v>
      </c>
      <c r="F2192" s="1" t="str">
        <f t="shared" si="1082"/>
        <v>2020-09-22</v>
      </c>
      <c r="G2192" s="1" t="str">
        <f>"CN213614895U"</f>
        <v>CN213614895U</v>
      </c>
      <c r="H2192" s="1" t="str">
        <f>"2021-07-06"</f>
        <v>2021-07-06</v>
      </c>
      <c r="I2192" s="1" t="s">
        <v>5083</v>
      </c>
      <c r="J2192" s="1" t="str">
        <f t="shared" si="1083"/>
        <v>天津鑫淼盛源汽车部品有限公司</v>
      </c>
    </row>
    <row r="2193" spans="1:10">
      <c r="A2193" s="1" t="str">
        <f t="shared" si="1079"/>
        <v>天津鑫淼盛源汽车部品有限公司</v>
      </c>
      <c r="B2193" s="1" t="str">
        <f>"一种变速箱托盘"</f>
        <v>一种变速箱托盘</v>
      </c>
      <c r="C2193" s="1" t="str">
        <f t="shared" si="1080"/>
        <v>实用新型</v>
      </c>
      <c r="D2193" s="1" t="str">
        <f t="shared" si="1081"/>
        <v>授权</v>
      </c>
      <c r="E2193" s="1" t="str">
        <f>"CN202022090940.8"</f>
        <v>CN202022090940.8</v>
      </c>
      <c r="F2193" s="1" t="str">
        <f t="shared" si="1082"/>
        <v>2020-09-22</v>
      </c>
      <c r="G2193" s="1" t="str">
        <f>"CN213620857U"</f>
        <v>CN213620857U</v>
      </c>
      <c r="H2193" s="1" t="str">
        <f>"2021-07-06"</f>
        <v>2021-07-06</v>
      </c>
      <c r="I2193" s="1" t="s">
        <v>5083</v>
      </c>
      <c r="J2193" s="1" t="str">
        <f t="shared" si="1083"/>
        <v>天津鑫淼盛源汽车部品有限公司</v>
      </c>
    </row>
    <row r="2194" spans="1:10">
      <c r="A2194" s="1" t="str">
        <f t="shared" si="1079"/>
        <v>天津鑫淼盛源汽车部品有限公司</v>
      </c>
      <c r="B2194" s="1" t="str">
        <f>"一种新型物流电池台车"</f>
        <v>一种新型物流电池台车</v>
      </c>
      <c r="C2194" s="1" t="str">
        <f t="shared" si="1080"/>
        <v>实用新型</v>
      </c>
      <c r="D2194" s="1" t="str">
        <f t="shared" si="1081"/>
        <v>授权</v>
      </c>
      <c r="E2194" s="1" t="str">
        <f>"CN202022088752.1"</f>
        <v>CN202022088752.1</v>
      </c>
      <c r="F2194" s="1" t="str">
        <f t="shared" si="1082"/>
        <v>2020-09-22</v>
      </c>
      <c r="G2194" s="1" t="str">
        <f>"CN213502581U"</f>
        <v>CN213502581U</v>
      </c>
      <c r="H2194" s="1" t="str">
        <f t="shared" ref="H2194:H2196" si="1085">"2021-06-22"</f>
        <v>2021-06-22</v>
      </c>
      <c r="I2194" s="1" t="s">
        <v>5083</v>
      </c>
      <c r="J2194" s="1" t="str">
        <f t="shared" si="1083"/>
        <v>天津鑫淼盛源汽车部品有限公司</v>
      </c>
    </row>
    <row r="2195" spans="1:10">
      <c r="A2195" s="1" t="str">
        <f t="shared" si="1079"/>
        <v>天津鑫淼盛源汽车部品有限公司</v>
      </c>
      <c r="B2195" s="1" t="str">
        <f>"一种叉车作业员IPAD支架"</f>
        <v>一种叉车作业员IPAD支架</v>
      </c>
      <c r="C2195" s="1" t="str">
        <f t="shared" si="1080"/>
        <v>实用新型</v>
      </c>
      <c r="D2195" s="1" t="str">
        <f t="shared" si="1081"/>
        <v>授权</v>
      </c>
      <c r="E2195" s="1" t="str">
        <f>"CN202022090929.1"</f>
        <v>CN202022090929.1</v>
      </c>
      <c r="F2195" s="1" t="str">
        <f t="shared" si="1082"/>
        <v>2020-09-22</v>
      </c>
      <c r="G2195" s="1" t="str">
        <f>"CN213512931U"</f>
        <v>CN213512931U</v>
      </c>
      <c r="H2195" s="1" t="str">
        <f t="shared" si="1085"/>
        <v>2021-06-22</v>
      </c>
      <c r="I2195" s="1" t="s">
        <v>5083</v>
      </c>
      <c r="J2195" s="1" t="str">
        <f t="shared" si="1083"/>
        <v>天津鑫淼盛源汽车部品有限公司</v>
      </c>
    </row>
    <row r="2196" spans="1:10">
      <c r="A2196" s="1" t="str">
        <f t="shared" si="1079"/>
        <v>天津鑫淼盛源汽车部品有限公司</v>
      </c>
      <c r="B2196" s="1" t="str">
        <f>"二物流刹车联动机构"</f>
        <v>二物流刹车联动机构</v>
      </c>
      <c r="C2196" s="1" t="str">
        <f t="shared" si="1080"/>
        <v>实用新型</v>
      </c>
      <c r="D2196" s="1" t="str">
        <f t="shared" si="1081"/>
        <v>授权</v>
      </c>
      <c r="E2196" s="1" t="str">
        <f>"CN202022088747.0"</f>
        <v>CN202022088747.0</v>
      </c>
      <c r="F2196" s="1" t="str">
        <f t="shared" si="1082"/>
        <v>2020-09-22</v>
      </c>
      <c r="G2196" s="1" t="str">
        <f>"CN213502248U"</f>
        <v>CN213502248U</v>
      </c>
      <c r="H2196" s="1" t="str">
        <f t="shared" si="1085"/>
        <v>2021-06-22</v>
      </c>
      <c r="I2196" s="1" t="s">
        <v>5083</v>
      </c>
      <c r="J2196" s="1" t="str">
        <f t="shared" si="1083"/>
        <v>天津鑫淼盛源汽车部品有限公司</v>
      </c>
    </row>
    <row r="2197" spans="1:10">
      <c r="A2197" s="1" t="str">
        <f t="shared" si="1079"/>
        <v>天津鑫淼盛源汽车部品有限公司</v>
      </c>
      <c r="B2197" s="1" t="str">
        <f>"冲压翻转检测台"</f>
        <v>冲压翻转检测台</v>
      </c>
      <c r="C2197" s="1" t="str">
        <f t="shared" si="1080"/>
        <v>实用新型</v>
      </c>
      <c r="D2197" s="1" t="str">
        <f t="shared" si="1081"/>
        <v>授权</v>
      </c>
      <c r="E2197" s="1" t="str">
        <f>"CN202022090944.6"</f>
        <v>CN202022090944.6</v>
      </c>
      <c r="F2197" s="1" t="str">
        <f t="shared" si="1082"/>
        <v>2020-09-22</v>
      </c>
      <c r="G2197" s="1" t="str">
        <f>"CN213422120U"</f>
        <v>CN213422120U</v>
      </c>
      <c r="H2197" s="1" t="str">
        <f>"2021-06-11"</f>
        <v>2021-06-11</v>
      </c>
      <c r="I2197" s="1" t="s">
        <v>5083</v>
      </c>
      <c r="J2197" s="1" t="str">
        <f t="shared" si="1083"/>
        <v>天津鑫淼盛源汽车部品有限公司</v>
      </c>
    </row>
    <row r="2198" spans="1:10">
      <c r="A2198" s="1" t="str">
        <f t="shared" ref="A2198:A2212" si="1086">"天津市华辰嘉业汽车零部件有限公司"</f>
        <v>天津市华辰嘉业汽车零部件有限公司</v>
      </c>
      <c r="B2198" s="1" t="str">
        <f>"一种注塑成型机的塑料粒子烘干装置"</f>
        <v>一种注塑成型机的塑料粒子烘干装置</v>
      </c>
      <c r="C2198" s="1" t="str">
        <f t="shared" si="1080"/>
        <v>实用新型</v>
      </c>
      <c r="D2198" s="1" t="str">
        <f t="shared" ref="D2198:D2213" si="1087">"未缴年费专利权终止"</f>
        <v>未缴年费专利权终止</v>
      </c>
      <c r="E2198" s="1" t="str">
        <f>"CN201922385434.9"</f>
        <v>CN201922385434.9</v>
      </c>
      <c r="F2198" s="1" t="str">
        <f t="shared" ref="F2198:F2212" si="1088">"2019-12-26"</f>
        <v>2019-12-26</v>
      </c>
      <c r="G2198" s="1" t="str">
        <f>"CN212123821U"</f>
        <v>CN212123821U</v>
      </c>
      <c r="H2198" s="1" t="str">
        <f>"2020-12-11"</f>
        <v>2020-12-11</v>
      </c>
      <c r="I2198" s="1" t="str">
        <f t="shared" ref="I2198:I2212" si="1089">"王玉军"</f>
        <v>王玉军</v>
      </c>
      <c r="J2198" s="1" t="str">
        <f t="shared" ref="J2198:J2212" si="1090">"天津市华辰嘉业汽车零部件有限公司"</f>
        <v>天津市华辰嘉业汽车零部件有限公司</v>
      </c>
    </row>
    <row r="2199" spans="1:10">
      <c r="A2199" s="1" t="str">
        <f t="shared" si="1086"/>
        <v>天津市华辰嘉业汽车零部件有限公司</v>
      </c>
      <c r="B2199" s="1" t="str">
        <f>"一种高效双管夹加工用夹持装置"</f>
        <v>一种高效双管夹加工用夹持装置</v>
      </c>
      <c r="C2199" s="1" t="str">
        <f t="shared" si="1080"/>
        <v>实用新型</v>
      </c>
      <c r="D2199" s="1" t="str">
        <f t="shared" si="1087"/>
        <v>未缴年费专利权终止</v>
      </c>
      <c r="E2199" s="1" t="str">
        <f>"CN201922386808.9"</f>
        <v>CN201922386808.9</v>
      </c>
      <c r="F2199" s="1" t="str">
        <f t="shared" si="1088"/>
        <v>2019-12-26</v>
      </c>
      <c r="G2199" s="1" t="str">
        <f>"CN212020756U"</f>
        <v>CN212020756U</v>
      </c>
      <c r="H2199" s="1" t="str">
        <f t="shared" ref="H2199:H2201" si="1091">"2020-11-27"</f>
        <v>2020-11-27</v>
      </c>
      <c r="I2199" s="1" t="str">
        <f t="shared" si="1089"/>
        <v>王玉军</v>
      </c>
      <c r="J2199" s="1" t="str">
        <f t="shared" si="1090"/>
        <v>天津市华辰嘉业汽车零部件有限公司</v>
      </c>
    </row>
    <row r="2200" spans="1:10">
      <c r="A2200" s="1" t="str">
        <f t="shared" si="1086"/>
        <v>天津市华辰嘉业汽车零部件有限公司</v>
      </c>
      <c r="B2200" s="1" t="str">
        <f>"一种管夹加工用冲压装置"</f>
        <v>一种管夹加工用冲压装置</v>
      </c>
      <c r="C2200" s="1" t="str">
        <f t="shared" si="1080"/>
        <v>实用新型</v>
      </c>
      <c r="D2200" s="1" t="str">
        <f t="shared" si="1087"/>
        <v>未缴年费专利权终止</v>
      </c>
      <c r="E2200" s="1" t="str">
        <f>"CN201922387832.4"</f>
        <v>CN201922387832.4</v>
      </c>
      <c r="F2200" s="1" t="str">
        <f t="shared" si="1088"/>
        <v>2019-12-26</v>
      </c>
      <c r="G2200" s="1" t="str">
        <f>"CN212019060U"</f>
        <v>CN212019060U</v>
      </c>
      <c r="H2200" s="1" t="str">
        <f t="shared" si="1091"/>
        <v>2020-11-27</v>
      </c>
      <c r="I2200" s="1" t="str">
        <f t="shared" si="1089"/>
        <v>王玉军</v>
      </c>
      <c r="J2200" s="1" t="str">
        <f t="shared" si="1090"/>
        <v>天津市华辰嘉业汽车零部件有限公司</v>
      </c>
    </row>
    <row r="2201" spans="1:10">
      <c r="A2201" s="1" t="str">
        <f t="shared" si="1086"/>
        <v>天津市华辰嘉业汽车零部件有限公司</v>
      </c>
      <c r="B2201" s="1" t="str">
        <f>"一种高效可调节的双管夹加工用折弯装置"</f>
        <v>一种高效可调节的双管夹加工用折弯装置</v>
      </c>
      <c r="C2201" s="1" t="str">
        <f t="shared" si="1080"/>
        <v>实用新型</v>
      </c>
      <c r="D2201" s="1" t="str">
        <f t="shared" si="1087"/>
        <v>未缴年费专利权终止</v>
      </c>
      <c r="E2201" s="1" t="str">
        <f>"CN201922392563.0"</f>
        <v>CN201922392563.0</v>
      </c>
      <c r="F2201" s="1" t="str">
        <f t="shared" si="1088"/>
        <v>2019-12-26</v>
      </c>
      <c r="G2201" s="1" t="str">
        <f>"CN212019199U"</f>
        <v>CN212019199U</v>
      </c>
      <c r="H2201" s="1" t="str">
        <f t="shared" si="1091"/>
        <v>2020-11-27</v>
      </c>
      <c r="I2201" s="1" t="str">
        <f t="shared" si="1089"/>
        <v>王玉军</v>
      </c>
      <c r="J2201" s="1" t="str">
        <f t="shared" si="1090"/>
        <v>天津市华辰嘉业汽车零部件有限公司</v>
      </c>
    </row>
    <row r="2202" spans="1:10">
      <c r="A2202" s="1" t="str">
        <f t="shared" si="1086"/>
        <v>天津市华辰嘉业汽车零部件有限公司</v>
      </c>
      <c r="B2202" s="1" t="str">
        <f>"一种快速冷却的注塑成型模具"</f>
        <v>一种快速冷却的注塑成型模具</v>
      </c>
      <c r="C2202" s="1" t="str">
        <f t="shared" si="1080"/>
        <v>实用新型</v>
      </c>
      <c r="D2202" s="1" t="str">
        <f t="shared" si="1087"/>
        <v>未缴年费专利权终止</v>
      </c>
      <c r="E2202" s="1" t="str">
        <f>"CN201922386982.3"</f>
        <v>CN201922386982.3</v>
      </c>
      <c r="F2202" s="1" t="str">
        <f t="shared" si="1088"/>
        <v>2019-12-26</v>
      </c>
      <c r="G2202" s="1" t="str">
        <f>"CN211763122U"</f>
        <v>CN211763122U</v>
      </c>
      <c r="H2202" s="1" t="str">
        <f>"2020-10-27"</f>
        <v>2020-10-27</v>
      </c>
      <c r="I2202" s="1" t="str">
        <f t="shared" si="1089"/>
        <v>王玉军</v>
      </c>
      <c r="J2202" s="1" t="str">
        <f t="shared" si="1090"/>
        <v>天津市华辰嘉业汽车零部件有限公司</v>
      </c>
    </row>
    <row r="2203" spans="1:10">
      <c r="A2203" s="1" t="str">
        <f t="shared" si="1086"/>
        <v>天津市华辰嘉业汽车零部件有限公司</v>
      </c>
      <c r="B2203" s="1" t="str">
        <f>"一种便于调节的单管夹生产夹具"</f>
        <v>一种便于调节的单管夹生产夹具</v>
      </c>
      <c r="C2203" s="1" t="str">
        <f t="shared" si="1080"/>
        <v>实用新型</v>
      </c>
      <c r="D2203" s="1" t="str">
        <f t="shared" si="1087"/>
        <v>未缴年费专利权终止</v>
      </c>
      <c r="E2203" s="1" t="str">
        <f>"CN201922392562.6"</f>
        <v>CN201922392562.6</v>
      </c>
      <c r="F2203" s="1" t="str">
        <f t="shared" si="1088"/>
        <v>2019-12-26</v>
      </c>
      <c r="G2203" s="1" t="str">
        <f>"CN211760036U"</f>
        <v>CN211760036U</v>
      </c>
      <c r="H2203" s="1" t="str">
        <f>"2020-10-27"</f>
        <v>2020-10-27</v>
      </c>
      <c r="I2203" s="1" t="str">
        <f t="shared" si="1089"/>
        <v>王玉军</v>
      </c>
      <c r="J2203" s="1" t="str">
        <f t="shared" si="1090"/>
        <v>天津市华辰嘉业汽车零部件有限公司</v>
      </c>
    </row>
    <row r="2204" spans="1:10">
      <c r="A2204" s="1" t="str">
        <f t="shared" si="1086"/>
        <v>天津市华辰嘉业汽车零部件有限公司</v>
      </c>
      <c r="B2204" s="1" t="str">
        <f>"一种注塑成型用模芯冷却装置"</f>
        <v>一种注塑成型用模芯冷却装置</v>
      </c>
      <c r="C2204" s="1" t="str">
        <f t="shared" si="1080"/>
        <v>实用新型</v>
      </c>
      <c r="D2204" s="1" t="str">
        <f t="shared" si="1087"/>
        <v>未缴年费专利权终止</v>
      </c>
      <c r="E2204" s="1" t="str">
        <f>"CN201922382019.8"</f>
        <v>CN201922382019.8</v>
      </c>
      <c r="F2204" s="1" t="str">
        <f t="shared" si="1088"/>
        <v>2019-12-26</v>
      </c>
      <c r="G2204" s="1" t="str">
        <f>"CN211416170U"</f>
        <v>CN211416170U</v>
      </c>
      <c r="H2204" s="1" t="str">
        <f>"2020-09-04"</f>
        <v>2020-09-04</v>
      </c>
      <c r="I2204" s="1" t="str">
        <f t="shared" si="1089"/>
        <v>王玉军</v>
      </c>
      <c r="J2204" s="1" t="str">
        <f t="shared" si="1090"/>
        <v>天津市华辰嘉业汽车零部件有限公司</v>
      </c>
    </row>
    <row r="2205" spans="1:10">
      <c r="A2205" s="1" t="str">
        <f t="shared" si="1086"/>
        <v>天津市华辰嘉业汽车零部件有限公司</v>
      </c>
      <c r="B2205" s="1" t="str">
        <f>"一种注塑机用高效烘干装置"</f>
        <v>一种注塑机用高效烘干装置</v>
      </c>
      <c r="C2205" s="1" t="str">
        <f t="shared" si="1080"/>
        <v>实用新型</v>
      </c>
      <c r="D2205" s="1" t="str">
        <f t="shared" si="1087"/>
        <v>未缴年费专利权终止</v>
      </c>
      <c r="E2205" s="1" t="str">
        <f>"CN201922385444.2"</f>
        <v>CN201922385444.2</v>
      </c>
      <c r="F2205" s="1" t="str">
        <f t="shared" si="1088"/>
        <v>2019-12-26</v>
      </c>
      <c r="G2205" s="1" t="str">
        <f>"CN211334146U"</f>
        <v>CN211334146U</v>
      </c>
      <c r="H2205" s="1" t="str">
        <f t="shared" ref="H2205:H2209" si="1092">"2020-08-25"</f>
        <v>2020-08-25</v>
      </c>
      <c r="I2205" s="1" t="str">
        <f t="shared" si="1089"/>
        <v>王玉军</v>
      </c>
      <c r="J2205" s="1" t="str">
        <f t="shared" si="1090"/>
        <v>天津市华辰嘉业汽车零部件有限公司</v>
      </c>
    </row>
    <row r="2206" spans="1:10">
      <c r="A2206" s="1" t="str">
        <f t="shared" si="1086"/>
        <v>天津市华辰嘉业汽车零部件有限公司</v>
      </c>
      <c r="B2206" s="1" t="str">
        <f>"一种注塑成型机用辅助冷却装置"</f>
        <v>一种注塑成型机用辅助冷却装置</v>
      </c>
      <c r="C2206" s="1" t="str">
        <f t="shared" si="1080"/>
        <v>实用新型</v>
      </c>
      <c r="D2206" s="1" t="str">
        <f t="shared" si="1087"/>
        <v>未缴年费专利权终止</v>
      </c>
      <c r="E2206" s="1" t="str">
        <f>"CN201922382074.7"</f>
        <v>CN201922382074.7</v>
      </c>
      <c r="F2206" s="1" t="str">
        <f t="shared" si="1088"/>
        <v>2019-12-26</v>
      </c>
      <c r="G2206" s="1" t="str">
        <f>"CN211334322U"</f>
        <v>CN211334322U</v>
      </c>
      <c r="H2206" s="1" t="str">
        <f t="shared" si="1092"/>
        <v>2020-08-25</v>
      </c>
      <c r="I2206" s="1" t="str">
        <f t="shared" si="1089"/>
        <v>王玉军</v>
      </c>
      <c r="J2206" s="1" t="str">
        <f t="shared" si="1090"/>
        <v>天津市华辰嘉业汽车零部件有限公司</v>
      </c>
    </row>
    <row r="2207" spans="1:10">
      <c r="A2207" s="1" t="str">
        <f t="shared" si="1086"/>
        <v>天津市华辰嘉业汽车零部件有限公司</v>
      </c>
      <c r="B2207" s="1" t="str">
        <f>"一种注塑成型机用脱模装置"</f>
        <v>一种注塑成型机用脱模装置</v>
      </c>
      <c r="C2207" s="1" t="str">
        <f t="shared" si="1080"/>
        <v>实用新型</v>
      </c>
      <c r="D2207" s="1" t="str">
        <f t="shared" si="1087"/>
        <v>未缴年费专利权终止</v>
      </c>
      <c r="E2207" s="1" t="str">
        <f>"CN201922385462.0"</f>
        <v>CN201922385462.0</v>
      </c>
      <c r="F2207" s="1" t="str">
        <f t="shared" si="1088"/>
        <v>2019-12-26</v>
      </c>
      <c r="G2207" s="1" t="str">
        <f>"CN211334427U"</f>
        <v>CN211334427U</v>
      </c>
      <c r="H2207" s="1" t="str">
        <f t="shared" si="1092"/>
        <v>2020-08-25</v>
      </c>
      <c r="I2207" s="1" t="str">
        <f t="shared" si="1089"/>
        <v>王玉军</v>
      </c>
      <c r="J2207" s="1" t="str">
        <f t="shared" si="1090"/>
        <v>天津市华辰嘉业汽车零部件有限公司</v>
      </c>
    </row>
    <row r="2208" spans="1:10">
      <c r="A2208" s="1" t="str">
        <f t="shared" si="1086"/>
        <v>天津市华辰嘉业汽车零部件有限公司</v>
      </c>
      <c r="B2208" s="1" t="str">
        <f>"一种注塑成型用产品顶出装置"</f>
        <v>一种注塑成型用产品顶出装置</v>
      </c>
      <c r="C2208" s="1" t="str">
        <f t="shared" si="1080"/>
        <v>实用新型</v>
      </c>
      <c r="D2208" s="1" t="str">
        <f t="shared" si="1087"/>
        <v>未缴年费专利权终止</v>
      </c>
      <c r="E2208" s="1" t="str">
        <f>"CN201922385463.5"</f>
        <v>CN201922385463.5</v>
      </c>
      <c r="F2208" s="1" t="str">
        <f t="shared" si="1088"/>
        <v>2019-12-26</v>
      </c>
      <c r="G2208" s="1" t="str">
        <f>"CN211334418U"</f>
        <v>CN211334418U</v>
      </c>
      <c r="H2208" s="1" t="str">
        <f t="shared" si="1092"/>
        <v>2020-08-25</v>
      </c>
      <c r="I2208" s="1" t="str">
        <f t="shared" si="1089"/>
        <v>王玉军</v>
      </c>
      <c r="J2208" s="1" t="str">
        <f t="shared" si="1090"/>
        <v>天津市华辰嘉业汽车零部件有限公司</v>
      </c>
    </row>
    <row r="2209" spans="1:10">
      <c r="A2209" s="1" t="str">
        <f t="shared" si="1086"/>
        <v>天津市华辰嘉业汽车零部件有限公司</v>
      </c>
      <c r="B2209" s="1" t="str">
        <f>"一种注塑成型机用注射装置"</f>
        <v>一种注塑成型机用注射装置</v>
      </c>
      <c r="C2209" s="1" t="str">
        <f t="shared" si="1080"/>
        <v>实用新型</v>
      </c>
      <c r="D2209" s="1" t="str">
        <f t="shared" si="1087"/>
        <v>未缴年费专利权终止</v>
      </c>
      <c r="E2209" s="1" t="str">
        <f>"CN201922382186.2"</f>
        <v>CN201922382186.2</v>
      </c>
      <c r="F2209" s="1" t="str">
        <f t="shared" si="1088"/>
        <v>2019-12-26</v>
      </c>
      <c r="G2209" s="1" t="str">
        <f>"CN211334435U"</f>
        <v>CN211334435U</v>
      </c>
      <c r="H2209" s="1" t="str">
        <f t="shared" si="1092"/>
        <v>2020-08-25</v>
      </c>
      <c r="I2209" s="1" t="str">
        <f t="shared" si="1089"/>
        <v>王玉军</v>
      </c>
      <c r="J2209" s="1" t="str">
        <f t="shared" si="1090"/>
        <v>天津市华辰嘉业汽车零部件有限公司</v>
      </c>
    </row>
    <row r="2210" spans="1:10">
      <c r="A2210" s="1" t="str">
        <f t="shared" si="1086"/>
        <v>天津市华辰嘉业汽车零部件有限公司</v>
      </c>
      <c r="B2210" s="1" t="str">
        <f>"一种管夹折弯用可调定位装置"</f>
        <v>一种管夹折弯用可调定位装置</v>
      </c>
      <c r="C2210" s="1" t="str">
        <f t="shared" si="1080"/>
        <v>实用新型</v>
      </c>
      <c r="D2210" s="1" t="str">
        <f t="shared" si="1087"/>
        <v>未缴年费专利权终止</v>
      </c>
      <c r="E2210" s="1" t="str">
        <f>"CN201922391777.6"</f>
        <v>CN201922391777.6</v>
      </c>
      <c r="F2210" s="1" t="str">
        <f t="shared" si="1088"/>
        <v>2019-12-26</v>
      </c>
      <c r="G2210" s="1" t="str">
        <f>"CN211275985U"</f>
        <v>CN211275985U</v>
      </c>
      <c r="H2210" s="1" t="str">
        <f>"2020-08-18"</f>
        <v>2020-08-18</v>
      </c>
      <c r="I2210" s="1" t="str">
        <f t="shared" si="1089"/>
        <v>王玉军</v>
      </c>
      <c r="J2210" s="1" t="str">
        <f t="shared" si="1090"/>
        <v>天津市华辰嘉业汽车零部件有限公司</v>
      </c>
    </row>
    <row r="2211" spans="1:10">
      <c r="A2211" s="1" t="str">
        <f t="shared" si="1086"/>
        <v>天津市华辰嘉业汽车零部件有限公司</v>
      </c>
      <c r="B2211" s="1" t="str">
        <f>"一种便于调试的单管夹生产用冲压装置"</f>
        <v>一种便于调试的单管夹生产用冲压装置</v>
      </c>
      <c r="C2211" s="1" t="str">
        <f t="shared" si="1080"/>
        <v>实用新型</v>
      </c>
      <c r="D2211" s="1" t="str">
        <f t="shared" si="1087"/>
        <v>未缴年费专利权终止</v>
      </c>
      <c r="E2211" s="1" t="str">
        <f>"CN201922386807.4"</f>
        <v>CN201922386807.4</v>
      </c>
      <c r="F2211" s="1" t="str">
        <f t="shared" si="1088"/>
        <v>2019-12-26</v>
      </c>
      <c r="G2211" s="1" t="str">
        <f>"CN211276064U"</f>
        <v>CN211276064U</v>
      </c>
      <c r="H2211" s="1" t="str">
        <f>"2020-08-18"</f>
        <v>2020-08-18</v>
      </c>
      <c r="I2211" s="1" t="str">
        <f t="shared" si="1089"/>
        <v>王玉军</v>
      </c>
      <c r="J2211" s="1" t="str">
        <f t="shared" si="1090"/>
        <v>天津市华辰嘉业汽车零部件有限公司</v>
      </c>
    </row>
    <row r="2212" spans="1:10">
      <c r="A2212" s="1" t="str">
        <f t="shared" si="1086"/>
        <v>天津市华辰嘉业汽车零部件有限公司</v>
      </c>
      <c r="B2212" s="1" t="str">
        <f>"一种便于调节的双管夹加工用固定装置"</f>
        <v>一种便于调节的双管夹加工用固定装置</v>
      </c>
      <c r="C2212" s="1" t="str">
        <f t="shared" si="1080"/>
        <v>实用新型</v>
      </c>
      <c r="D2212" s="1" t="str">
        <f t="shared" si="1087"/>
        <v>未缴年费专利权终止</v>
      </c>
      <c r="E2212" s="1" t="str">
        <f>"CN201922391005.2"</f>
        <v>CN201922391005.2</v>
      </c>
      <c r="F2212" s="1" t="str">
        <f t="shared" si="1088"/>
        <v>2019-12-26</v>
      </c>
      <c r="G2212" s="1" t="str">
        <f>"CN211249788U"</f>
        <v>CN211249788U</v>
      </c>
      <c r="H2212" s="1" t="str">
        <f>"2020-08-14"</f>
        <v>2020-08-14</v>
      </c>
      <c r="I2212" s="1" t="str">
        <f t="shared" si="1089"/>
        <v>王玉军</v>
      </c>
      <c r="J2212" s="1" t="str">
        <f t="shared" si="1090"/>
        <v>天津市华辰嘉业汽车零部件有限公司</v>
      </c>
    </row>
    <row r="2213" spans="1:10">
      <c r="A2213" s="1" t="str">
        <f>"天津华松电动汽车配件制造有限公司"</f>
        <v>天津华松电动汽车配件制造有限公司</v>
      </c>
      <c r="B2213" s="1" t="str">
        <f>"电动自行车气压减震前叉"</f>
        <v>电动自行车气压减震前叉</v>
      </c>
      <c r="C2213" s="1" t="str">
        <f t="shared" si="1080"/>
        <v>实用新型</v>
      </c>
      <c r="D2213" s="1" t="str">
        <f t="shared" si="1087"/>
        <v>未缴年费专利权终止</v>
      </c>
      <c r="E2213" s="1" t="str">
        <f>"CN202120447888.9"</f>
        <v>CN202120447888.9</v>
      </c>
      <c r="F2213" s="1" t="str">
        <f>"2021-03-02"</f>
        <v>2021-03-02</v>
      </c>
      <c r="G2213" s="1" t="str">
        <f>"CN214493222U"</f>
        <v>CN214493222U</v>
      </c>
      <c r="H2213" s="1" t="str">
        <f>"2021-10-26"</f>
        <v>2021-10-26</v>
      </c>
      <c r="I2213" s="1" t="str">
        <f>"张冬松"</f>
        <v>张冬松</v>
      </c>
      <c r="J2213" s="1" t="str">
        <f>"天津华松电动汽车配件制造有限公司"</f>
        <v>天津华松电动汽车配件制造有限公司</v>
      </c>
    </row>
    <row r="2214" spans="1:10">
      <c r="A2214" s="1" t="str">
        <f t="shared" ref="A2214:A2236" si="1093">"天津未来汽车部品有限公司"</f>
        <v>天津未来汽车部品有限公司</v>
      </c>
      <c r="B2214" s="1" t="str">
        <f>"一种冷冲压模具加工用定位装置"</f>
        <v>一种冷冲压模具加工用定位装置</v>
      </c>
      <c r="C2214" s="1" t="str">
        <f t="shared" si="1080"/>
        <v>实用新型</v>
      </c>
      <c r="D2214" s="1" t="str">
        <f t="shared" ref="D2214:D2225" si="1094">"授权"</f>
        <v>授权</v>
      </c>
      <c r="E2214" s="1" t="str">
        <f>"CN202323125723.8"</f>
        <v>CN202323125723.8</v>
      </c>
      <c r="F2214" s="1" t="str">
        <f>"2023-11-20"</f>
        <v>2023-11-20</v>
      </c>
      <c r="G2214" s="1" t="str">
        <f>"CN221248547U"</f>
        <v>CN221248547U</v>
      </c>
      <c r="H2214" s="1" t="str">
        <f>"2024-07-02"</f>
        <v>2024-07-02</v>
      </c>
      <c r="I2214" s="1" t="s">
        <v>5084</v>
      </c>
      <c r="J2214" s="1" t="str">
        <f t="shared" ref="J2214:J2236" si="1095">"天津未来汽车部品有限公司"</f>
        <v>天津未来汽车部品有限公司</v>
      </c>
    </row>
    <row r="2215" spans="1:10">
      <c r="A2215" s="1" t="str">
        <f t="shared" si="1093"/>
        <v>天津未来汽车部品有限公司</v>
      </c>
      <c r="B2215" s="1" t="str">
        <f>"一种具有调节吸力功能的吸盘式机械手"</f>
        <v>一种具有调节吸力功能的吸盘式机械手</v>
      </c>
      <c r="C2215" s="1" t="str">
        <f t="shared" si="1080"/>
        <v>实用新型</v>
      </c>
      <c r="D2215" s="1" t="str">
        <f t="shared" si="1094"/>
        <v>授权</v>
      </c>
      <c r="E2215" s="1" t="str">
        <f>"CN202320157967.5"</f>
        <v>CN202320157967.5</v>
      </c>
      <c r="F2215" s="1" t="str">
        <f>"2023-02-08"</f>
        <v>2023-02-08</v>
      </c>
      <c r="G2215" s="1" t="str">
        <f>"CN219466174U"</f>
        <v>CN219466174U</v>
      </c>
      <c r="H2215" s="1" t="str">
        <f>"2023-08-04"</f>
        <v>2023-08-04</v>
      </c>
      <c r="I2215" s="1" t="s">
        <v>5084</v>
      </c>
      <c r="J2215" s="1" t="str">
        <f t="shared" si="1095"/>
        <v>天津未来汽车部品有限公司</v>
      </c>
    </row>
    <row r="2216" spans="1:10">
      <c r="A2216" s="1" t="str">
        <f t="shared" si="1093"/>
        <v>天津未来汽车部品有限公司</v>
      </c>
      <c r="B2216" s="1" t="str">
        <f>"一种注塑成品的自动修边机"</f>
        <v>一种注塑成品的自动修边机</v>
      </c>
      <c r="C2216" s="1" t="str">
        <f t="shared" si="1080"/>
        <v>实用新型</v>
      </c>
      <c r="D2216" s="1" t="str">
        <f t="shared" si="1094"/>
        <v>授权</v>
      </c>
      <c r="E2216" s="1" t="str">
        <f>"CN202320626228.6"</f>
        <v>CN202320626228.6</v>
      </c>
      <c r="F2216" s="1" t="str">
        <f>"2023-03-27"</f>
        <v>2023-03-27</v>
      </c>
      <c r="G2216" s="1" t="str">
        <f>"CN219444573U"</f>
        <v>CN219444573U</v>
      </c>
      <c r="H2216" s="1" t="str">
        <f>"2023-08-01"</f>
        <v>2023-08-01</v>
      </c>
      <c r="I2216" s="1" t="s">
        <v>5084</v>
      </c>
      <c r="J2216" s="1" t="str">
        <f t="shared" si="1095"/>
        <v>天津未来汽车部品有限公司</v>
      </c>
    </row>
    <row r="2217" spans="1:10">
      <c r="A2217" s="1" t="str">
        <f t="shared" si="1093"/>
        <v>天津未来汽车部品有限公司</v>
      </c>
      <c r="B2217" s="1" t="str">
        <f>"一种具有自动下料功能的切割组件"</f>
        <v>一种具有自动下料功能的切割组件</v>
      </c>
      <c r="C2217" s="1" t="str">
        <f t="shared" si="1080"/>
        <v>实用新型</v>
      </c>
      <c r="D2217" s="1" t="str">
        <f t="shared" si="1094"/>
        <v>授权</v>
      </c>
      <c r="E2217" s="1" t="str">
        <f>"CN202320548132.2"</f>
        <v>CN202320548132.2</v>
      </c>
      <c r="F2217" s="1" t="str">
        <f>"2023-03-20"</f>
        <v>2023-03-20</v>
      </c>
      <c r="G2217" s="1" t="str">
        <f>"CN219212240U"</f>
        <v>CN219212240U</v>
      </c>
      <c r="H2217" s="1" t="str">
        <f>"2023-06-20"</f>
        <v>2023-06-20</v>
      </c>
      <c r="I2217" s="1" t="s">
        <v>5084</v>
      </c>
      <c r="J2217" s="1" t="str">
        <f t="shared" si="1095"/>
        <v>天津未来汽车部品有限公司</v>
      </c>
    </row>
    <row r="2218" spans="1:10">
      <c r="A2218" s="1" t="str">
        <f t="shared" si="1093"/>
        <v>天津未来汽车部品有限公司</v>
      </c>
      <c r="B2218" s="1" t="str">
        <f>"一种具有嵌件定位机构的注塑模具"</f>
        <v>一种具有嵌件定位机构的注塑模具</v>
      </c>
      <c r="C2218" s="1" t="str">
        <f t="shared" si="1080"/>
        <v>实用新型</v>
      </c>
      <c r="D2218" s="1" t="str">
        <f t="shared" si="1094"/>
        <v>授权</v>
      </c>
      <c r="E2218" s="1" t="str">
        <f>"CN202320157965.6"</f>
        <v>CN202320157965.6</v>
      </c>
      <c r="F2218" s="1" t="str">
        <f>"2023-02-08"</f>
        <v>2023-02-08</v>
      </c>
      <c r="G2218" s="1" t="str">
        <f>"CN219095726U"</f>
        <v>CN219095726U</v>
      </c>
      <c r="H2218" s="1" t="str">
        <f>"2023-05-30"</f>
        <v>2023-05-30</v>
      </c>
      <c r="I2218" s="1" t="s">
        <v>5084</v>
      </c>
      <c r="J2218" s="1" t="str">
        <f t="shared" si="1095"/>
        <v>天津未来汽车部品有限公司</v>
      </c>
    </row>
    <row r="2219" spans="1:10">
      <c r="A2219" s="1" t="str">
        <f t="shared" si="1093"/>
        <v>天津未来汽车部品有限公司</v>
      </c>
      <c r="B2219" s="1" t="str">
        <f>"一种粉末原料自动上料机构"</f>
        <v>一种粉末原料自动上料机构</v>
      </c>
      <c r="C2219" s="1" t="str">
        <f t="shared" si="1080"/>
        <v>实用新型</v>
      </c>
      <c r="D2219" s="1" t="str">
        <f t="shared" si="1094"/>
        <v>授权</v>
      </c>
      <c r="E2219" s="1" t="str">
        <f>"CN202223437630.4"</f>
        <v>CN202223437630.4</v>
      </c>
      <c r="F2219" s="1" t="str">
        <f t="shared" ref="F2219:F2222" si="1096">"2022-12-21"</f>
        <v>2022-12-21</v>
      </c>
      <c r="G2219" s="1" t="str">
        <f>"CN219076236U"</f>
        <v>CN219076236U</v>
      </c>
      <c r="H2219" s="1" t="str">
        <f>"2023-05-26"</f>
        <v>2023-05-26</v>
      </c>
      <c r="I2219" s="1" t="s">
        <v>5084</v>
      </c>
      <c r="J2219" s="1" t="str">
        <f t="shared" si="1095"/>
        <v>天津未来汽车部品有限公司</v>
      </c>
    </row>
    <row r="2220" spans="1:10">
      <c r="A2220" s="1" t="str">
        <f t="shared" si="1093"/>
        <v>天津未来汽车部品有限公司</v>
      </c>
      <c r="B2220" s="1" t="str">
        <f>"一种保险杠固定支架结构"</f>
        <v>一种保险杠固定支架结构</v>
      </c>
      <c r="C2220" s="1" t="str">
        <f t="shared" si="1080"/>
        <v>实用新型</v>
      </c>
      <c r="D2220" s="1" t="str">
        <f t="shared" si="1094"/>
        <v>授权</v>
      </c>
      <c r="E2220" s="1" t="str">
        <f>"CN202223437628.7"</f>
        <v>CN202223437628.7</v>
      </c>
      <c r="F2220" s="1" t="str">
        <f t="shared" si="1096"/>
        <v>2022-12-21</v>
      </c>
      <c r="G2220" s="1" t="str">
        <f>"CN218877152U"</f>
        <v>CN218877152U</v>
      </c>
      <c r="H2220" s="1" t="str">
        <f>"2023-04-18"</f>
        <v>2023-04-18</v>
      </c>
      <c r="I2220" s="1" t="s">
        <v>5084</v>
      </c>
      <c r="J2220" s="1" t="str">
        <f t="shared" si="1095"/>
        <v>天津未来汽车部品有限公司</v>
      </c>
    </row>
    <row r="2221" spans="1:10">
      <c r="A2221" s="1" t="str">
        <f t="shared" si="1093"/>
        <v>天津未来汽车部品有限公司</v>
      </c>
      <c r="B2221" s="1" t="str">
        <f>"一种具有吸音功能的顶部加强板"</f>
        <v>一种具有吸音功能的顶部加强板</v>
      </c>
      <c r="C2221" s="1" t="str">
        <f t="shared" si="1080"/>
        <v>实用新型</v>
      </c>
      <c r="D2221" s="1" t="str">
        <f t="shared" si="1094"/>
        <v>授权</v>
      </c>
      <c r="E2221" s="1" t="str">
        <f>"CN202320157963.7"</f>
        <v>CN202320157963.7</v>
      </c>
      <c r="F2221" s="1" t="str">
        <f>"2023-02-08"</f>
        <v>2023-02-08</v>
      </c>
      <c r="G2221" s="1" t="str">
        <f>"CN218876521U"</f>
        <v>CN218876521U</v>
      </c>
      <c r="H2221" s="1" t="str">
        <f>"2023-04-18"</f>
        <v>2023-04-18</v>
      </c>
      <c r="I2221" s="1" t="s">
        <v>5084</v>
      </c>
      <c r="J2221" s="1" t="str">
        <f t="shared" si="1095"/>
        <v>天津未来汽车部品有限公司</v>
      </c>
    </row>
    <row r="2222" spans="1:10">
      <c r="A2222" s="1" t="str">
        <f t="shared" si="1093"/>
        <v>天津未来汽车部品有限公司</v>
      </c>
      <c r="B2222" s="1" t="str">
        <f>"一种保险杠组件结构"</f>
        <v>一种保险杠组件结构</v>
      </c>
      <c r="C2222" s="1" t="str">
        <f t="shared" si="1080"/>
        <v>实用新型</v>
      </c>
      <c r="D2222" s="1" t="str">
        <f t="shared" si="1094"/>
        <v>授权</v>
      </c>
      <c r="E2222" s="1" t="str">
        <f>"CN202223459324.0"</f>
        <v>CN202223459324.0</v>
      </c>
      <c r="F2222" s="1" t="str">
        <f t="shared" si="1096"/>
        <v>2022-12-21</v>
      </c>
      <c r="G2222" s="1" t="str">
        <f>"CN218805665U"</f>
        <v>CN218805665U</v>
      </c>
      <c r="H2222" s="1" t="str">
        <f>"2023-04-07"</f>
        <v>2023-04-07</v>
      </c>
      <c r="I2222" s="1" t="s">
        <v>5084</v>
      </c>
      <c r="J2222" s="1" t="str">
        <f t="shared" si="1095"/>
        <v>天津未来汽车部品有限公司</v>
      </c>
    </row>
    <row r="2223" spans="1:10">
      <c r="A2223" s="1" t="str">
        <f t="shared" si="1093"/>
        <v>天津未来汽车部品有限公司</v>
      </c>
      <c r="B2223" s="1" t="str">
        <f>"一种汽车踏脚板成型模具冷却机构"</f>
        <v>一种汽车踏脚板成型模具冷却机构</v>
      </c>
      <c r="C2223" s="1" t="str">
        <f t="shared" si="1080"/>
        <v>实用新型</v>
      </c>
      <c r="D2223" s="1" t="str">
        <f t="shared" si="1094"/>
        <v>授权</v>
      </c>
      <c r="E2223" s="1" t="str">
        <f>"CN202021814051.5"</f>
        <v>CN202021814051.5</v>
      </c>
      <c r="F2223" s="1" t="str">
        <f>"2020-08-26"</f>
        <v>2020-08-26</v>
      </c>
      <c r="G2223" s="1" t="str">
        <f>"CN213288380U"</f>
        <v>CN213288380U</v>
      </c>
      <c r="H2223" s="1" t="str">
        <f t="shared" ref="H2223:H2236" si="1097">"2021-05-28"</f>
        <v>2021-05-28</v>
      </c>
      <c r="I2223" s="1" t="str">
        <f t="shared" ref="I2223:I2236" si="1098">"夏绒"</f>
        <v>夏绒</v>
      </c>
      <c r="J2223" s="1" t="str">
        <f t="shared" si="1095"/>
        <v>天津未来汽车部品有限公司</v>
      </c>
    </row>
    <row r="2224" spans="1:10">
      <c r="A2224" s="1" t="str">
        <f t="shared" si="1093"/>
        <v>天津未来汽车部品有限公司</v>
      </c>
      <c r="B2224" s="1" t="str">
        <f>"一种车顶加强板加工用模具定位机构"</f>
        <v>一种车顶加强板加工用模具定位机构</v>
      </c>
      <c r="C2224" s="1" t="str">
        <f t="shared" si="1080"/>
        <v>实用新型</v>
      </c>
      <c r="D2224" s="1" t="str">
        <f t="shared" si="1094"/>
        <v>授权</v>
      </c>
      <c r="E2224" s="1" t="str">
        <f>"CN202021828851.2"</f>
        <v>CN202021828851.2</v>
      </c>
      <c r="F2224" s="1" t="str">
        <f>"2020-08-28"</f>
        <v>2020-08-28</v>
      </c>
      <c r="G2224" s="1" t="str">
        <f>"CN213288309U"</f>
        <v>CN213288309U</v>
      </c>
      <c r="H2224" s="1" t="str">
        <f t="shared" si="1097"/>
        <v>2021-05-28</v>
      </c>
      <c r="I2224" s="1" t="str">
        <f t="shared" si="1098"/>
        <v>夏绒</v>
      </c>
      <c r="J2224" s="1" t="str">
        <f t="shared" si="1095"/>
        <v>天津未来汽车部品有限公司</v>
      </c>
    </row>
    <row r="2225" spans="1:10">
      <c r="A2225" s="1" t="str">
        <f t="shared" si="1093"/>
        <v>天津未来汽车部品有限公司</v>
      </c>
      <c r="B2225" s="1" t="str">
        <f>"一种汽车仪表板生产用成型模具"</f>
        <v>一种汽车仪表板生产用成型模具</v>
      </c>
      <c r="C2225" s="1" t="str">
        <f t="shared" si="1080"/>
        <v>实用新型</v>
      </c>
      <c r="D2225" s="1" t="str">
        <f t="shared" si="1094"/>
        <v>授权</v>
      </c>
      <c r="E2225" s="1" t="str">
        <f>"CN202021801801.5"</f>
        <v>CN202021801801.5</v>
      </c>
      <c r="F2225" s="1" t="str">
        <f>"2020-08-26"</f>
        <v>2020-08-26</v>
      </c>
      <c r="G2225" s="1" t="str">
        <f>"CN213291237U"</f>
        <v>CN213291237U</v>
      </c>
      <c r="H2225" s="1" t="str">
        <f t="shared" si="1097"/>
        <v>2021-05-28</v>
      </c>
      <c r="I2225" s="1" t="str">
        <f t="shared" si="1098"/>
        <v>夏绒</v>
      </c>
      <c r="J2225" s="1" t="str">
        <f t="shared" si="1095"/>
        <v>天津未来汽车部品有限公司</v>
      </c>
    </row>
    <row r="2226" spans="1:10">
      <c r="A2226" s="1" t="str">
        <f t="shared" si="1093"/>
        <v>天津未来汽车部品有限公司</v>
      </c>
      <c r="B2226" s="1" t="str">
        <f>"一种冷冲压模具加工用表面处理装置"</f>
        <v>一种冷冲压模具加工用表面处理装置</v>
      </c>
      <c r="C2226" s="1" t="str">
        <f t="shared" si="1080"/>
        <v>实用新型</v>
      </c>
      <c r="D2226" s="1" t="str">
        <f>"未缴年费专利权终止"</f>
        <v>未缴年费专利权终止</v>
      </c>
      <c r="E2226" s="1" t="str">
        <f>"CN202021818935.8"</f>
        <v>CN202021818935.8</v>
      </c>
      <c r="F2226" s="1" t="str">
        <f t="shared" ref="F2226:F2228" si="1099">"2020-08-27"</f>
        <v>2020-08-27</v>
      </c>
      <c r="G2226" s="1" t="str">
        <f>"CN213288381U"</f>
        <v>CN213288381U</v>
      </c>
      <c r="H2226" s="1" t="str">
        <f t="shared" si="1097"/>
        <v>2021-05-28</v>
      </c>
      <c r="I2226" s="1" t="str">
        <f t="shared" si="1098"/>
        <v>夏绒</v>
      </c>
      <c r="J2226" s="1" t="str">
        <f t="shared" si="1095"/>
        <v>天津未来汽车部品有限公司</v>
      </c>
    </row>
    <row r="2227" spans="1:10">
      <c r="A2227" s="1" t="str">
        <f t="shared" si="1093"/>
        <v>天津未来汽车部品有限公司</v>
      </c>
      <c r="B2227" s="1" t="str">
        <f>"一种基于冲压模具的部件固定装置"</f>
        <v>一种基于冲压模具的部件固定装置</v>
      </c>
      <c r="C2227" s="1" t="str">
        <f t="shared" si="1080"/>
        <v>实用新型</v>
      </c>
      <c r="D2227" s="1" t="str">
        <f t="shared" ref="D2227:D2233" si="1100">"授权"</f>
        <v>授权</v>
      </c>
      <c r="E2227" s="1" t="str">
        <f>"CN202021818909.5"</f>
        <v>CN202021818909.5</v>
      </c>
      <c r="F2227" s="1" t="str">
        <f t="shared" si="1099"/>
        <v>2020-08-27</v>
      </c>
      <c r="G2227" s="1" t="str">
        <f>"CN213288308U"</f>
        <v>CN213288308U</v>
      </c>
      <c r="H2227" s="1" t="str">
        <f t="shared" si="1097"/>
        <v>2021-05-28</v>
      </c>
      <c r="I2227" s="1" t="str">
        <f t="shared" si="1098"/>
        <v>夏绒</v>
      </c>
      <c r="J2227" s="1" t="str">
        <f t="shared" si="1095"/>
        <v>天津未来汽车部品有限公司</v>
      </c>
    </row>
    <row r="2228" spans="1:10">
      <c r="A2228" s="1" t="str">
        <f t="shared" si="1093"/>
        <v>天津未来汽车部品有限公司</v>
      </c>
      <c r="B2228" s="1" t="str">
        <f>"一种冷冲压模具加工用磨削装置"</f>
        <v>一种冷冲压模具加工用磨削装置</v>
      </c>
      <c r="C2228" s="1" t="str">
        <f t="shared" si="1080"/>
        <v>实用新型</v>
      </c>
      <c r="D2228" s="1" t="str">
        <f>"未缴年费专利权终止"</f>
        <v>未缴年费专利权终止</v>
      </c>
      <c r="E2228" s="1" t="str">
        <f>"CN202021818082.8"</f>
        <v>CN202021818082.8</v>
      </c>
      <c r="F2228" s="1" t="str">
        <f t="shared" si="1099"/>
        <v>2020-08-27</v>
      </c>
      <c r="G2228" s="1" t="str">
        <f>"CN213289777U"</f>
        <v>CN213289777U</v>
      </c>
      <c r="H2228" s="1" t="str">
        <f t="shared" si="1097"/>
        <v>2021-05-28</v>
      </c>
      <c r="I2228" s="1" t="str">
        <f t="shared" si="1098"/>
        <v>夏绒</v>
      </c>
      <c r="J2228" s="1" t="str">
        <f t="shared" si="1095"/>
        <v>天津未来汽车部品有限公司</v>
      </c>
    </row>
    <row r="2229" spans="1:10">
      <c r="A2229" s="1" t="str">
        <f t="shared" si="1093"/>
        <v>天津未来汽车部品有限公司</v>
      </c>
      <c r="B2229" s="1" t="str">
        <f>"一种用于加工车辆隔音材料的线切割组件"</f>
        <v>一种用于加工车辆隔音材料的线切割组件</v>
      </c>
      <c r="C2229" s="1" t="str">
        <f t="shared" si="1080"/>
        <v>实用新型</v>
      </c>
      <c r="D2229" s="1" t="str">
        <f t="shared" si="1100"/>
        <v>授权</v>
      </c>
      <c r="E2229" s="1" t="str">
        <f>"CN202021793861.7"</f>
        <v>CN202021793861.7</v>
      </c>
      <c r="F2229" s="1" t="str">
        <f>"2020-08-25"</f>
        <v>2020-08-25</v>
      </c>
      <c r="G2229" s="1" t="str">
        <f>"CN213288957U"</f>
        <v>CN213288957U</v>
      </c>
      <c r="H2229" s="1" t="str">
        <f t="shared" si="1097"/>
        <v>2021-05-28</v>
      </c>
      <c r="I2229" s="1" t="str">
        <f t="shared" si="1098"/>
        <v>夏绒</v>
      </c>
      <c r="J2229" s="1" t="str">
        <f t="shared" si="1095"/>
        <v>天津未来汽车部品有限公司</v>
      </c>
    </row>
    <row r="2230" spans="1:10">
      <c r="A2230" s="1" t="str">
        <f t="shared" si="1093"/>
        <v>天津未来汽车部品有限公司</v>
      </c>
      <c r="B2230" s="1" t="str">
        <f>"一种内侧车顶面板成型模具"</f>
        <v>一种内侧车顶面板成型模具</v>
      </c>
      <c r="C2230" s="1" t="str">
        <f t="shared" si="1080"/>
        <v>实用新型</v>
      </c>
      <c r="D2230" s="1" t="str">
        <f t="shared" si="1100"/>
        <v>授权</v>
      </c>
      <c r="E2230" s="1" t="str">
        <f>"CN202021801804.9"</f>
        <v>CN202021801804.9</v>
      </c>
      <c r="F2230" s="1" t="str">
        <f>"2020-08-26"</f>
        <v>2020-08-26</v>
      </c>
      <c r="G2230" s="1" t="str">
        <f>"CN213291206U"</f>
        <v>CN213291206U</v>
      </c>
      <c r="H2230" s="1" t="str">
        <f t="shared" si="1097"/>
        <v>2021-05-28</v>
      </c>
      <c r="I2230" s="1" t="str">
        <f t="shared" si="1098"/>
        <v>夏绒</v>
      </c>
      <c r="J2230" s="1" t="str">
        <f t="shared" si="1095"/>
        <v>天津未来汽车部品有限公司</v>
      </c>
    </row>
    <row r="2231" spans="1:10">
      <c r="A2231" s="1" t="str">
        <f t="shared" si="1093"/>
        <v>天津未来汽车部品有限公司</v>
      </c>
      <c r="B2231" s="1" t="str">
        <f>"一种机械精加工用油压机的快速换模机构"</f>
        <v>一种机械精加工用油压机的快速换模机构</v>
      </c>
      <c r="C2231" s="1" t="str">
        <f t="shared" si="1080"/>
        <v>实用新型</v>
      </c>
      <c r="D2231" s="1" t="str">
        <f t="shared" si="1100"/>
        <v>授权</v>
      </c>
      <c r="E2231" s="1" t="str">
        <f>"CN202021847750.X"</f>
        <v>CN202021847750.X</v>
      </c>
      <c r="F2231" s="1" t="str">
        <f>"2020-08-28"</f>
        <v>2020-08-28</v>
      </c>
      <c r="G2231" s="1" t="str">
        <f>"CN213288412U"</f>
        <v>CN213288412U</v>
      </c>
      <c r="H2231" s="1" t="str">
        <f t="shared" si="1097"/>
        <v>2021-05-28</v>
      </c>
      <c r="I2231" s="1" t="str">
        <f t="shared" si="1098"/>
        <v>夏绒</v>
      </c>
      <c r="J2231" s="1" t="str">
        <f t="shared" si="1095"/>
        <v>天津未来汽车部品有限公司</v>
      </c>
    </row>
    <row r="2232" spans="1:10">
      <c r="A2232" s="1" t="str">
        <f t="shared" si="1093"/>
        <v>天津未来汽车部品有限公司</v>
      </c>
      <c r="B2232" s="1" t="str">
        <f>"一种冷冲压模具加工用成型装置"</f>
        <v>一种冷冲压模具加工用成型装置</v>
      </c>
      <c r="C2232" s="1" t="str">
        <f t="shared" si="1080"/>
        <v>实用新型</v>
      </c>
      <c r="D2232" s="1" t="str">
        <f t="shared" si="1100"/>
        <v>授权</v>
      </c>
      <c r="E2232" s="1" t="str">
        <f>"CN202021818083.2"</f>
        <v>CN202021818083.2</v>
      </c>
      <c r="F2232" s="1" t="str">
        <f>"2020-08-27"</f>
        <v>2020-08-27</v>
      </c>
      <c r="G2232" s="1" t="str">
        <f>"CN213288411U"</f>
        <v>CN213288411U</v>
      </c>
      <c r="H2232" s="1" t="str">
        <f t="shared" si="1097"/>
        <v>2021-05-28</v>
      </c>
      <c r="I2232" s="1" t="str">
        <f t="shared" si="1098"/>
        <v>夏绒</v>
      </c>
      <c r="J2232" s="1" t="str">
        <f t="shared" si="1095"/>
        <v>天津未来汽车部品有限公司</v>
      </c>
    </row>
    <row r="2233" spans="1:10">
      <c r="A2233" s="1" t="str">
        <f t="shared" si="1093"/>
        <v>天津未来汽车部品有限公司</v>
      </c>
      <c r="B2233" s="1" t="str">
        <f>"一种汽车副车架冲压模具"</f>
        <v>一种汽车副车架冲压模具</v>
      </c>
      <c r="C2233" s="1" t="str">
        <f t="shared" si="1080"/>
        <v>实用新型</v>
      </c>
      <c r="D2233" s="1" t="str">
        <f t="shared" si="1100"/>
        <v>授权</v>
      </c>
      <c r="E2233" s="1" t="str">
        <f>"CN202021802172.8"</f>
        <v>CN202021802172.8</v>
      </c>
      <c r="F2233" s="1" t="str">
        <f>"2020-08-26"</f>
        <v>2020-08-26</v>
      </c>
      <c r="G2233" s="1" t="str">
        <f>"CN213288357U"</f>
        <v>CN213288357U</v>
      </c>
      <c r="H2233" s="1" t="str">
        <f t="shared" si="1097"/>
        <v>2021-05-28</v>
      </c>
      <c r="I2233" s="1" t="str">
        <f t="shared" si="1098"/>
        <v>夏绒</v>
      </c>
      <c r="J2233" s="1" t="str">
        <f t="shared" si="1095"/>
        <v>天津未来汽车部品有限公司</v>
      </c>
    </row>
    <row r="2234" spans="1:10">
      <c r="A2234" s="1" t="str">
        <f t="shared" si="1093"/>
        <v>天津未来汽车部品有限公司</v>
      </c>
      <c r="B2234" s="1" t="str">
        <f>"一种用于加工车用脚踏板的磨床"</f>
        <v>一种用于加工车用脚踏板的磨床</v>
      </c>
      <c r="C2234" s="1" t="str">
        <f t="shared" si="1080"/>
        <v>实用新型</v>
      </c>
      <c r="D2234" s="1" t="str">
        <f t="shared" ref="D2234:D2250" si="1101">"未缴年费专利权终止"</f>
        <v>未缴年费专利权终止</v>
      </c>
      <c r="E2234" s="1" t="str">
        <f>"CN202021793860.2"</f>
        <v>CN202021793860.2</v>
      </c>
      <c r="F2234" s="1" t="str">
        <f>"2020-08-25"</f>
        <v>2020-08-25</v>
      </c>
      <c r="G2234" s="1" t="str">
        <f>"CN213289813U"</f>
        <v>CN213289813U</v>
      </c>
      <c r="H2234" s="1" t="str">
        <f t="shared" si="1097"/>
        <v>2021-05-28</v>
      </c>
      <c r="I2234" s="1" t="str">
        <f t="shared" si="1098"/>
        <v>夏绒</v>
      </c>
      <c r="J2234" s="1" t="str">
        <f t="shared" si="1095"/>
        <v>天津未来汽车部品有限公司</v>
      </c>
    </row>
    <row r="2235" spans="1:10">
      <c r="A2235" s="1" t="str">
        <f t="shared" si="1093"/>
        <v>天津未来汽车部品有限公司</v>
      </c>
      <c r="B2235" s="1" t="str">
        <f>"一种机械精加工用油压机的供料机构"</f>
        <v>一种机械精加工用油压机的供料机构</v>
      </c>
      <c r="C2235" s="1" t="str">
        <f t="shared" si="1080"/>
        <v>实用新型</v>
      </c>
      <c r="D2235" s="1" t="str">
        <f>"授权"</f>
        <v>授权</v>
      </c>
      <c r="E2235" s="1" t="str">
        <f>"CN202021828886.6"</f>
        <v>CN202021828886.6</v>
      </c>
      <c r="F2235" s="1" t="str">
        <f>"2020-08-28"</f>
        <v>2020-08-28</v>
      </c>
      <c r="G2235" s="1" t="str">
        <f>"CN213288450U"</f>
        <v>CN213288450U</v>
      </c>
      <c r="H2235" s="1" t="str">
        <f t="shared" si="1097"/>
        <v>2021-05-28</v>
      </c>
      <c r="I2235" s="1" t="str">
        <f t="shared" si="1098"/>
        <v>夏绒</v>
      </c>
      <c r="J2235" s="1" t="str">
        <f t="shared" si="1095"/>
        <v>天津未来汽车部品有限公司</v>
      </c>
    </row>
    <row r="2236" spans="1:10">
      <c r="A2236" s="1" t="str">
        <f t="shared" si="1093"/>
        <v>天津未来汽车部品有限公司</v>
      </c>
      <c r="B2236" s="1" t="str">
        <f>"一种用于加工内侧车顶面板的摇臂钻"</f>
        <v>一种用于加工内侧车顶面板的摇臂钻</v>
      </c>
      <c r="C2236" s="1" t="str">
        <f t="shared" si="1080"/>
        <v>实用新型</v>
      </c>
      <c r="D2236" s="1" t="str">
        <f>"授权"</f>
        <v>授权</v>
      </c>
      <c r="E2236" s="1" t="str">
        <f>"CN202021795087.3"</f>
        <v>CN202021795087.3</v>
      </c>
      <c r="F2236" s="1" t="str">
        <f>"2020-08-25"</f>
        <v>2020-08-25</v>
      </c>
      <c r="G2236" s="1" t="str">
        <f>"CN213288731U"</f>
        <v>CN213288731U</v>
      </c>
      <c r="H2236" s="1" t="str">
        <f t="shared" si="1097"/>
        <v>2021-05-28</v>
      </c>
      <c r="I2236" s="1" t="str">
        <f t="shared" si="1098"/>
        <v>夏绒</v>
      </c>
      <c r="J2236" s="1" t="str">
        <f t="shared" si="1095"/>
        <v>天津未来汽车部品有限公司</v>
      </c>
    </row>
    <row r="2237" spans="1:10">
      <c r="A2237" s="1" t="str">
        <f>"汉科（天津）汽车部品有限公司"</f>
        <v>汉科（天津）汽车部品有限公司</v>
      </c>
      <c r="B2237" s="1" t="str">
        <f>"前围隔热层挤切发泡成型装置"</f>
        <v>前围隔热层挤切发泡成型装置</v>
      </c>
      <c r="C2237" s="1" t="str">
        <f t="shared" si="1080"/>
        <v>实用新型</v>
      </c>
      <c r="D2237" s="1" t="str">
        <f t="shared" si="1101"/>
        <v>未缴年费专利权终止</v>
      </c>
      <c r="E2237" s="1" t="str">
        <f>"CN201120319828.5"</f>
        <v>CN201120319828.5</v>
      </c>
      <c r="F2237" s="1" t="str">
        <f>"2011-08-30"</f>
        <v>2011-08-30</v>
      </c>
      <c r="G2237" s="1" t="str">
        <f>"CN202241693U"</f>
        <v>CN202241693U</v>
      </c>
      <c r="H2237" s="1" t="str">
        <f>"2012-05-30"</f>
        <v>2012-05-30</v>
      </c>
      <c r="I2237" s="1" t="s">
        <v>5085</v>
      </c>
      <c r="J2237" s="1" t="str">
        <f>"天津元盟汽车饰件有限公司"</f>
        <v>天津元盟汽车饰件有限公司</v>
      </c>
    </row>
    <row r="2238" spans="1:10">
      <c r="A2238" s="1" t="str">
        <f t="shared" ref="A2238:A2254" si="1102">"天津市耐恩特汽车零部件有限公司"</f>
        <v>天津市耐恩特汽车零部件有限公司</v>
      </c>
      <c r="B2238" s="1" t="str">
        <f>"一种汽车发动机齿轮成品高效清洗装置"</f>
        <v>一种汽车发动机齿轮成品高效清洗装置</v>
      </c>
      <c r="C2238" s="1" t="str">
        <f t="shared" si="1080"/>
        <v>实用新型</v>
      </c>
      <c r="D2238" s="1" t="str">
        <f t="shared" si="1101"/>
        <v>未缴年费专利权终止</v>
      </c>
      <c r="E2238" s="1" t="str">
        <f>"CN201820854487.3"</f>
        <v>CN201820854487.3</v>
      </c>
      <c r="F2238" s="1" t="str">
        <f>"2018-06-04"</f>
        <v>2018-06-04</v>
      </c>
      <c r="G2238" s="1" t="str">
        <f>"CN208542644U"</f>
        <v>CN208542644U</v>
      </c>
      <c r="H2238" s="1" t="str">
        <f>"2019-02-26"</f>
        <v>2019-02-26</v>
      </c>
      <c r="I2238" s="1" t="str">
        <f t="shared" ref="I2238:I2254" si="1103">"王全"</f>
        <v>王全</v>
      </c>
      <c r="J2238" s="1" t="str">
        <f t="shared" ref="J2238:J2254" si="1104">"天津市耐恩特汽车零部件有限公司"</f>
        <v>天津市耐恩特汽车零部件有限公司</v>
      </c>
    </row>
    <row r="2239" spans="1:10">
      <c r="A2239" s="1" t="str">
        <f t="shared" si="1102"/>
        <v>天津市耐恩特汽车零部件有限公司</v>
      </c>
      <c r="B2239" s="1" t="str">
        <f>"一种汽车发动机齿轮加工用工件固定装置"</f>
        <v>一种汽车发动机齿轮加工用工件固定装置</v>
      </c>
      <c r="C2239" s="1" t="str">
        <f t="shared" si="1080"/>
        <v>实用新型</v>
      </c>
      <c r="D2239" s="1" t="str">
        <f t="shared" si="1101"/>
        <v>未缴年费专利权终止</v>
      </c>
      <c r="E2239" s="1" t="str">
        <f>"CN201820859322.5"</f>
        <v>CN201820859322.5</v>
      </c>
      <c r="F2239" s="1" t="str">
        <f>"2018-06-05"</f>
        <v>2018-06-05</v>
      </c>
      <c r="G2239" s="1" t="str">
        <f>"CN208543034U"</f>
        <v>CN208543034U</v>
      </c>
      <c r="H2239" s="1" t="str">
        <f>"2019-02-26"</f>
        <v>2019-02-26</v>
      </c>
      <c r="I2239" s="1" t="str">
        <f t="shared" si="1103"/>
        <v>王全</v>
      </c>
      <c r="J2239" s="1" t="str">
        <f t="shared" si="1104"/>
        <v>天津市耐恩特汽车零部件有限公司</v>
      </c>
    </row>
    <row r="2240" spans="1:10">
      <c r="A2240" s="1" t="str">
        <f t="shared" si="1102"/>
        <v>天津市耐恩特汽车零部件有限公司</v>
      </c>
      <c r="B2240" s="1" t="str">
        <f>"一种汽车发动机齿轮加工夹具"</f>
        <v>一种汽车发动机齿轮加工夹具</v>
      </c>
      <c r="C2240" s="1" t="str">
        <f t="shared" si="1080"/>
        <v>实用新型</v>
      </c>
      <c r="D2240" s="1" t="str">
        <f t="shared" si="1101"/>
        <v>未缴年费专利权终止</v>
      </c>
      <c r="E2240" s="1" t="str">
        <f>"CN201820859507.6"</f>
        <v>CN201820859507.6</v>
      </c>
      <c r="F2240" s="1" t="str">
        <f>"2018-06-05"</f>
        <v>2018-06-05</v>
      </c>
      <c r="G2240" s="1" t="str">
        <f>"CN208450775U"</f>
        <v>CN208450775U</v>
      </c>
      <c r="H2240" s="1" t="str">
        <f t="shared" ref="H2240:H2246" si="1105">"2019-02-01"</f>
        <v>2019-02-01</v>
      </c>
      <c r="I2240" s="1" t="str">
        <f t="shared" si="1103"/>
        <v>王全</v>
      </c>
      <c r="J2240" s="1" t="str">
        <f t="shared" si="1104"/>
        <v>天津市耐恩特汽车零部件有限公司</v>
      </c>
    </row>
    <row r="2241" spans="1:10">
      <c r="A2241" s="1" t="str">
        <f t="shared" si="1102"/>
        <v>天津市耐恩特汽车零部件有限公司</v>
      </c>
      <c r="B2241" s="1" t="str">
        <f>"一种用于汽车发动机齿轮加工的减振装置"</f>
        <v>一种用于汽车发动机齿轮加工的减振装置</v>
      </c>
      <c r="C2241" s="1" t="str">
        <f t="shared" si="1080"/>
        <v>实用新型</v>
      </c>
      <c r="D2241" s="1" t="str">
        <f t="shared" si="1101"/>
        <v>未缴年费专利权终止</v>
      </c>
      <c r="E2241" s="1" t="str">
        <f>"CN201820864883.4"</f>
        <v>CN201820864883.4</v>
      </c>
      <c r="F2241" s="1" t="str">
        <f t="shared" ref="F2241:F2243" si="1106">"2018-06-06"</f>
        <v>2018-06-06</v>
      </c>
      <c r="G2241" s="1" t="str">
        <f>"CN208450763U"</f>
        <v>CN208450763U</v>
      </c>
      <c r="H2241" s="1" t="str">
        <f t="shared" si="1105"/>
        <v>2019-02-01</v>
      </c>
      <c r="I2241" s="1" t="str">
        <f t="shared" si="1103"/>
        <v>王全</v>
      </c>
      <c r="J2241" s="1" t="str">
        <f t="shared" si="1104"/>
        <v>天津市耐恩特汽车零部件有限公司</v>
      </c>
    </row>
    <row r="2242" spans="1:10">
      <c r="A2242" s="1" t="str">
        <f t="shared" si="1102"/>
        <v>天津市耐恩特汽车零部件有限公司</v>
      </c>
      <c r="B2242" s="1" t="str">
        <f>"一种汽车发动机齿轮冷挤压模具装置"</f>
        <v>一种汽车发动机齿轮冷挤压模具装置</v>
      </c>
      <c r="C2242" s="1" t="str">
        <f t="shared" si="1080"/>
        <v>实用新型</v>
      </c>
      <c r="D2242" s="1" t="str">
        <f t="shared" si="1101"/>
        <v>未缴年费专利权终止</v>
      </c>
      <c r="E2242" s="1" t="str">
        <f>"CN201820881293.2"</f>
        <v>CN201820881293.2</v>
      </c>
      <c r="F2242" s="1" t="str">
        <f t="shared" si="1106"/>
        <v>2018-06-06</v>
      </c>
      <c r="G2242" s="1" t="str">
        <f>"CN208450233U"</f>
        <v>CN208450233U</v>
      </c>
      <c r="H2242" s="1" t="str">
        <f t="shared" si="1105"/>
        <v>2019-02-01</v>
      </c>
      <c r="I2242" s="1" t="str">
        <f t="shared" si="1103"/>
        <v>王全</v>
      </c>
      <c r="J2242" s="1" t="str">
        <f t="shared" si="1104"/>
        <v>天津市耐恩特汽车零部件有限公司</v>
      </c>
    </row>
    <row r="2243" spans="1:10">
      <c r="A2243" s="1" t="str">
        <f t="shared" si="1102"/>
        <v>天津市耐恩特汽车零部件有限公司</v>
      </c>
      <c r="B2243" s="1" t="str">
        <f>"一种用于汽车发动机齿轮精加工的固定装置"</f>
        <v>一种用于汽车发动机齿轮精加工的固定装置</v>
      </c>
      <c r="C2243" s="1" t="str">
        <f t="shared" si="1080"/>
        <v>实用新型</v>
      </c>
      <c r="D2243" s="1" t="str">
        <f t="shared" si="1101"/>
        <v>未缴年费专利权终止</v>
      </c>
      <c r="E2243" s="1" t="str">
        <f>"CN201820864856.7"</f>
        <v>CN201820864856.7</v>
      </c>
      <c r="F2243" s="1" t="str">
        <f t="shared" si="1106"/>
        <v>2018-06-06</v>
      </c>
      <c r="G2243" s="1" t="str">
        <f>"CN208450776U"</f>
        <v>CN208450776U</v>
      </c>
      <c r="H2243" s="1" t="str">
        <f t="shared" si="1105"/>
        <v>2019-02-01</v>
      </c>
      <c r="I2243" s="1" t="str">
        <f t="shared" si="1103"/>
        <v>王全</v>
      </c>
      <c r="J2243" s="1" t="str">
        <f t="shared" si="1104"/>
        <v>天津市耐恩特汽车零部件有限公司</v>
      </c>
    </row>
    <row r="2244" spans="1:10">
      <c r="A2244" s="1" t="str">
        <f t="shared" si="1102"/>
        <v>天津市耐恩特汽车零部件有限公司</v>
      </c>
      <c r="B2244" s="1" t="str">
        <f>"一种加工汽车发动机用定心装置"</f>
        <v>一种加工汽车发动机用定心装置</v>
      </c>
      <c r="C2244" s="1" t="str">
        <f t="shared" si="1080"/>
        <v>实用新型</v>
      </c>
      <c r="D2244" s="1" t="str">
        <f t="shared" si="1101"/>
        <v>未缴年费专利权终止</v>
      </c>
      <c r="E2244" s="1" t="str">
        <f>"CN201820854501.X"</f>
        <v>CN201820854501.X</v>
      </c>
      <c r="F2244" s="1" t="str">
        <f t="shared" ref="F2244:F2248" si="1107">"2018-06-04"</f>
        <v>2018-06-04</v>
      </c>
      <c r="G2244" s="1" t="str">
        <f>"CN208451139U"</f>
        <v>CN208451139U</v>
      </c>
      <c r="H2244" s="1" t="str">
        <f t="shared" si="1105"/>
        <v>2019-02-01</v>
      </c>
      <c r="I2244" s="1" t="str">
        <f t="shared" si="1103"/>
        <v>王全</v>
      </c>
      <c r="J2244" s="1" t="str">
        <f t="shared" si="1104"/>
        <v>天津市耐恩特汽车零部件有限公司</v>
      </c>
    </row>
    <row r="2245" spans="1:10">
      <c r="A2245" s="1" t="str">
        <f t="shared" si="1102"/>
        <v>天津市耐恩特汽车零部件有限公司</v>
      </c>
      <c r="B2245" s="1" t="str">
        <f>"一种汽车发动机齿轮加工用去毛刺装置"</f>
        <v>一种汽车发动机齿轮加工用去毛刺装置</v>
      </c>
      <c r="C2245" s="1" t="str">
        <f t="shared" si="1080"/>
        <v>实用新型</v>
      </c>
      <c r="D2245" s="1" t="str">
        <f t="shared" si="1101"/>
        <v>未缴年费专利权终止</v>
      </c>
      <c r="E2245" s="1" t="str">
        <f>"CN201820859383.1"</f>
        <v>CN201820859383.1</v>
      </c>
      <c r="F2245" s="1" t="str">
        <f>"2018-06-05"</f>
        <v>2018-06-05</v>
      </c>
      <c r="G2245" s="1" t="str">
        <f>"CN208451245U"</f>
        <v>CN208451245U</v>
      </c>
      <c r="H2245" s="1" t="str">
        <f t="shared" si="1105"/>
        <v>2019-02-01</v>
      </c>
      <c r="I2245" s="1" t="str">
        <f t="shared" si="1103"/>
        <v>王全</v>
      </c>
      <c r="J2245" s="1" t="str">
        <f t="shared" si="1104"/>
        <v>天津市耐恩特汽车零部件有限公司</v>
      </c>
    </row>
    <row r="2246" spans="1:10">
      <c r="A2246" s="1" t="str">
        <f t="shared" si="1102"/>
        <v>天津市耐恩特汽车零部件有限公司</v>
      </c>
      <c r="B2246" s="1" t="str">
        <f>"一种汽车发动机齿轮生产用滚齿机齿轮固定装置"</f>
        <v>一种汽车发动机齿轮生产用滚齿机齿轮固定装置</v>
      </c>
      <c r="C2246" s="1" t="str">
        <f t="shared" si="1080"/>
        <v>实用新型</v>
      </c>
      <c r="D2246" s="1" t="str">
        <f t="shared" si="1101"/>
        <v>未缴年费专利权终止</v>
      </c>
      <c r="E2246" s="1" t="str">
        <f>"CN201820881274.X"</f>
        <v>CN201820881274.X</v>
      </c>
      <c r="F2246" s="1" t="str">
        <f>"2018-06-06"</f>
        <v>2018-06-06</v>
      </c>
      <c r="G2246" s="1" t="str">
        <f>"CN208450764U"</f>
        <v>CN208450764U</v>
      </c>
      <c r="H2246" s="1" t="str">
        <f t="shared" si="1105"/>
        <v>2019-02-01</v>
      </c>
      <c r="I2246" s="1" t="str">
        <f t="shared" si="1103"/>
        <v>王全</v>
      </c>
      <c r="J2246" s="1" t="str">
        <f t="shared" si="1104"/>
        <v>天津市耐恩特汽车零部件有限公司</v>
      </c>
    </row>
    <row r="2247" spans="1:10">
      <c r="A2247" s="1" t="str">
        <f t="shared" si="1102"/>
        <v>天津市耐恩特汽车零部件有限公司</v>
      </c>
      <c r="B2247" s="1" t="str">
        <f>"一种汽车发动机齿轮的涨紧式夹持装置"</f>
        <v>一种汽车发动机齿轮的涨紧式夹持装置</v>
      </c>
      <c r="C2247" s="1" t="str">
        <f t="shared" ref="C2247:C2250" si="1108">"实用新型"</f>
        <v>实用新型</v>
      </c>
      <c r="D2247" s="1" t="str">
        <f t="shared" si="1101"/>
        <v>未缴年费专利权终止</v>
      </c>
      <c r="E2247" s="1" t="str">
        <f>"CN201820853144.5"</f>
        <v>CN201820853144.5</v>
      </c>
      <c r="F2247" s="1" t="str">
        <f t="shared" si="1107"/>
        <v>2018-06-04</v>
      </c>
      <c r="G2247" s="1" t="str">
        <f>"CN208391185U"</f>
        <v>CN208391185U</v>
      </c>
      <c r="H2247" s="1" t="str">
        <f t="shared" ref="H2247:H2250" si="1109">"2019-01-18"</f>
        <v>2019-01-18</v>
      </c>
      <c r="I2247" s="1" t="str">
        <f t="shared" si="1103"/>
        <v>王全</v>
      </c>
      <c r="J2247" s="1" t="str">
        <f t="shared" si="1104"/>
        <v>天津市耐恩特汽车零部件有限公司</v>
      </c>
    </row>
    <row r="2248" spans="1:10">
      <c r="A2248" s="1" t="str">
        <f t="shared" si="1102"/>
        <v>天津市耐恩特汽车零部件有限公司</v>
      </c>
      <c r="B2248" s="1" t="str">
        <f>"一种汽车发动机齿轮的齿槽精加工装置"</f>
        <v>一种汽车发动机齿轮的齿槽精加工装置</v>
      </c>
      <c r="C2248" s="1" t="str">
        <f t="shared" si="1108"/>
        <v>实用新型</v>
      </c>
      <c r="D2248" s="1" t="str">
        <f t="shared" si="1101"/>
        <v>未缴年费专利权终止</v>
      </c>
      <c r="E2248" s="1" t="str">
        <f>"CN201820853135.6"</f>
        <v>CN201820853135.6</v>
      </c>
      <c r="F2248" s="1" t="str">
        <f t="shared" si="1107"/>
        <v>2018-06-04</v>
      </c>
      <c r="G2248" s="1" t="str">
        <f>"CN208391181U"</f>
        <v>CN208391181U</v>
      </c>
      <c r="H2248" s="1" t="str">
        <f t="shared" si="1109"/>
        <v>2019-01-18</v>
      </c>
      <c r="I2248" s="1" t="str">
        <f t="shared" si="1103"/>
        <v>王全</v>
      </c>
      <c r="J2248" s="1" t="str">
        <f t="shared" si="1104"/>
        <v>天津市耐恩特汽车零部件有限公司</v>
      </c>
    </row>
    <row r="2249" spans="1:10">
      <c r="A2249" s="1" t="str">
        <f t="shared" si="1102"/>
        <v>天津市耐恩特汽车零部件有限公司</v>
      </c>
      <c r="B2249" s="1" t="str">
        <f>"一种汽车发动机齿轮加工的夹持装置"</f>
        <v>一种汽车发动机齿轮加工的夹持装置</v>
      </c>
      <c r="C2249" s="1" t="str">
        <f t="shared" si="1108"/>
        <v>实用新型</v>
      </c>
      <c r="D2249" s="1" t="str">
        <f t="shared" si="1101"/>
        <v>未缴年费专利权终止</v>
      </c>
      <c r="E2249" s="1" t="str">
        <f>"CN201820859533.9"</f>
        <v>CN201820859533.9</v>
      </c>
      <c r="F2249" s="1" t="str">
        <f>"2018-06-05"</f>
        <v>2018-06-05</v>
      </c>
      <c r="G2249" s="1" t="str">
        <f>"CN208391186U"</f>
        <v>CN208391186U</v>
      </c>
      <c r="H2249" s="1" t="str">
        <f t="shared" si="1109"/>
        <v>2019-01-18</v>
      </c>
      <c r="I2249" s="1" t="str">
        <f t="shared" si="1103"/>
        <v>王全</v>
      </c>
      <c r="J2249" s="1" t="str">
        <f t="shared" si="1104"/>
        <v>天津市耐恩特汽车零部件有限公司</v>
      </c>
    </row>
    <row r="2250" spans="1:10">
      <c r="A2250" s="1" t="str">
        <f t="shared" si="1102"/>
        <v>天津市耐恩特汽车零部件有限公司</v>
      </c>
      <c r="B2250" s="1" t="str">
        <f>"一种汽车发动机齿轮的倒角加工装置"</f>
        <v>一种汽车发动机齿轮的倒角加工装置</v>
      </c>
      <c r="C2250" s="1" t="str">
        <f t="shared" si="1108"/>
        <v>实用新型</v>
      </c>
      <c r="D2250" s="1" t="str">
        <f t="shared" si="1101"/>
        <v>未缴年费专利权终止</v>
      </c>
      <c r="E2250" s="1" t="str">
        <f>"CN201820853106.X"</f>
        <v>CN201820853106.X</v>
      </c>
      <c r="F2250" s="1" t="str">
        <f>"2018-06-04"</f>
        <v>2018-06-04</v>
      </c>
      <c r="G2250" s="1" t="str">
        <f>"CN208391184U"</f>
        <v>CN208391184U</v>
      </c>
      <c r="H2250" s="1" t="str">
        <f t="shared" si="1109"/>
        <v>2019-01-18</v>
      </c>
      <c r="I2250" s="1" t="str">
        <f t="shared" si="1103"/>
        <v>王全</v>
      </c>
      <c r="J2250" s="1" t="str">
        <f t="shared" si="1104"/>
        <v>天津市耐恩特汽车零部件有限公司</v>
      </c>
    </row>
    <row r="2251" spans="1:10">
      <c r="A2251" s="1" t="str">
        <f t="shared" si="1102"/>
        <v>天津市耐恩特汽车零部件有限公司</v>
      </c>
      <c r="B2251" s="1" t="str">
        <f>"一种汽车发动机液压泵齿轮"</f>
        <v>一种汽车发动机液压泵齿轮</v>
      </c>
      <c r="C2251" s="1" t="str">
        <f t="shared" ref="C2251:C2254" si="1110">"发明公布"</f>
        <v>发明公布</v>
      </c>
      <c r="D2251" s="1" t="str">
        <f t="shared" ref="D2251:D2254" si="1111">"公布视为撤回"</f>
        <v>公布视为撤回</v>
      </c>
      <c r="E2251" s="1" t="str">
        <f>"CN201810412370.4"</f>
        <v>CN201810412370.4</v>
      </c>
      <c r="F2251" s="1" t="str">
        <f>"2018-05-03"</f>
        <v>2018-05-03</v>
      </c>
      <c r="G2251" s="1" t="str">
        <f>"CN108679191A"</f>
        <v>CN108679191A</v>
      </c>
      <c r="H2251" s="1" t="str">
        <f>"2018-10-19"</f>
        <v>2018-10-19</v>
      </c>
      <c r="I2251" s="1" t="str">
        <f t="shared" si="1103"/>
        <v>王全</v>
      </c>
      <c r="J2251" s="1" t="str">
        <f t="shared" si="1104"/>
        <v>天津市耐恩特汽车零部件有限公司</v>
      </c>
    </row>
    <row r="2252" spans="1:10">
      <c r="A2252" s="1" t="str">
        <f t="shared" si="1102"/>
        <v>天津市耐恩特汽车零部件有限公司</v>
      </c>
      <c r="B2252" s="1" t="str">
        <f>"一种发动机齿轮及其加工方法"</f>
        <v>一种发动机齿轮及其加工方法</v>
      </c>
      <c r="C2252" s="1" t="str">
        <f t="shared" si="1110"/>
        <v>发明公布</v>
      </c>
      <c r="D2252" s="1" t="str">
        <f t="shared" si="1111"/>
        <v>公布视为撤回</v>
      </c>
      <c r="E2252" s="1" t="str">
        <f>"CN201810412365.3"</f>
        <v>CN201810412365.3</v>
      </c>
      <c r="F2252" s="1" t="str">
        <f>"2018-05-03"</f>
        <v>2018-05-03</v>
      </c>
      <c r="G2252" s="1" t="str">
        <f>"CN108660397A"</f>
        <v>CN108660397A</v>
      </c>
      <c r="H2252" s="1" t="str">
        <f>"2018-10-16"</f>
        <v>2018-10-16</v>
      </c>
      <c r="I2252" s="1" t="str">
        <f t="shared" si="1103"/>
        <v>王全</v>
      </c>
      <c r="J2252" s="1" t="str">
        <f t="shared" si="1104"/>
        <v>天津市耐恩特汽车零部件有限公司</v>
      </c>
    </row>
    <row r="2253" spans="1:10">
      <c r="A2253" s="1" t="str">
        <f t="shared" si="1102"/>
        <v>天津市耐恩特汽车零部件有限公司</v>
      </c>
      <c r="B2253" s="1" t="str">
        <f>"一种制造齿轮圈的合金及其制造齿轮圈的工艺"</f>
        <v>一种制造齿轮圈的合金及其制造齿轮圈的工艺</v>
      </c>
      <c r="C2253" s="1" t="str">
        <f t="shared" si="1110"/>
        <v>发明公布</v>
      </c>
      <c r="D2253" s="1" t="str">
        <f t="shared" si="1111"/>
        <v>公布视为撤回</v>
      </c>
      <c r="E2253" s="1" t="str">
        <f>"CN201810571643.X"</f>
        <v>CN201810571643.X</v>
      </c>
      <c r="F2253" s="1" t="str">
        <f>"2018-06-06"</f>
        <v>2018-06-06</v>
      </c>
      <c r="G2253" s="1" t="str">
        <f>"CN108580880A"</f>
        <v>CN108580880A</v>
      </c>
      <c r="H2253" s="1" t="str">
        <f>"2018-09-28"</f>
        <v>2018-09-28</v>
      </c>
      <c r="I2253" s="1" t="str">
        <f t="shared" si="1103"/>
        <v>王全</v>
      </c>
      <c r="J2253" s="1" t="str">
        <f t="shared" si="1104"/>
        <v>天津市耐恩特汽车零部件有限公司</v>
      </c>
    </row>
    <row r="2254" spans="1:10">
      <c r="A2254" s="1" t="str">
        <f t="shared" si="1102"/>
        <v>天津市耐恩特汽车零部件有限公司</v>
      </c>
      <c r="B2254" s="1" t="str">
        <f>"一种齿轮用热处理油组合物"</f>
        <v>一种齿轮用热处理油组合物</v>
      </c>
      <c r="C2254" s="1" t="str">
        <f t="shared" si="1110"/>
        <v>发明公布</v>
      </c>
      <c r="D2254" s="1" t="str">
        <f t="shared" si="1111"/>
        <v>公布视为撤回</v>
      </c>
      <c r="E2254" s="1" t="str">
        <f>"CN201810571656.7"</f>
        <v>CN201810571656.7</v>
      </c>
      <c r="F2254" s="1" t="str">
        <f>"2018-06-06"</f>
        <v>2018-06-06</v>
      </c>
      <c r="G2254" s="1" t="str">
        <f>"CN108587747A"</f>
        <v>CN108587747A</v>
      </c>
      <c r="H2254" s="1" t="str">
        <f>"2018-09-28"</f>
        <v>2018-09-28</v>
      </c>
      <c r="I2254" s="1" t="str">
        <f t="shared" si="1103"/>
        <v>王全</v>
      </c>
      <c r="J2254" s="1" t="str">
        <f t="shared" si="1104"/>
        <v>天津市耐恩特汽车零部件有限公司</v>
      </c>
    </row>
    <row r="2255" spans="1:10">
      <c r="A2255" s="1" t="str">
        <f>"天津戎信汽车检具有限公司"</f>
        <v>天津戎信汽车检具有限公司</v>
      </c>
      <c r="B2255" s="1" t="str">
        <f>"一种新型汽车外壳检具"</f>
        <v>一种新型汽车外壳检具</v>
      </c>
      <c r="C2255" s="1" t="str">
        <f t="shared" ref="C2255:C2275" si="1112">"实用新型"</f>
        <v>实用新型</v>
      </c>
      <c r="D2255" s="1" t="str">
        <f t="shared" ref="D2255:D2275" si="1113">"未缴年费专利权终止"</f>
        <v>未缴年费专利权终止</v>
      </c>
      <c r="E2255" s="1" t="str">
        <f>"CN201520121191.7"</f>
        <v>CN201520121191.7</v>
      </c>
      <c r="F2255" s="1" t="str">
        <f>"2015-03-02"</f>
        <v>2015-03-02</v>
      </c>
      <c r="G2255" s="1" t="str">
        <f>"CN204730776U"</f>
        <v>CN204730776U</v>
      </c>
      <c r="H2255" s="1" t="str">
        <f>"2015-10-28"</f>
        <v>2015-10-28</v>
      </c>
      <c r="I2255" s="1" t="str">
        <f>"杨树旺"</f>
        <v>杨树旺</v>
      </c>
      <c r="J2255" s="1" t="str">
        <f>"天津戎信汽车检具有限公司"</f>
        <v>天津戎信汽车检具有限公司</v>
      </c>
    </row>
    <row r="2256" spans="1:10">
      <c r="A2256" s="1" t="str">
        <f t="shared" ref="A2256:A2274" si="1114">"天津年利汽车部件有限公司"</f>
        <v>天津年利汽车部件有限公司</v>
      </c>
      <c r="B2256" s="1" t="str">
        <f>"一种弹簧加工件上的粉末回收装置"</f>
        <v>一种弹簧加工件上的粉末回收装置</v>
      </c>
      <c r="C2256" s="1" t="str">
        <f t="shared" si="1112"/>
        <v>实用新型</v>
      </c>
      <c r="D2256" s="1" t="str">
        <f t="shared" si="1113"/>
        <v>未缴年费专利权终止</v>
      </c>
      <c r="E2256" s="1" t="str">
        <f>"CN201820741633.1"</f>
        <v>CN201820741633.1</v>
      </c>
      <c r="F2256" s="1" t="str">
        <f t="shared" ref="F2256:F2261" si="1115">"2018-05-18"</f>
        <v>2018-05-18</v>
      </c>
      <c r="G2256" s="1" t="str">
        <f>"CN209205948U"</f>
        <v>CN209205948U</v>
      </c>
      <c r="H2256" s="1" t="str">
        <f>"2019-08-06"</f>
        <v>2019-08-06</v>
      </c>
      <c r="I2256" s="1" t="str">
        <f t="shared" ref="I2256:I2274" si="1116">"刘博年"</f>
        <v>刘博年</v>
      </c>
      <c r="J2256" s="1" t="str">
        <f t="shared" ref="J2256:J2274" si="1117">"天津年利汽车部件有限公司"</f>
        <v>天津年利汽车部件有限公司</v>
      </c>
    </row>
    <row r="2257" spans="1:10">
      <c r="A2257" s="1" t="str">
        <f t="shared" si="1114"/>
        <v>天津年利汽车部件有限公司</v>
      </c>
      <c r="B2257" s="1" t="str">
        <f>"一种弹簧加工的清洁装置"</f>
        <v>一种弹簧加工的清洁装置</v>
      </c>
      <c r="C2257" s="1" t="str">
        <f t="shared" si="1112"/>
        <v>实用新型</v>
      </c>
      <c r="D2257" s="1" t="str">
        <f t="shared" si="1113"/>
        <v>未缴年费专利权终止</v>
      </c>
      <c r="E2257" s="1" t="str">
        <f>"CN201820741635.0"</f>
        <v>CN201820741635.0</v>
      </c>
      <c r="F2257" s="1" t="str">
        <f t="shared" si="1115"/>
        <v>2018-05-18</v>
      </c>
      <c r="G2257" s="1" t="str">
        <f>"CN208758182U"</f>
        <v>CN208758182U</v>
      </c>
      <c r="H2257" s="1" t="str">
        <f t="shared" ref="H2257:H2264" si="1118">"2019-04-19"</f>
        <v>2019-04-19</v>
      </c>
      <c r="I2257" s="1" t="str">
        <f t="shared" si="1116"/>
        <v>刘博年</v>
      </c>
      <c r="J2257" s="1" t="str">
        <f t="shared" si="1117"/>
        <v>天津年利汽车部件有限公司</v>
      </c>
    </row>
    <row r="2258" spans="1:10">
      <c r="A2258" s="1" t="str">
        <f t="shared" si="1114"/>
        <v>天津年利汽车部件有限公司</v>
      </c>
      <c r="B2258" s="1" t="str">
        <f>"一种弹簧加工用切边废料回收装置"</f>
        <v>一种弹簧加工用切边废料回收装置</v>
      </c>
      <c r="C2258" s="1" t="str">
        <f t="shared" si="1112"/>
        <v>实用新型</v>
      </c>
      <c r="D2258" s="1" t="str">
        <f t="shared" si="1113"/>
        <v>未缴年费专利权终止</v>
      </c>
      <c r="E2258" s="1" t="str">
        <f>"CN201820741597.9"</f>
        <v>CN201820741597.9</v>
      </c>
      <c r="F2258" s="1" t="str">
        <f t="shared" si="1115"/>
        <v>2018-05-18</v>
      </c>
      <c r="G2258" s="1" t="str">
        <f>"CN208760065U"</f>
        <v>CN208760065U</v>
      </c>
      <c r="H2258" s="1" t="str">
        <f t="shared" si="1118"/>
        <v>2019-04-19</v>
      </c>
      <c r="I2258" s="1" t="str">
        <f t="shared" si="1116"/>
        <v>刘博年</v>
      </c>
      <c r="J2258" s="1" t="str">
        <f t="shared" si="1117"/>
        <v>天津年利汽车部件有限公司</v>
      </c>
    </row>
    <row r="2259" spans="1:10">
      <c r="A2259" s="1" t="str">
        <f t="shared" si="1114"/>
        <v>天津年利汽车部件有限公司</v>
      </c>
      <c r="B2259" s="1" t="str">
        <f>"一种弹簧加工的回收装置"</f>
        <v>一种弹簧加工的回收装置</v>
      </c>
      <c r="C2259" s="1" t="str">
        <f t="shared" si="1112"/>
        <v>实用新型</v>
      </c>
      <c r="D2259" s="1" t="str">
        <f t="shared" si="1113"/>
        <v>未缴年费专利权终止</v>
      </c>
      <c r="E2259" s="1" t="str">
        <f>"CN201820741661.3"</f>
        <v>CN201820741661.3</v>
      </c>
      <c r="F2259" s="1" t="str">
        <f t="shared" si="1115"/>
        <v>2018-05-18</v>
      </c>
      <c r="G2259" s="1" t="str">
        <f>"CN208760066U"</f>
        <v>CN208760066U</v>
      </c>
      <c r="H2259" s="1" t="str">
        <f t="shared" si="1118"/>
        <v>2019-04-19</v>
      </c>
      <c r="I2259" s="1" t="str">
        <f t="shared" si="1116"/>
        <v>刘博年</v>
      </c>
      <c r="J2259" s="1" t="str">
        <f t="shared" si="1117"/>
        <v>天津年利汽车部件有限公司</v>
      </c>
    </row>
    <row r="2260" spans="1:10">
      <c r="A2260" s="1" t="str">
        <f t="shared" si="1114"/>
        <v>天津年利汽车部件有限公司</v>
      </c>
      <c r="B2260" s="1" t="str">
        <f>"一种弹簧加工组合夹紧装置"</f>
        <v>一种弹簧加工组合夹紧装置</v>
      </c>
      <c r="C2260" s="1" t="str">
        <f t="shared" si="1112"/>
        <v>实用新型</v>
      </c>
      <c r="D2260" s="1" t="str">
        <f t="shared" si="1113"/>
        <v>未缴年费专利权终止</v>
      </c>
      <c r="E2260" s="1" t="str">
        <f>"CN201820741596.4"</f>
        <v>CN201820741596.4</v>
      </c>
      <c r="F2260" s="1" t="str">
        <f t="shared" si="1115"/>
        <v>2018-05-18</v>
      </c>
      <c r="G2260" s="1" t="str">
        <f>"CN208759374U"</f>
        <v>CN208759374U</v>
      </c>
      <c r="H2260" s="1" t="str">
        <f t="shared" si="1118"/>
        <v>2019-04-19</v>
      </c>
      <c r="I2260" s="1" t="str">
        <f t="shared" si="1116"/>
        <v>刘博年</v>
      </c>
      <c r="J2260" s="1" t="str">
        <f t="shared" si="1117"/>
        <v>天津年利汽车部件有限公司</v>
      </c>
    </row>
    <row r="2261" spans="1:10">
      <c r="A2261" s="1" t="str">
        <f t="shared" si="1114"/>
        <v>天津年利汽车部件有限公司</v>
      </c>
      <c r="B2261" s="1" t="str">
        <f>"一种弹簧配件调节安装装置"</f>
        <v>一种弹簧配件调节安装装置</v>
      </c>
      <c r="C2261" s="1" t="str">
        <f t="shared" si="1112"/>
        <v>实用新型</v>
      </c>
      <c r="D2261" s="1" t="str">
        <f t="shared" si="1113"/>
        <v>未缴年费专利权终止</v>
      </c>
      <c r="E2261" s="1" t="str">
        <f>"CN201820741586.0"</f>
        <v>CN201820741586.0</v>
      </c>
      <c r="F2261" s="1" t="str">
        <f t="shared" si="1115"/>
        <v>2018-05-18</v>
      </c>
      <c r="G2261" s="1" t="str">
        <f>"CN208759373U"</f>
        <v>CN208759373U</v>
      </c>
      <c r="H2261" s="1" t="str">
        <f t="shared" si="1118"/>
        <v>2019-04-19</v>
      </c>
      <c r="I2261" s="1" t="str">
        <f t="shared" si="1116"/>
        <v>刘博年</v>
      </c>
      <c r="J2261" s="1" t="str">
        <f t="shared" si="1117"/>
        <v>天津年利汽车部件有限公司</v>
      </c>
    </row>
    <row r="2262" spans="1:10">
      <c r="A2262" s="1" t="str">
        <f t="shared" si="1114"/>
        <v>天津年利汽车部件有限公司</v>
      </c>
      <c r="B2262" s="1" t="str">
        <f>"一种弹簧配件加工的筛选装置"</f>
        <v>一种弹簧配件加工的筛选装置</v>
      </c>
      <c r="C2262" s="1" t="str">
        <f t="shared" si="1112"/>
        <v>实用新型</v>
      </c>
      <c r="D2262" s="1" t="str">
        <f t="shared" si="1113"/>
        <v>未缴年费专利权终止</v>
      </c>
      <c r="E2262" s="1" t="str">
        <f>"CN201820705797.9"</f>
        <v>CN201820705797.9</v>
      </c>
      <c r="F2262" s="1" t="str">
        <f t="shared" ref="F2262:F2270" si="1119">"2018-05-14"</f>
        <v>2018-05-14</v>
      </c>
      <c r="G2262" s="1" t="str">
        <f>"CN208758074U"</f>
        <v>CN208758074U</v>
      </c>
      <c r="H2262" s="1" t="str">
        <f t="shared" si="1118"/>
        <v>2019-04-19</v>
      </c>
      <c r="I2262" s="1" t="str">
        <f t="shared" si="1116"/>
        <v>刘博年</v>
      </c>
      <c r="J2262" s="1" t="str">
        <f t="shared" si="1117"/>
        <v>天津年利汽车部件有限公司</v>
      </c>
    </row>
    <row r="2263" spans="1:10">
      <c r="A2263" s="1" t="str">
        <f t="shared" si="1114"/>
        <v>天津年利汽车部件有限公司</v>
      </c>
      <c r="B2263" s="1" t="str">
        <f>"一种弹簧加工用高效冲压装置"</f>
        <v>一种弹簧加工用高效冲压装置</v>
      </c>
      <c r="C2263" s="1" t="str">
        <f t="shared" si="1112"/>
        <v>实用新型</v>
      </c>
      <c r="D2263" s="1" t="str">
        <f t="shared" si="1113"/>
        <v>未缴年费专利权终止</v>
      </c>
      <c r="E2263" s="1" t="str">
        <f>"CN201820741598.3"</f>
        <v>CN201820741598.3</v>
      </c>
      <c r="F2263" s="1" t="str">
        <f>"2018-05-18"</f>
        <v>2018-05-18</v>
      </c>
      <c r="G2263" s="1" t="str">
        <f>"CN208758420U"</f>
        <v>CN208758420U</v>
      </c>
      <c r="H2263" s="1" t="str">
        <f t="shared" si="1118"/>
        <v>2019-04-19</v>
      </c>
      <c r="I2263" s="1" t="str">
        <f t="shared" si="1116"/>
        <v>刘博年</v>
      </c>
      <c r="J2263" s="1" t="str">
        <f t="shared" si="1117"/>
        <v>天津年利汽车部件有限公司</v>
      </c>
    </row>
    <row r="2264" spans="1:10">
      <c r="A2264" s="1" t="str">
        <f t="shared" si="1114"/>
        <v>天津年利汽车部件有限公司</v>
      </c>
      <c r="B2264" s="1" t="str">
        <f>"一种弹簧加工用组合夹紧装置"</f>
        <v>一种弹簧加工用组合夹紧装置</v>
      </c>
      <c r="C2264" s="1" t="str">
        <f t="shared" si="1112"/>
        <v>实用新型</v>
      </c>
      <c r="D2264" s="1" t="str">
        <f t="shared" si="1113"/>
        <v>未缴年费专利权终止</v>
      </c>
      <c r="E2264" s="1" t="str">
        <f>"CN201820706012.X"</f>
        <v>CN201820706012.X</v>
      </c>
      <c r="F2264" s="1" t="str">
        <f t="shared" si="1119"/>
        <v>2018-05-14</v>
      </c>
      <c r="G2264" s="1" t="str">
        <f>"CN208758540U"</f>
        <v>CN208758540U</v>
      </c>
      <c r="H2264" s="1" t="str">
        <f t="shared" si="1118"/>
        <v>2019-04-19</v>
      </c>
      <c r="I2264" s="1" t="str">
        <f t="shared" si="1116"/>
        <v>刘博年</v>
      </c>
      <c r="J2264" s="1" t="str">
        <f t="shared" si="1117"/>
        <v>天津年利汽车部件有限公司</v>
      </c>
    </row>
    <row r="2265" spans="1:10">
      <c r="A2265" s="1" t="str">
        <f t="shared" si="1114"/>
        <v>天津年利汽车部件有限公司</v>
      </c>
      <c r="B2265" s="1" t="str">
        <f>"一种弹簧配件的工件固定装置"</f>
        <v>一种弹簧配件的工件固定装置</v>
      </c>
      <c r="C2265" s="1" t="str">
        <f t="shared" si="1112"/>
        <v>实用新型</v>
      </c>
      <c r="D2265" s="1" t="str">
        <f t="shared" si="1113"/>
        <v>未缴年费专利权终止</v>
      </c>
      <c r="E2265" s="1" t="str">
        <f>"CN201820706000.7"</f>
        <v>CN201820706000.7</v>
      </c>
      <c r="F2265" s="1" t="str">
        <f t="shared" si="1119"/>
        <v>2018-05-14</v>
      </c>
      <c r="G2265" s="1" t="str">
        <f>"CN208663547U"</f>
        <v>CN208663547U</v>
      </c>
      <c r="H2265" s="1" t="str">
        <f>"2019-03-29"</f>
        <v>2019-03-29</v>
      </c>
      <c r="I2265" s="1" t="str">
        <f t="shared" si="1116"/>
        <v>刘博年</v>
      </c>
      <c r="J2265" s="1" t="str">
        <f t="shared" si="1117"/>
        <v>天津年利汽车部件有限公司</v>
      </c>
    </row>
    <row r="2266" spans="1:10">
      <c r="A2266" s="1" t="str">
        <f t="shared" si="1114"/>
        <v>天津年利汽车部件有限公司</v>
      </c>
      <c r="B2266" s="1" t="str">
        <f>"一种弹簧加工用工作台"</f>
        <v>一种弹簧加工用工作台</v>
      </c>
      <c r="C2266" s="1" t="str">
        <f t="shared" si="1112"/>
        <v>实用新型</v>
      </c>
      <c r="D2266" s="1" t="str">
        <f t="shared" si="1113"/>
        <v>未缴年费专利权终止</v>
      </c>
      <c r="E2266" s="1" t="str">
        <f>"CN201820706151.2"</f>
        <v>CN201820706151.2</v>
      </c>
      <c r="F2266" s="1" t="str">
        <f t="shared" si="1119"/>
        <v>2018-05-14</v>
      </c>
      <c r="G2266" s="1" t="str">
        <f>"CN208531503U"</f>
        <v>CN208531503U</v>
      </c>
      <c r="H2266" s="1" t="str">
        <f t="shared" ref="H2266:H2272" si="1120">"2019-02-22"</f>
        <v>2019-02-22</v>
      </c>
      <c r="I2266" s="1" t="str">
        <f t="shared" si="1116"/>
        <v>刘博年</v>
      </c>
      <c r="J2266" s="1" t="str">
        <f t="shared" si="1117"/>
        <v>天津年利汽车部件有限公司</v>
      </c>
    </row>
    <row r="2267" spans="1:10">
      <c r="A2267" s="1" t="str">
        <f t="shared" si="1114"/>
        <v>天津年利汽车部件有限公司</v>
      </c>
      <c r="B2267" s="1" t="str">
        <f>"一种弹簧加工用剪切机构"</f>
        <v>一种弹簧加工用剪切机构</v>
      </c>
      <c r="C2267" s="1" t="str">
        <f t="shared" si="1112"/>
        <v>实用新型</v>
      </c>
      <c r="D2267" s="1" t="str">
        <f t="shared" si="1113"/>
        <v>未缴年费专利权终止</v>
      </c>
      <c r="E2267" s="1" t="str">
        <f>"CN201820727560.0"</f>
        <v>CN201820727560.0</v>
      </c>
      <c r="F2267" s="1" t="str">
        <f t="shared" si="1119"/>
        <v>2018-05-14</v>
      </c>
      <c r="G2267" s="1" t="str">
        <f>"CN208527944U"</f>
        <v>CN208527944U</v>
      </c>
      <c r="H2267" s="1" t="str">
        <f t="shared" si="1120"/>
        <v>2019-02-22</v>
      </c>
      <c r="I2267" s="1" t="str">
        <f t="shared" si="1116"/>
        <v>刘博年</v>
      </c>
      <c r="J2267" s="1" t="str">
        <f t="shared" si="1117"/>
        <v>天津年利汽车部件有限公司</v>
      </c>
    </row>
    <row r="2268" spans="1:10">
      <c r="A2268" s="1" t="str">
        <f t="shared" si="1114"/>
        <v>天津年利汽车部件有限公司</v>
      </c>
      <c r="B2268" s="1" t="str">
        <f>"一种弹簧加工用收料装置"</f>
        <v>一种弹簧加工用收料装置</v>
      </c>
      <c r="C2268" s="1" t="str">
        <f t="shared" si="1112"/>
        <v>实用新型</v>
      </c>
      <c r="D2268" s="1" t="str">
        <f t="shared" si="1113"/>
        <v>未缴年费专利权终止</v>
      </c>
      <c r="E2268" s="1" t="str">
        <f>"CN201820705994.0"</f>
        <v>CN201820705994.0</v>
      </c>
      <c r="F2268" s="1" t="str">
        <f t="shared" si="1119"/>
        <v>2018-05-14</v>
      </c>
      <c r="G2268" s="1" t="str">
        <f>"CN208531575U"</f>
        <v>CN208531575U</v>
      </c>
      <c r="H2268" s="1" t="str">
        <f t="shared" si="1120"/>
        <v>2019-02-22</v>
      </c>
      <c r="I2268" s="1" t="str">
        <f t="shared" si="1116"/>
        <v>刘博年</v>
      </c>
      <c r="J2268" s="1" t="str">
        <f t="shared" si="1117"/>
        <v>天津年利汽车部件有限公司</v>
      </c>
    </row>
    <row r="2269" spans="1:10">
      <c r="A2269" s="1" t="str">
        <f t="shared" si="1114"/>
        <v>天津年利汽车部件有限公司</v>
      </c>
      <c r="B2269" s="1" t="str">
        <f>"一种弹簧配件的固定支架"</f>
        <v>一种弹簧配件的固定支架</v>
      </c>
      <c r="C2269" s="1" t="str">
        <f t="shared" si="1112"/>
        <v>实用新型</v>
      </c>
      <c r="D2269" s="1" t="str">
        <f t="shared" si="1113"/>
        <v>未缴年费专利权终止</v>
      </c>
      <c r="E2269" s="1" t="str">
        <f>"CN201820705904.8"</f>
        <v>CN201820705904.8</v>
      </c>
      <c r="F2269" s="1" t="str">
        <f t="shared" si="1119"/>
        <v>2018-05-14</v>
      </c>
      <c r="G2269" s="1" t="str">
        <f>"CN208528891U"</f>
        <v>CN208528891U</v>
      </c>
      <c r="H2269" s="1" t="str">
        <f t="shared" si="1120"/>
        <v>2019-02-22</v>
      </c>
      <c r="I2269" s="1" t="str">
        <f t="shared" si="1116"/>
        <v>刘博年</v>
      </c>
      <c r="J2269" s="1" t="str">
        <f t="shared" si="1117"/>
        <v>天津年利汽车部件有限公司</v>
      </c>
    </row>
    <row r="2270" spans="1:10">
      <c r="A2270" s="1" t="str">
        <f t="shared" si="1114"/>
        <v>天津年利汽车部件有限公司</v>
      </c>
      <c r="B2270" s="1" t="str">
        <f>"一种弹簧加工用固定装置"</f>
        <v>一种弹簧加工用固定装置</v>
      </c>
      <c r="C2270" s="1" t="str">
        <f t="shared" si="1112"/>
        <v>实用新型</v>
      </c>
      <c r="D2270" s="1" t="str">
        <f t="shared" si="1113"/>
        <v>未缴年费专利权终止</v>
      </c>
      <c r="E2270" s="1" t="str">
        <f>"CN201820706003.0"</f>
        <v>CN201820706003.0</v>
      </c>
      <c r="F2270" s="1" t="str">
        <f t="shared" si="1119"/>
        <v>2018-05-14</v>
      </c>
      <c r="G2270" s="1" t="str">
        <f>"CN208527965U"</f>
        <v>CN208527965U</v>
      </c>
      <c r="H2270" s="1" t="str">
        <f t="shared" si="1120"/>
        <v>2019-02-22</v>
      </c>
      <c r="I2270" s="1" t="str">
        <f t="shared" si="1116"/>
        <v>刘博年</v>
      </c>
      <c r="J2270" s="1" t="str">
        <f t="shared" si="1117"/>
        <v>天津年利汽车部件有限公司</v>
      </c>
    </row>
    <row r="2271" spans="1:10">
      <c r="A2271" s="1" t="str">
        <f t="shared" si="1114"/>
        <v>天津年利汽车部件有限公司</v>
      </c>
      <c r="B2271" s="1" t="str">
        <f>"一种弹簧配件自定位收料装置"</f>
        <v>一种弹簧配件自定位收料装置</v>
      </c>
      <c r="C2271" s="1" t="str">
        <f t="shared" si="1112"/>
        <v>实用新型</v>
      </c>
      <c r="D2271" s="1" t="str">
        <f t="shared" si="1113"/>
        <v>未缴年费专利权终止</v>
      </c>
      <c r="E2271" s="1" t="str">
        <f>"CN201820741601.1"</f>
        <v>CN201820741601.1</v>
      </c>
      <c r="F2271" s="1" t="str">
        <f>"2018-05-18"</f>
        <v>2018-05-18</v>
      </c>
      <c r="G2271" s="1" t="str">
        <f>"CN208531654U"</f>
        <v>CN208531654U</v>
      </c>
      <c r="H2271" s="1" t="str">
        <f t="shared" si="1120"/>
        <v>2019-02-22</v>
      </c>
      <c r="I2271" s="1" t="str">
        <f t="shared" si="1116"/>
        <v>刘博年</v>
      </c>
      <c r="J2271" s="1" t="str">
        <f t="shared" si="1117"/>
        <v>天津年利汽车部件有限公司</v>
      </c>
    </row>
    <row r="2272" spans="1:10">
      <c r="A2272" s="1" t="str">
        <f t="shared" si="1114"/>
        <v>天津年利汽车部件有限公司</v>
      </c>
      <c r="B2272" s="1" t="str">
        <f>"一种弹簧加工的剪切机构"</f>
        <v>一种弹簧加工的剪切机构</v>
      </c>
      <c r="C2272" s="1" t="str">
        <f t="shared" si="1112"/>
        <v>实用新型</v>
      </c>
      <c r="D2272" s="1" t="str">
        <f t="shared" si="1113"/>
        <v>未缴年费专利权终止</v>
      </c>
      <c r="E2272" s="1" t="str">
        <f>"CN201820741640.1"</f>
        <v>CN201820741640.1</v>
      </c>
      <c r="F2272" s="1" t="str">
        <f>"2018-05-18"</f>
        <v>2018-05-18</v>
      </c>
      <c r="G2272" s="1" t="str">
        <f>"CN208527945U"</f>
        <v>CN208527945U</v>
      </c>
      <c r="H2272" s="1" t="str">
        <f t="shared" si="1120"/>
        <v>2019-02-22</v>
      </c>
      <c r="I2272" s="1" t="str">
        <f t="shared" si="1116"/>
        <v>刘博年</v>
      </c>
      <c r="J2272" s="1" t="str">
        <f t="shared" si="1117"/>
        <v>天津年利汽车部件有限公司</v>
      </c>
    </row>
    <row r="2273" spans="1:10">
      <c r="A2273" s="1" t="str">
        <f t="shared" si="1114"/>
        <v>天津年利汽车部件有限公司</v>
      </c>
      <c r="B2273" s="1" t="str">
        <f>"一种弹簧加工用送料装置"</f>
        <v>一种弹簧加工用送料装置</v>
      </c>
      <c r="C2273" s="1" t="str">
        <f t="shared" si="1112"/>
        <v>实用新型</v>
      </c>
      <c r="D2273" s="1" t="str">
        <f t="shared" si="1113"/>
        <v>未缴年费专利权终止</v>
      </c>
      <c r="E2273" s="1" t="str">
        <f>"CN201820706013.4"</f>
        <v>CN201820706013.4</v>
      </c>
      <c r="F2273" s="1" t="str">
        <f>"2018-05-14"</f>
        <v>2018-05-14</v>
      </c>
      <c r="G2273" s="1" t="str">
        <f>"CN208513565U"</f>
        <v>CN208513565U</v>
      </c>
      <c r="H2273" s="1" t="str">
        <f>"2019-02-19"</f>
        <v>2019-02-19</v>
      </c>
      <c r="I2273" s="1" t="str">
        <f t="shared" si="1116"/>
        <v>刘博年</v>
      </c>
      <c r="J2273" s="1" t="str">
        <f t="shared" si="1117"/>
        <v>天津年利汽车部件有限公司</v>
      </c>
    </row>
    <row r="2274" spans="1:10">
      <c r="A2274" s="1" t="str">
        <f t="shared" si="1114"/>
        <v>天津年利汽车部件有限公司</v>
      </c>
      <c r="B2274" s="1" t="str">
        <f>"一种弹簧配件连接结构"</f>
        <v>一种弹簧配件连接结构</v>
      </c>
      <c r="C2274" s="1" t="str">
        <f t="shared" si="1112"/>
        <v>实用新型</v>
      </c>
      <c r="D2274" s="1" t="str">
        <f t="shared" si="1113"/>
        <v>未缴年费专利权终止</v>
      </c>
      <c r="E2274" s="1" t="str">
        <f>"CN201820705864.7"</f>
        <v>CN201820705864.7</v>
      </c>
      <c r="F2274" s="1" t="str">
        <f>"2018-05-14"</f>
        <v>2018-05-14</v>
      </c>
      <c r="G2274" s="1" t="str">
        <f>"CN208401109U"</f>
        <v>CN208401109U</v>
      </c>
      <c r="H2274" s="1" t="str">
        <f>"2019-01-18"</f>
        <v>2019-01-18</v>
      </c>
      <c r="I2274" s="1" t="str">
        <f t="shared" si="1116"/>
        <v>刘博年</v>
      </c>
      <c r="J2274" s="1" t="str">
        <f t="shared" si="1117"/>
        <v>天津年利汽车部件有限公司</v>
      </c>
    </row>
    <row r="2275" spans="1:10">
      <c r="A2275" s="1" t="str">
        <f>"天津安美逸盛汽车检具有限公司"</f>
        <v>天津安美逸盛汽车检具有限公司</v>
      </c>
      <c r="B2275" s="1" t="str">
        <f>"一种汽车直管长度检具"</f>
        <v>一种汽车直管长度检具</v>
      </c>
      <c r="C2275" s="1" t="str">
        <f t="shared" si="1112"/>
        <v>实用新型</v>
      </c>
      <c r="D2275" s="1" t="str">
        <f t="shared" si="1113"/>
        <v>未缴年费专利权终止</v>
      </c>
      <c r="E2275" s="1" t="str">
        <f>"CN201620400061.1"</f>
        <v>CN201620400061.1</v>
      </c>
      <c r="F2275" s="1" t="str">
        <f>"2016-05-06"</f>
        <v>2016-05-06</v>
      </c>
      <c r="G2275" s="1" t="str">
        <f>"CN205825874U"</f>
        <v>CN205825874U</v>
      </c>
      <c r="H2275" s="1" t="str">
        <f>"2016-12-21"</f>
        <v>2016-12-21</v>
      </c>
      <c r="I2275" s="1" t="str">
        <f>"曹璐"</f>
        <v>曹璐</v>
      </c>
      <c r="J2275" s="1" t="str">
        <f>"天津安美逸盛汽车检具有限公司"</f>
        <v>天津安美逸盛汽车检具有限公司</v>
      </c>
    </row>
    <row r="2276" spans="1:10">
      <c r="A2276" s="1" t="str">
        <f t="shared" ref="A2276:A2279" si="1121">"天津市天油油泵油嘴制造有限公司"</f>
        <v>天津市天油油泵油嘴制造有限公司</v>
      </c>
      <c r="B2276" s="1" t="str">
        <f>"一种座面研磨机"</f>
        <v>一种座面研磨机</v>
      </c>
      <c r="C2276" s="1" t="str">
        <f t="shared" ref="C2276:C2278" si="1122">"发明公布"</f>
        <v>发明公布</v>
      </c>
      <c r="D2276" s="1" t="str">
        <f t="shared" ref="D2276:D2278" si="1123">"公布视为撤回"</f>
        <v>公布视为撤回</v>
      </c>
      <c r="E2276" s="1" t="str">
        <f>"CN201710013115.8"</f>
        <v>CN201710013115.8</v>
      </c>
      <c r="F2276" s="1" t="str">
        <f t="shared" ref="F2276:F2278" si="1124">"2017-01-09"</f>
        <v>2017-01-09</v>
      </c>
      <c r="G2276" s="1" t="str">
        <f>"CN107042468A"</f>
        <v>CN107042468A</v>
      </c>
      <c r="H2276" s="1" t="str">
        <f>"2017-08-15"</f>
        <v>2017-08-15</v>
      </c>
      <c r="I2276" s="1" t="s">
        <v>5086</v>
      </c>
      <c r="J2276" s="1" t="str">
        <f t="shared" ref="J2276:J2279" si="1125">"天津市天油油泵油嘴制造有限公司"</f>
        <v>天津市天油油泵油嘴制造有限公司</v>
      </c>
    </row>
    <row r="2277" spans="1:10">
      <c r="A2277" s="1" t="str">
        <f t="shared" si="1121"/>
        <v>天津市天油油泵油嘴制造有限公司</v>
      </c>
      <c r="B2277" s="1" t="str">
        <f>"一种喷油嘴端面加工定位装置"</f>
        <v>一种喷油嘴端面加工定位装置</v>
      </c>
      <c r="C2277" s="1" t="str">
        <f t="shared" si="1122"/>
        <v>发明公布</v>
      </c>
      <c r="D2277" s="1" t="str">
        <f t="shared" si="1123"/>
        <v>公布视为撤回</v>
      </c>
      <c r="E2277" s="1" t="str">
        <f>"CN201710013473.9"</f>
        <v>CN201710013473.9</v>
      </c>
      <c r="F2277" s="1" t="str">
        <f t="shared" si="1124"/>
        <v>2017-01-09</v>
      </c>
      <c r="G2277" s="1" t="str">
        <f>"CN106736705A"</f>
        <v>CN106736705A</v>
      </c>
      <c r="H2277" s="1" t="str">
        <f>"2017-05-31"</f>
        <v>2017-05-31</v>
      </c>
      <c r="I2277" s="1" t="s">
        <v>5086</v>
      </c>
      <c r="J2277" s="1" t="str">
        <f t="shared" si="1125"/>
        <v>天津市天油油泵油嘴制造有限公司</v>
      </c>
    </row>
    <row r="2278" spans="1:10">
      <c r="A2278" s="1" t="str">
        <f t="shared" si="1121"/>
        <v>天津市天油油泵油嘴制造有限公司</v>
      </c>
      <c r="B2278" s="1" t="str">
        <f>"一种座面磨床进给装置"</f>
        <v>一种座面磨床进给装置</v>
      </c>
      <c r="C2278" s="1" t="str">
        <f t="shared" si="1122"/>
        <v>发明公布</v>
      </c>
      <c r="D2278" s="1" t="str">
        <f t="shared" si="1123"/>
        <v>公布视为撤回</v>
      </c>
      <c r="E2278" s="1" t="str">
        <f>"CN201710013453.1"</f>
        <v>CN201710013453.1</v>
      </c>
      <c r="F2278" s="1" t="str">
        <f t="shared" si="1124"/>
        <v>2017-01-09</v>
      </c>
      <c r="G2278" s="1" t="str">
        <f>"CN106695543A"</f>
        <v>CN106695543A</v>
      </c>
      <c r="H2278" s="1" t="str">
        <f>"2017-05-24"</f>
        <v>2017-05-24</v>
      </c>
      <c r="I2278" s="1" t="s">
        <v>5086</v>
      </c>
      <c r="J2278" s="1" t="str">
        <f t="shared" si="1125"/>
        <v>天津市天油油泵油嘴制造有限公司</v>
      </c>
    </row>
    <row r="2279" spans="1:10">
      <c r="A2279" s="1" t="str">
        <f t="shared" si="1121"/>
        <v>天津市天油油泵油嘴制造有限公司</v>
      </c>
      <c r="B2279" s="1" t="str">
        <f>"一种中孔磨床装置"</f>
        <v>一种中孔磨床装置</v>
      </c>
      <c r="C2279" s="1" t="str">
        <f t="shared" ref="C2279:C2307" si="1126">"实用新型"</f>
        <v>实用新型</v>
      </c>
      <c r="D2279" s="1" t="str">
        <f t="shared" ref="D2279:D2294" si="1127">"未缴年费专利权终止"</f>
        <v>未缴年费专利权终止</v>
      </c>
      <c r="E2279" s="1" t="str">
        <f>"CN201620658805.X"</f>
        <v>CN201620658805.X</v>
      </c>
      <c r="F2279" s="1" t="str">
        <f>"2016-06-27"</f>
        <v>2016-06-27</v>
      </c>
      <c r="G2279" s="1" t="str">
        <f>"CN205915126U"</f>
        <v>CN205915126U</v>
      </c>
      <c r="H2279" s="1" t="str">
        <f>"2017-02-01"</f>
        <v>2017-02-01</v>
      </c>
      <c r="I2279" s="1" t="s">
        <v>5086</v>
      </c>
      <c r="J2279" s="1" t="str">
        <f t="shared" si="1125"/>
        <v>天津市天油油泵油嘴制造有限公司</v>
      </c>
    </row>
    <row r="2280" spans="1:10">
      <c r="A2280" s="1" t="str">
        <f>"天津市恒达泰汽车部件有限公司"</f>
        <v>天津市恒达泰汽车部件有限公司</v>
      </c>
      <c r="B2280" s="1" t="str">
        <f>"一种缝纫机压脚的压紧装置"</f>
        <v>一种缝纫机压脚的压紧装置</v>
      </c>
      <c r="C2280" s="1" t="str">
        <f t="shared" si="1126"/>
        <v>实用新型</v>
      </c>
      <c r="D2280" s="1" t="str">
        <f>"授权"</f>
        <v>授权</v>
      </c>
      <c r="E2280" s="1" t="str">
        <f>"CN202123309892.8"</f>
        <v>CN202123309892.8</v>
      </c>
      <c r="F2280" s="1" t="str">
        <f>"2021-12-27"</f>
        <v>2021-12-27</v>
      </c>
      <c r="G2280" s="1" t="str">
        <f>"CN217499617U"</f>
        <v>CN217499617U</v>
      </c>
      <c r="H2280" s="1" t="str">
        <f>"2022-09-27"</f>
        <v>2022-09-27</v>
      </c>
      <c r="I2280" s="1" t="str">
        <f>"孙虎头"</f>
        <v>孙虎头</v>
      </c>
      <c r="J2280" s="1" t="str">
        <f>"天津市恒达泰汽车部件有限公司"</f>
        <v>天津市恒达泰汽车部件有限公司</v>
      </c>
    </row>
    <row r="2281" spans="1:10">
      <c r="A2281" s="1" t="str">
        <f>"天津市恒达泰汽车部件有限公司"</f>
        <v>天津市恒达泰汽车部件有限公司</v>
      </c>
      <c r="B2281" s="1" t="str">
        <f>"一种汽车头枕调节装置"</f>
        <v>一种汽车头枕调节装置</v>
      </c>
      <c r="C2281" s="1" t="str">
        <f t="shared" si="1126"/>
        <v>实用新型</v>
      </c>
      <c r="D2281" s="1" t="str">
        <f>"授权"</f>
        <v>授权</v>
      </c>
      <c r="E2281" s="1" t="str">
        <f>"CN201820208170.2"</f>
        <v>CN201820208170.2</v>
      </c>
      <c r="F2281" s="1" t="str">
        <f>"2018-02-05"</f>
        <v>2018-02-05</v>
      </c>
      <c r="G2281" s="1" t="str">
        <f>"CN208164842U"</f>
        <v>CN208164842U</v>
      </c>
      <c r="H2281" s="1" t="str">
        <f>"2018-11-30"</f>
        <v>2018-11-30</v>
      </c>
      <c r="I2281" s="1" t="s">
        <v>5087</v>
      </c>
      <c r="J2281" s="1" t="str">
        <f>"天津市恒达泰汽车部件有限公司"</f>
        <v>天津市恒达泰汽车部件有限公司</v>
      </c>
    </row>
    <row r="2282" spans="1:10">
      <c r="A2282" s="1" t="str">
        <f>"耀重联合汽车部品（天津）有限公司"</f>
        <v>耀重联合汽车部品（天津）有限公司</v>
      </c>
      <c r="B2282" s="1" t="str">
        <f>"一种降噪防霉变汽车空调通风管路"</f>
        <v>一种降噪防霉变汽车空调通风管路</v>
      </c>
      <c r="C2282" s="1" t="str">
        <f t="shared" si="1126"/>
        <v>实用新型</v>
      </c>
      <c r="D2282" s="1" t="str">
        <f t="shared" si="1127"/>
        <v>未缴年费专利权终止</v>
      </c>
      <c r="E2282" s="1" t="str">
        <f>"CN202020246066.X"</f>
        <v>CN202020246066.X</v>
      </c>
      <c r="F2282" s="1" t="str">
        <f>"2020-03-03"</f>
        <v>2020-03-03</v>
      </c>
      <c r="G2282" s="1" t="str">
        <f>"CN211684583U"</f>
        <v>CN211684583U</v>
      </c>
      <c r="H2282" s="1" t="str">
        <f>"2020-10-16"</f>
        <v>2020-10-16</v>
      </c>
      <c r="I2282" s="1" t="str">
        <f>"常征"</f>
        <v>常征</v>
      </c>
      <c r="J2282" s="1" t="str">
        <f>"耀重联合汽车部品(天津)有限公司"</f>
        <v>耀重联合汽车部品(天津)有限公司</v>
      </c>
    </row>
    <row r="2283" spans="1:10">
      <c r="A2283" s="1" t="str">
        <f t="shared" ref="A2283:A2294" si="1128">"天津华丰汽车装饰有限公司"</f>
        <v>天津华丰汽车装饰有限公司</v>
      </c>
      <c r="B2283" s="1" t="str">
        <f>"汽车海绵座椅成型模具新型合模线"</f>
        <v>汽车海绵座椅成型模具新型合模线</v>
      </c>
      <c r="C2283" s="1" t="str">
        <f t="shared" si="1126"/>
        <v>实用新型</v>
      </c>
      <c r="D2283" s="1" t="str">
        <f t="shared" si="1127"/>
        <v>未缴年费专利权终止</v>
      </c>
      <c r="E2283" s="1" t="str">
        <f>"CN201020562406.6"</f>
        <v>CN201020562406.6</v>
      </c>
      <c r="F2283" s="1" t="str">
        <f t="shared" ref="F2283:F2285" si="1129">"2010-10-15"</f>
        <v>2010-10-15</v>
      </c>
      <c r="G2283" s="1" t="str">
        <f>"CN201913749U"</f>
        <v>CN201913749U</v>
      </c>
      <c r="H2283" s="1" t="str">
        <f>"2011-08-03"</f>
        <v>2011-08-03</v>
      </c>
      <c r="I2283" s="1" t="s">
        <v>5088</v>
      </c>
      <c r="J2283" s="1" t="str">
        <f t="shared" ref="J2283:J2294" si="1130">"天津华丰汽车装饰有限公司"</f>
        <v>天津华丰汽车装饰有限公司</v>
      </c>
    </row>
    <row r="2284" spans="1:10">
      <c r="A2284" s="1" t="str">
        <f t="shared" si="1128"/>
        <v>天津华丰汽车装饰有限公司</v>
      </c>
      <c r="B2284" s="1" t="str">
        <f>"带有中子模机构的汽车座椅靠背海绵发泡模具"</f>
        <v>带有中子模机构的汽车座椅靠背海绵发泡模具</v>
      </c>
      <c r="C2284" s="1" t="str">
        <f t="shared" si="1126"/>
        <v>实用新型</v>
      </c>
      <c r="D2284" s="1" t="str">
        <f t="shared" si="1127"/>
        <v>未缴年费专利权终止</v>
      </c>
      <c r="E2284" s="1" t="str">
        <f>"CN201020562426.3"</f>
        <v>CN201020562426.3</v>
      </c>
      <c r="F2284" s="1" t="str">
        <f t="shared" si="1129"/>
        <v>2010-10-15</v>
      </c>
      <c r="G2284" s="1" t="str">
        <f>"CN201895386U"</f>
        <v>CN201895386U</v>
      </c>
      <c r="H2284" s="1" t="str">
        <f>"2011-07-13"</f>
        <v>2011-07-13</v>
      </c>
      <c r="I2284" s="1" t="s">
        <v>5089</v>
      </c>
      <c r="J2284" s="1" t="str">
        <f t="shared" si="1130"/>
        <v>天津华丰汽车装饰有限公司</v>
      </c>
    </row>
    <row r="2285" spans="1:10">
      <c r="A2285" s="1" t="str">
        <f t="shared" si="1128"/>
        <v>天津华丰汽车装饰有限公司</v>
      </c>
      <c r="B2285" s="1" t="str">
        <f>"点焊设备电极头修复专机"</f>
        <v>点焊设备电极头修复专机</v>
      </c>
      <c r="C2285" s="1" t="str">
        <f t="shared" si="1126"/>
        <v>实用新型</v>
      </c>
      <c r="D2285" s="1" t="str">
        <f t="shared" si="1127"/>
        <v>未缴年费专利权终止</v>
      </c>
      <c r="E2285" s="1" t="str">
        <f>"CN201020562408.5"</f>
        <v>CN201020562408.5</v>
      </c>
      <c r="F2285" s="1" t="str">
        <f t="shared" si="1129"/>
        <v>2010-10-15</v>
      </c>
      <c r="G2285" s="1" t="str">
        <f>"CN201895121U"</f>
        <v>CN201895121U</v>
      </c>
      <c r="H2285" s="1" t="str">
        <f>"2011-07-13"</f>
        <v>2011-07-13</v>
      </c>
      <c r="I2285" s="1" t="s">
        <v>5089</v>
      </c>
      <c r="J2285" s="1" t="str">
        <f t="shared" si="1130"/>
        <v>天津华丰汽车装饰有限公司</v>
      </c>
    </row>
    <row r="2286" spans="1:10">
      <c r="A2286" s="1" t="str">
        <f t="shared" si="1128"/>
        <v>天津华丰汽车装饰有限公司</v>
      </c>
      <c r="B2286" s="1" t="str">
        <f>"带有压力传感器的汽车座椅"</f>
        <v>带有压力传感器的汽车座椅</v>
      </c>
      <c r="C2286" s="1" t="str">
        <f t="shared" si="1126"/>
        <v>实用新型</v>
      </c>
      <c r="D2286" s="1" t="str">
        <f t="shared" si="1127"/>
        <v>未缴年费专利权终止</v>
      </c>
      <c r="E2286" s="1" t="str">
        <f>"CN200820142664.1"</f>
        <v>CN200820142664.1</v>
      </c>
      <c r="F2286" s="1" t="str">
        <f t="shared" ref="F2286:F2293" si="1131">"2008-10-24"</f>
        <v>2008-10-24</v>
      </c>
      <c r="G2286" s="1" t="str">
        <f>"CN201287644"</f>
        <v>CN201287644</v>
      </c>
      <c r="H2286" s="1" t="str">
        <f t="shared" ref="H2286:H2293" si="1132">"2009-08-12"</f>
        <v>2009-08-12</v>
      </c>
      <c r="I2286" s="1" t="str">
        <f t="shared" ref="I2286:I2294" si="1133">"贺大伟"</f>
        <v>贺大伟</v>
      </c>
      <c r="J2286" s="1" t="str">
        <f t="shared" si="1130"/>
        <v>天津华丰汽车装饰有限公司</v>
      </c>
    </row>
    <row r="2287" spans="1:10">
      <c r="A2287" s="1" t="str">
        <f t="shared" si="1128"/>
        <v>天津华丰汽车装饰有限公司</v>
      </c>
      <c r="B2287" s="1" t="str">
        <f>"具有新型连接方式的汽车座垫"</f>
        <v>具有新型连接方式的汽车座垫</v>
      </c>
      <c r="C2287" s="1" t="str">
        <f t="shared" si="1126"/>
        <v>实用新型</v>
      </c>
      <c r="D2287" s="1" t="str">
        <f t="shared" si="1127"/>
        <v>未缴年费专利权终止</v>
      </c>
      <c r="E2287" s="1" t="str">
        <f>"CN200820142662.2"</f>
        <v>CN200820142662.2</v>
      </c>
      <c r="F2287" s="1" t="str">
        <f t="shared" si="1131"/>
        <v>2008-10-24</v>
      </c>
      <c r="G2287" s="1" t="str">
        <f>"CN201287656"</f>
        <v>CN201287656</v>
      </c>
      <c r="H2287" s="1" t="str">
        <f t="shared" si="1132"/>
        <v>2009-08-12</v>
      </c>
      <c r="I2287" s="1" t="str">
        <f t="shared" si="1133"/>
        <v>贺大伟</v>
      </c>
      <c r="J2287" s="1" t="str">
        <f t="shared" si="1130"/>
        <v>天津华丰汽车装饰有限公司</v>
      </c>
    </row>
    <row r="2288" spans="1:10">
      <c r="A2288" s="1" t="str">
        <f t="shared" si="1128"/>
        <v>天津华丰汽车装饰有限公司</v>
      </c>
      <c r="B2288" s="1" t="str">
        <f>"舒适美观的汽车座椅"</f>
        <v>舒适美观的汽车座椅</v>
      </c>
      <c r="C2288" s="1" t="str">
        <f t="shared" si="1126"/>
        <v>实用新型</v>
      </c>
      <c r="D2288" s="1" t="str">
        <f t="shared" si="1127"/>
        <v>未缴年费专利权终止</v>
      </c>
      <c r="E2288" s="1" t="str">
        <f>"CN200820142668.X"</f>
        <v>CN200820142668.X</v>
      </c>
      <c r="F2288" s="1" t="str">
        <f t="shared" si="1131"/>
        <v>2008-10-24</v>
      </c>
      <c r="G2288" s="1" t="str">
        <f>"CN201287658"</f>
        <v>CN201287658</v>
      </c>
      <c r="H2288" s="1" t="str">
        <f t="shared" si="1132"/>
        <v>2009-08-12</v>
      </c>
      <c r="I2288" s="1" t="str">
        <f t="shared" si="1133"/>
        <v>贺大伟</v>
      </c>
      <c r="J2288" s="1" t="str">
        <f t="shared" si="1130"/>
        <v>天津华丰汽车装饰有限公司</v>
      </c>
    </row>
    <row r="2289" spans="1:10">
      <c r="A2289" s="1" t="str">
        <f t="shared" si="1128"/>
        <v>天津华丰汽车装饰有限公司</v>
      </c>
      <c r="B2289" s="1" t="str">
        <f>"带有防撞块的汽车后车门内饰板"</f>
        <v>带有防撞块的汽车后车门内饰板</v>
      </c>
      <c r="C2289" s="1" t="str">
        <f t="shared" si="1126"/>
        <v>实用新型</v>
      </c>
      <c r="D2289" s="1" t="str">
        <f t="shared" si="1127"/>
        <v>未缴年费专利权终止</v>
      </c>
      <c r="E2289" s="1" t="str">
        <f>"CN200820142663.7"</f>
        <v>CN200820142663.7</v>
      </c>
      <c r="F2289" s="1" t="str">
        <f t="shared" si="1131"/>
        <v>2008-10-24</v>
      </c>
      <c r="G2289" s="1" t="str">
        <f>"CN201287685"</f>
        <v>CN201287685</v>
      </c>
      <c r="H2289" s="1" t="str">
        <f t="shared" si="1132"/>
        <v>2009-08-12</v>
      </c>
      <c r="I2289" s="1" t="str">
        <f t="shared" si="1133"/>
        <v>贺大伟</v>
      </c>
      <c r="J2289" s="1" t="str">
        <f t="shared" si="1130"/>
        <v>天津华丰汽车装饰有限公司</v>
      </c>
    </row>
    <row r="2290" spans="1:10">
      <c r="A2290" s="1" t="str">
        <f t="shared" si="1128"/>
        <v>天津华丰汽车装饰有限公司</v>
      </c>
      <c r="B2290" s="1" t="str">
        <f>"汽车座椅软垫"</f>
        <v>汽车座椅软垫</v>
      </c>
      <c r="C2290" s="1" t="str">
        <f t="shared" si="1126"/>
        <v>实用新型</v>
      </c>
      <c r="D2290" s="1" t="str">
        <f t="shared" si="1127"/>
        <v>未缴年费专利权终止</v>
      </c>
      <c r="E2290" s="1" t="str">
        <f>"CN200820142667.5"</f>
        <v>CN200820142667.5</v>
      </c>
      <c r="F2290" s="1" t="str">
        <f t="shared" si="1131"/>
        <v>2008-10-24</v>
      </c>
      <c r="G2290" s="1" t="str">
        <f>"CN201287657"</f>
        <v>CN201287657</v>
      </c>
      <c r="H2290" s="1" t="str">
        <f t="shared" si="1132"/>
        <v>2009-08-12</v>
      </c>
      <c r="I2290" s="1" t="str">
        <f t="shared" si="1133"/>
        <v>贺大伟</v>
      </c>
      <c r="J2290" s="1" t="str">
        <f t="shared" si="1130"/>
        <v>天津华丰汽车装饰有限公司</v>
      </c>
    </row>
    <row r="2291" spans="1:10">
      <c r="A2291" s="1" t="str">
        <f t="shared" si="1128"/>
        <v>天津华丰汽车装饰有限公司</v>
      </c>
      <c r="B2291" s="1" t="str">
        <f>"带有两个角度调节机构的汽车座椅"</f>
        <v>带有两个角度调节机构的汽车座椅</v>
      </c>
      <c r="C2291" s="1" t="str">
        <f t="shared" si="1126"/>
        <v>实用新型</v>
      </c>
      <c r="D2291" s="1" t="str">
        <f t="shared" si="1127"/>
        <v>未缴年费专利权终止</v>
      </c>
      <c r="E2291" s="1" t="str">
        <f>"CN200820142669.4"</f>
        <v>CN200820142669.4</v>
      </c>
      <c r="F2291" s="1" t="str">
        <f t="shared" si="1131"/>
        <v>2008-10-24</v>
      </c>
      <c r="G2291" s="1" t="str">
        <f>"CN201287647"</f>
        <v>CN201287647</v>
      </c>
      <c r="H2291" s="1" t="str">
        <f t="shared" si="1132"/>
        <v>2009-08-12</v>
      </c>
      <c r="I2291" s="1" t="str">
        <f t="shared" si="1133"/>
        <v>贺大伟</v>
      </c>
      <c r="J2291" s="1" t="str">
        <f t="shared" si="1130"/>
        <v>天津华丰汽车装饰有限公司</v>
      </c>
    </row>
    <row r="2292" spans="1:10">
      <c r="A2292" s="1" t="str">
        <f t="shared" si="1128"/>
        <v>天津华丰汽车装饰有限公司</v>
      </c>
      <c r="B2292" s="1" t="str">
        <f>"带消音垫的汽车车门内饰板"</f>
        <v>带消音垫的汽车车门内饰板</v>
      </c>
      <c r="C2292" s="1" t="str">
        <f t="shared" si="1126"/>
        <v>实用新型</v>
      </c>
      <c r="D2292" s="1" t="str">
        <f t="shared" si="1127"/>
        <v>未缴年费专利权终止</v>
      </c>
      <c r="E2292" s="1" t="str">
        <f>"CN200820142665.6"</f>
        <v>CN200820142665.6</v>
      </c>
      <c r="F2292" s="1" t="str">
        <f t="shared" si="1131"/>
        <v>2008-10-24</v>
      </c>
      <c r="G2292" s="1" t="str">
        <f>"CN201287686"</f>
        <v>CN201287686</v>
      </c>
      <c r="H2292" s="1" t="str">
        <f t="shared" si="1132"/>
        <v>2009-08-12</v>
      </c>
      <c r="I2292" s="1" t="str">
        <f t="shared" si="1133"/>
        <v>贺大伟</v>
      </c>
      <c r="J2292" s="1" t="str">
        <f t="shared" si="1130"/>
        <v>天津华丰汽车装饰有限公司</v>
      </c>
    </row>
    <row r="2293" spans="1:10">
      <c r="A2293" s="1" t="str">
        <f t="shared" si="1128"/>
        <v>天津华丰汽车装饰有限公司</v>
      </c>
      <c r="B2293" s="1" t="str">
        <f>"护面采用绷卡带连接的汽车座椅"</f>
        <v>护面采用绷卡带连接的汽车座椅</v>
      </c>
      <c r="C2293" s="1" t="str">
        <f t="shared" si="1126"/>
        <v>实用新型</v>
      </c>
      <c r="D2293" s="1" t="str">
        <f t="shared" si="1127"/>
        <v>未缴年费专利权终止</v>
      </c>
      <c r="E2293" s="1" t="str">
        <f>"CN200820142666.0"</f>
        <v>CN200820142666.0</v>
      </c>
      <c r="F2293" s="1" t="str">
        <f t="shared" si="1131"/>
        <v>2008-10-24</v>
      </c>
      <c r="G2293" s="1" t="str">
        <f>"CN201287654"</f>
        <v>CN201287654</v>
      </c>
      <c r="H2293" s="1" t="str">
        <f t="shared" si="1132"/>
        <v>2009-08-12</v>
      </c>
      <c r="I2293" s="1" t="str">
        <f t="shared" si="1133"/>
        <v>贺大伟</v>
      </c>
      <c r="J2293" s="1" t="str">
        <f t="shared" si="1130"/>
        <v>天津华丰汽车装饰有限公司</v>
      </c>
    </row>
    <row r="2294" spans="1:10">
      <c r="A2294" s="1" t="str">
        <f t="shared" si="1128"/>
        <v>天津华丰汽车装饰有限公司</v>
      </c>
      <c r="B2294" s="1" t="str">
        <f>"汽车车门内饰板焊接设备"</f>
        <v>汽车车门内饰板焊接设备</v>
      </c>
      <c r="C2294" s="1" t="str">
        <f t="shared" si="1126"/>
        <v>实用新型</v>
      </c>
      <c r="D2294" s="1" t="str">
        <f t="shared" si="1127"/>
        <v>未缴年费专利权终止</v>
      </c>
      <c r="E2294" s="1" t="str">
        <f>"CN200720095748.X"</f>
        <v>CN200720095748.X</v>
      </c>
      <c r="F2294" s="1" t="str">
        <f>"2007-04-11"</f>
        <v>2007-04-11</v>
      </c>
      <c r="G2294" s="1" t="str">
        <f>"CN201058494"</f>
        <v>CN201058494</v>
      </c>
      <c r="H2294" s="1" t="str">
        <f>"2008-05-14"</f>
        <v>2008-05-14</v>
      </c>
      <c r="I2294" s="1" t="str">
        <f t="shared" si="1133"/>
        <v>贺大伟</v>
      </c>
      <c r="J2294" s="1" t="str">
        <f t="shared" si="1130"/>
        <v>天津华丰汽车装饰有限公司</v>
      </c>
    </row>
    <row r="2295" spans="1:10">
      <c r="A2295" s="1" t="str">
        <f t="shared" ref="A2295:A2308" si="1134">"天津可隆汽车配件有限公司"</f>
        <v>天津可隆汽车配件有限公司</v>
      </c>
      <c r="B2295" s="1" t="str">
        <f>"一种便于拆装贴合固定的汽车座椅套"</f>
        <v>一种便于拆装贴合固定的汽车座椅套</v>
      </c>
      <c r="C2295" s="1" t="str">
        <f t="shared" si="1126"/>
        <v>实用新型</v>
      </c>
      <c r="D2295" s="1" t="str">
        <f>"授权"</f>
        <v>授权</v>
      </c>
      <c r="E2295" s="1" t="str">
        <f>"CN202023290929.2"</f>
        <v>CN202023290929.2</v>
      </c>
      <c r="F2295" s="1" t="str">
        <f t="shared" ref="F2295:F2298" si="1135">"2020-12-30"</f>
        <v>2020-12-30</v>
      </c>
      <c r="G2295" s="1" t="str">
        <f>"CN214450476U"</f>
        <v>CN214450476U</v>
      </c>
      <c r="H2295" s="1" t="str">
        <f>"2021-10-22"</f>
        <v>2021-10-22</v>
      </c>
      <c r="I2295" s="1" t="str">
        <f t="shared" ref="I2295:I2298" si="1136">"胡伟明"</f>
        <v>胡伟明</v>
      </c>
      <c r="J2295" s="1" t="str">
        <f t="shared" ref="J2295:J2308" si="1137">"天津可隆汽车配件有限公司"</f>
        <v>天津可隆汽车配件有限公司</v>
      </c>
    </row>
    <row r="2296" spans="1:10">
      <c r="A2296" s="1" t="str">
        <f t="shared" si="1134"/>
        <v>天津可隆汽车配件有限公司</v>
      </c>
      <c r="B2296" s="1" t="str">
        <f>"一种汽车座椅套生产用划线装置"</f>
        <v>一种汽车座椅套生产用划线装置</v>
      </c>
      <c r="C2296" s="1" t="str">
        <f t="shared" si="1126"/>
        <v>实用新型</v>
      </c>
      <c r="D2296" s="1" t="str">
        <f>"授权"</f>
        <v>授权</v>
      </c>
      <c r="E2296" s="1" t="str">
        <f>"CN202023290936.2"</f>
        <v>CN202023290936.2</v>
      </c>
      <c r="F2296" s="1" t="str">
        <f t="shared" si="1135"/>
        <v>2020-12-30</v>
      </c>
      <c r="G2296" s="1" t="str">
        <f>"CN214110382U"</f>
        <v>CN214110382U</v>
      </c>
      <c r="H2296" s="1" t="str">
        <f>"2021-09-03"</f>
        <v>2021-09-03</v>
      </c>
      <c r="I2296" s="1" t="str">
        <f t="shared" si="1136"/>
        <v>胡伟明</v>
      </c>
      <c r="J2296" s="1" t="str">
        <f t="shared" si="1137"/>
        <v>天津可隆汽车配件有限公司</v>
      </c>
    </row>
    <row r="2297" spans="1:10">
      <c r="A2297" s="1" t="str">
        <f t="shared" si="1134"/>
        <v>天津可隆汽车配件有限公司</v>
      </c>
      <c r="B2297" s="1" t="str">
        <f>"一种贴合度高的汽车座椅套"</f>
        <v>一种贴合度高的汽车座椅套</v>
      </c>
      <c r="C2297" s="1" t="str">
        <f t="shared" si="1126"/>
        <v>实用新型</v>
      </c>
      <c r="D2297" s="1" t="str">
        <f t="shared" ref="D2297:D2307" si="1138">"未缴年费专利权终止"</f>
        <v>未缴年费专利权终止</v>
      </c>
      <c r="E2297" s="1" t="str">
        <f>"CN202023268640.0"</f>
        <v>CN202023268640.0</v>
      </c>
      <c r="F2297" s="1" t="str">
        <f t="shared" si="1135"/>
        <v>2020-12-30</v>
      </c>
      <c r="G2297" s="1" t="str">
        <f>"CN214028334U"</f>
        <v>CN214028334U</v>
      </c>
      <c r="H2297" s="1" t="str">
        <f>"2021-08-24"</f>
        <v>2021-08-24</v>
      </c>
      <c r="I2297" s="1" t="str">
        <f t="shared" si="1136"/>
        <v>胡伟明</v>
      </c>
      <c r="J2297" s="1" t="str">
        <f t="shared" si="1137"/>
        <v>天津可隆汽车配件有限公司</v>
      </c>
    </row>
    <row r="2298" spans="1:10">
      <c r="A2298" s="1" t="str">
        <f t="shared" si="1134"/>
        <v>天津可隆汽车配件有限公司</v>
      </c>
      <c r="B2298" s="1" t="str">
        <f>"一种能够自适应大小并带有可更换面料的座椅套"</f>
        <v>一种能够自适应大小并带有可更换面料的座椅套</v>
      </c>
      <c r="C2298" s="1" t="str">
        <f t="shared" si="1126"/>
        <v>实用新型</v>
      </c>
      <c r="D2298" s="1" t="str">
        <f t="shared" si="1138"/>
        <v>未缴年费专利权终止</v>
      </c>
      <c r="E2298" s="1" t="str">
        <f>"CN202023268641.5"</f>
        <v>CN202023268641.5</v>
      </c>
      <c r="F2298" s="1" t="str">
        <f t="shared" si="1135"/>
        <v>2020-12-30</v>
      </c>
      <c r="G2298" s="1" t="str">
        <f>"CN214028335U"</f>
        <v>CN214028335U</v>
      </c>
      <c r="H2298" s="1" t="str">
        <f>"2021-08-24"</f>
        <v>2021-08-24</v>
      </c>
      <c r="I2298" s="1" t="str">
        <f t="shared" si="1136"/>
        <v>胡伟明</v>
      </c>
      <c r="J2298" s="1" t="str">
        <f t="shared" si="1137"/>
        <v>天津可隆汽车配件有限公司</v>
      </c>
    </row>
    <row r="2299" spans="1:10">
      <c r="A2299" s="1" t="str">
        <f t="shared" si="1134"/>
        <v>天津可隆汽车配件有限公司</v>
      </c>
      <c r="B2299" s="1" t="str">
        <f>"一种汽车座椅生产用现场管理装置"</f>
        <v>一种汽车座椅生产用现场管理装置</v>
      </c>
      <c r="C2299" s="1" t="str">
        <f t="shared" si="1126"/>
        <v>实用新型</v>
      </c>
      <c r="D2299" s="1" t="str">
        <f t="shared" si="1138"/>
        <v>未缴年费专利权终止</v>
      </c>
      <c r="E2299" s="1" t="str">
        <f>"CN201821719811.7"</f>
        <v>CN201821719811.7</v>
      </c>
      <c r="F2299" s="1" t="str">
        <f>"2018-10-23"</f>
        <v>2018-10-23</v>
      </c>
      <c r="G2299" s="1" t="str">
        <f>"CN209704262U"</f>
        <v>CN209704262U</v>
      </c>
      <c r="H2299" s="1" t="str">
        <f>"2019-11-29"</f>
        <v>2019-11-29</v>
      </c>
      <c r="I2299" s="1" t="str">
        <f t="shared" ref="I2299:I2308" si="1139">"白权一"</f>
        <v>白权一</v>
      </c>
      <c r="J2299" s="1" t="str">
        <f t="shared" si="1137"/>
        <v>天津可隆汽车配件有限公司</v>
      </c>
    </row>
    <row r="2300" spans="1:10">
      <c r="A2300" s="1" t="str">
        <f t="shared" si="1134"/>
        <v>天津可隆汽车配件有限公司</v>
      </c>
      <c r="B2300" s="1" t="str">
        <f>"一种汽车座椅的舒适度检测装置"</f>
        <v>一种汽车座椅的舒适度检测装置</v>
      </c>
      <c r="C2300" s="1" t="str">
        <f t="shared" si="1126"/>
        <v>实用新型</v>
      </c>
      <c r="D2300" s="1" t="str">
        <f t="shared" si="1138"/>
        <v>未缴年费专利权终止</v>
      </c>
      <c r="E2300" s="1" t="str">
        <f>"CN201821689686.X"</f>
        <v>CN201821689686.X</v>
      </c>
      <c r="F2300" s="1" t="str">
        <f>"2018-10-18"</f>
        <v>2018-10-18</v>
      </c>
      <c r="G2300" s="1" t="str">
        <f>"CN209416667U"</f>
        <v>CN209416667U</v>
      </c>
      <c r="H2300" s="1" t="str">
        <f>"2019-09-20"</f>
        <v>2019-09-20</v>
      </c>
      <c r="I2300" s="1" t="str">
        <f t="shared" si="1139"/>
        <v>白权一</v>
      </c>
      <c r="J2300" s="1" t="str">
        <f t="shared" si="1137"/>
        <v>天津可隆汽车配件有限公司</v>
      </c>
    </row>
    <row r="2301" spans="1:10">
      <c r="A2301" s="1" t="str">
        <f t="shared" si="1134"/>
        <v>天津可隆汽车配件有限公司</v>
      </c>
      <c r="B2301" s="1" t="str">
        <f>"一种汽车座椅生产用裁切装置"</f>
        <v>一种汽车座椅生产用裁切装置</v>
      </c>
      <c r="C2301" s="1" t="str">
        <f t="shared" si="1126"/>
        <v>实用新型</v>
      </c>
      <c r="D2301" s="1" t="str">
        <f t="shared" si="1138"/>
        <v>未缴年费专利权终止</v>
      </c>
      <c r="E2301" s="1" t="str">
        <f>"CN201821719831.4"</f>
        <v>CN201821719831.4</v>
      </c>
      <c r="F2301" s="1" t="str">
        <f>"2018-10-23"</f>
        <v>2018-10-23</v>
      </c>
      <c r="G2301" s="1" t="str">
        <f>"CN209276546U"</f>
        <v>CN209276546U</v>
      </c>
      <c r="H2301" s="1" t="str">
        <f>"2019-08-20"</f>
        <v>2019-08-20</v>
      </c>
      <c r="I2301" s="1" t="str">
        <f t="shared" si="1139"/>
        <v>白权一</v>
      </c>
      <c r="J2301" s="1" t="str">
        <f t="shared" si="1137"/>
        <v>天津可隆汽车配件有限公司</v>
      </c>
    </row>
    <row r="2302" spans="1:10">
      <c r="A2302" s="1" t="str">
        <f t="shared" si="1134"/>
        <v>天津可隆汽车配件有限公司</v>
      </c>
      <c r="B2302" s="1" t="str">
        <f>"一种汽车座椅纹路检查设备"</f>
        <v>一种汽车座椅纹路检查设备</v>
      </c>
      <c r="C2302" s="1" t="str">
        <f t="shared" si="1126"/>
        <v>实用新型</v>
      </c>
      <c r="D2302" s="1" t="str">
        <f t="shared" si="1138"/>
        <v>未缴年费专利权终止</v>
      </c>
      <c r="E2302" s="1" t="str">
        <f>"CN201821731972.8"</f>
        <v>CN201821731972.8</v>
      </c>
      <c r="F2302" s="1" t="str">
        <f>"2018-10-24"</f>
        <v>2018-10-24</v>
      </c>
      <c r="G2302" s="1" t="str">
        <f>"CN209214658U"</f>
        <v>CN209214658U</v>
      </c>
      <c r="H2302" s="1" t="str">
        <f>"2019-08-06"</f>
        <v>2019-08-06</v>
      </c>
      <c r="I2302" s="1" t="str">
        <f t="shared" si="1139"/>
        <v>白权一</v>
      </c>
      <c r="J2302" s="1" t="str">
        <f t="shared" si="1137"/>
        <v>天津可隆汽车配件有限公司</v>
      </c>
    </row>
    <row r="2303" spans="1:10">
      <c r="A2303" s="1" t="str">
        <f t="shared" si="1134"/>
        <v>天津可隆汽车配件有限公司</v>
      </c>
      <c r="B2303" s="1" t="str">
        <f>"一种汽车坐垫加工用检测设备"</f>
        <v>一种汽车坐垫加工用检测设备</v>
      </c>
      <c r="C2303" s="1" t="str">
        <f t="shared" si="1126"/>
        <v>实用新型</v>
      </c>
      <c r="D2303" s="1" t="str">
        <f t="shared" si="1138"/>
        <v>未缴年费专利权终止</v>
      </c>
      <c r="E2303" s="1" t="str">
        <f>"CN201821689681.7"</f>
        <v>CN201821689681.7</v>
      </c>
      <c r="F2303" s="1" t="str">
        <f>"2018-10-18"</f>
        <v>2018-10-18</v>
      </c>
      <c r="G2303" s="1" t="str">
        <f>"CN209215083U"</f>
        <v>CN209215083U</v>
      </c>
      <c r="H2303" s="1" t="str">
        <f>"2019-08-06"</f>
        <v>2019-08-06</v>
      </c>
      <c r="I2303" s="1" t="str">
        <f t="shared" si="1139"/>
        <v>白权一</v>
      </c>
      <c r="J2303" s="1" t="str">
        <f t="shared" si="1137"/>
        <v>天津可隆汽车配件有限公司</v>
      </c>
    </row>
    <row r="2304" spans="1:10">
      <c r="A2304" s="1" t="str">
        <f t="shared" si="1134"/>
        <v>天津可隆汽车配件有限公司</v>
      </c>
      <c r="B2304" s="1" t="str">
        <f>"一种汽车座椅生产用原皮检查机"</f>
        <v>一种汽车座椅生产用原皮检查机</v>
      </c>
      <c r="C2304" s="1" t="str">
        <f t="shared" si="1126"/>
        <v>实用新型</v>
      </c>
      <c r="D2304" s="1" t="str">
        <f t="shared" si="1138"/>
        <v>未缴年费专利权终止</v>
      </c>
      <c r="E2304" s="1" t="str">
        <f>"CN201821731986.X"</f>
        <v>CN201821731986.X</v>
      </c>
      <c r="F2304" s="1" t="str">
        <f>"2018-10-24"</f>
        <v>2018-10-24</v>
      </c>
      <c r="G2304" s="1" t="str">
        <f>"CN209117509U"</f>
        <v>CN209117509U</v>
      </c>
      <c r="H2304" s="1" t="str">
        <f>"2019-07-16"</f>
        <v>2019-07-16</v>
      </c>
      <c r="I2304" s="1" t="str">
        <f t="shared" si="1139"/>
        <v>白权一</v>
      </c>
      <c r="J2304" s="1" t="str">
        <f t="shared" si="1137"/>
        <v>天津可隆汽车配件有限公司</v>
      </c>
    </row>
    <row r="2305" spans="1:10">
      <c r="A2305" s="1" t="str">
        <f t="shared" si="1134"/>
        <v>天津可隆汽车配件有限公司</v>
      </c>
      <c r="B2305" s="1" t="str">
        <f>"一种汽车座椅面固定结构"</f>
        <v>一种汽车座椅面固定结构</v>
      </c>
      <c r="C2305" s="1" t="str">
        <f t="shared" si="1126"/>
        <v>实用新型</v>
      </c>
      <c r="D2305" s="1" t="str">
        <f t="shared" si="1138"/>
        <v>未缴年费专利权终止</v>
      </c>
      <c r="E2305" s="1" t="str">
        <f>"CN201821696162.3"</f>
        <v>CN201821696162.3</v>
      </c>
      <c r="F2305" s="1" t="str">
        <f>"2018-10-19"</f>
        <v>2018-10-19</v>
      </c>
      <c r="G2305" s="1" t="str">
        <f>"CN209111993U"</f>
        <v>CN209111993U</v>
      </c>
      <c r="H2305" s="1" t="str">
        <f>"2019-07-16"</f>
        <v>2019-07-16</v>
      </c>
      <c r="I2305" s="1" t="str">
        <f t="shared" si="1139"/>
        <v>白权一</v>
      </c>
      <c r="J2305" s="1" t="str">
        <f t="shared" si="1137"/>
        <v>天津可隆汽车配件有限公司</v>
      </c>
    </row>
    <row r="2306" spans="1:10">
      <c r="A2306" s="1" t="str">
        <f t="shared" si="1134"/>
        <v>天津可隆汽车配件有限公司</v>
      </c>
      <c r="B2306" s="1" t="str">
        <f>"一种具有温度调整作用的汽车座椅"</f>
        <v>一种具有温度调整作用的汽车座椅</v>
      </c>
      <c r="C2306" s="1" t="str">
        <f t="shared" si="1126"/>
        <v>实用新型</v>
      </c>
      <c r="D2306" s="1" t="str">
        <f t="shared" si="1138"/>
        <v>未缴年费专利权终止</v>
      </c>
      <c r="E2306" s="1" t="str">
        <f>"CN201821683797.X"</f>
        <v>CN201821683797.X</v>
      </c>
      <c r="F2306" s="1" t="str">
        <f>"2018-10-17"</f>
        <v>2018-10-17</v>
      </c>
      <c r="G2306" s="1" t="str">
        <f>"CN208978681U"</f>
        <v>CN208978681U</v>
      </c>
      <c r="H2306" s="1" t="str">
        <f>"2019-06-14"</f>
        <v>2019-06-14</v>
      </c>
      <c r="I2306" s="1" t="str">
        <f t="shared" si="1139"/>
        <v>白权一</v>
      </c>
      <c r="J2306" s="1" t="str">
        <f t="shared" si="1137"/>
        <v>天津可隆汽车配件有限公司</v>
      </c>
    </row>
    <row r="2307" spans="1:10">
      <c r="A2307" s="1" t="str">
        <f t="shared" si="1134"/>
        <v>天津可隆汽车配件有限公司</v>
      </c>
      <c r="B2307" s="1" t="str">
        <f>"一种汽车座椅装配用夹持装置"</f>
        <v>一种汽车座椅装配用夹持装置</v>
      </c>
      <c r="C2307" s="1" t="str">
        <f t="shared" si="1126"/>
        <v>实用新型</v>
      </c>
      <c r="D2307" s="1" t="str">
        <f t="shared" si="1138"/>
        <v>未缴年费专利权终止</v>
      </c>
      <c r="E2307" s="1" t="str">
        <f>"CN201821738514.7"</f>
        <v>CN201821738514.7</v>
      </c>
      <c r="F2307" s="1" t="str">
        <f>"2018-10-25"</f>
        <v>2018-10-25</v>
      </c>
      <c r="G2307" s="1" t="str">
        <f>"CN208977675U"</f>
        <v>CN208977675U</v>
      </c>
      <c r="H2307" s="1" t="str">
        <f>"2019-06-14"</f>
        <v>2019-06-14</v>
      </c>
      <c r="I2307" s="1" t="str">
        <f t="shared" si="1139"/>
        <v>白权一</v>
      </c>
      <c r="J2307" s="1" t="str">
        <f t="shared" si="1137"/>
        <v>天津可隆汽车配件有限公司</v>
      </c>
    </row>
    <row r="2308" spans="1:10">
      <c r="A2308" s="1" t="str">
        <f t="shared" si="1134"/>
        <v>天津可隆汽车配件有限公司</v>
      </c>
      <c r="B2308" s="1" t="str">
        <f>"一种可回收汽车座椅面"</f>
        <v>一种可回收汽车座椅面</v>
      </c>
      <c r="C2308" s="1" t="str">
        <f>"发明公布"</f>
        <v>发明公布</v>
      </c>
      <c r="D2308" s="1" t="str">
        <f>"公布驳回"</f>
        <v>公布驳回</v>
      </c>
      <c r="E2308" s="1" t="str">
        <f>"CN201811335316.0"</f>
        <v>CN201811335316.0</v>
      </c>
      <c r="F2308" s="1" t="str">
        <f>"2018-11-10"</f>
        <v>2018-11-10</v>
      </c>
      <c r="G2308" s="1" t="str">
        <f>"CN109551827A"</f>
        <v>CN109551827A</v>
      </c>
      <c r="H2308" s="1" t="str">
        <f>"2019-04-02"</f>
        <v>2019-04-02</v>
      </c>
      <c r="I2308" s="1" t="str">
        <f t="shared" si="1139"/>
        <v>白权一</v>
      </c>
      <c r="J2308" s="1" t="str">
        <f t="shared" si="1137"/>
        <v>天津可隆汽车配件有限公司</v>
      </c>
    </row>
    <row r="2309" spans="1:10">
      <c r="A2309" s="1" t="str">
        <f t="shared" ref="A2309:A2314" si="1140">"天津易丰易通汽车电子有限公司"</f>
        <v>天津易丰易通汽车电子有限公司</v>
      </c>
      <c r="B2309" s="1" t="str">
        <f>"一种电子节气门装置"</f>
        <v>一种电子节气门装置</v>
      </c>
      <c r="C2309" s="1" t="str">
        <f t="shared" ref="C2309:C2323" si="1141">"实用新型"</f>
        <v>实用新型</v>
      </c>
      <c r="D2309" s="1" t="str">
        <f t="shared" ref="D2309:D2331" si="1142">"未缴年费专利权终止"</f>
        <v>未缴年费专利权终止</v>
      </c>
      <c r="E2309" s="1" t="str">
        <f>"CN201320033627.8"</f>
        <v>CN201320033627.8</v>
      </c>
      <c r="F2309" s="1" t="str">
        <f>"2013-01-23"</f>
        <v>2013-01-23</v>
      </c>
      <c r="G2309" s="1" t="str">
        <f>"CN203559987U"</f>
        <v>CN203559987U</v>
      </c>
      <c r="H2309" s="1" t="str">
        <f>"2014-04-23"</f>
        <v>2014-04-23</v>
      </c>
      <c r="I2309" s="1" t="str">
        <f t="shared" ref="I2309:I2314" si="1143">"孟昱"</f>
        <v>孟昱</v>
      </c>
      <c r="J2309" s="1" t="str">
        <f t="shared" ref="J2309:J2314" si="1144">"天津易丰易通汽车电子有限公司"</f>
        <v>天津易丰易通汽车电子有限公司</v>
      </c>
    </row>
    <row r="2310" spans="1:10">
      <c r="A2310" s="1" t="str">
        <f t="shared" si="1140"/>
        <v>天津易丰易通汽车电子有限公司</v>
      </c>
      <c r="B2310" s="1" t="str">
        <f>"一种改进型电子节气门装置"</f>
        <v>一种改进型电子节气门装置</v>
      </c>
      <c r="C2310" s="1" t="str">
        <f t="shared" si="1141"/>
        <v>实用新型</v>
      </c>
      <c r="D2310" s="1" t="str">
        <f t="shared" si="1142"/>
        <v>未缴年费专利权终止</v>
      </c>
      <c r="E2310" s="1" t="str">
        <f>"CN201320030416.9"</f>
        <v>CN201320030416.9</v>
      </c>
      <c r="F2310" s="1" t="str">
        <f t="shared" ref="F2310:F2314" si="1145">"2013-01-22"</f>
        <v>2013-01-22</v>
      </c>
      <c r="G2310" s="1" t="str">
        <f>"CN203430636U"</f>
        <v>CN203430636U</v>
      </c>
      <c r="H2310" s="1" t="str">
        <f>"2014-02-12"</f>
        <v>2014-02-12</v>
      </c>
      <c r="I2310" s="1" t="str">
        <f t="shared" si="1143"/>
        <v>孟昱</v>
      </c>
      <c r="J2310" s="1" t="str">
        <f t="shared" si="1144"/>
        <v>天津易丰易通汽车电子有限公司</v>
      </c>
    </row>
    <row r="2311" spans="1:10">
      <c r="A2311" s="1" t="str">
        <f t="shared" si="1140"/>
        <v>天津易丰易通汽车电子有限公司</v>
      </c>
      <c r="B2311" s="1" t="str">
        <f>"一种电子节气门系统"</f>
        <v>一种电子节气门系统</v>
      </c>
      <c r="C2311" s="1" t="str">
        <f t="shared" si="1141"/>
        <v>实用新型</v>
      </c>
      <c r="D2311" s="1" t="str">
        <f t="shared" si="1142"/>
        <v>未缴年费专利权终止</v>
      </c>
      <c r="E2311" s="1" t="str">
        <f>"CN201320030417.3"</f>
        <v>CN201320030417.3</v>
      </c>
      <c r="F2311" s="1" t="str">
        <f t="shared" si="1145"/>
        <v>2013-01-22</v>
      </c>
      <c r="G2311" s="1" t="str">
        <f>"CN203078518U"</f>
        <v>CN203078518U</v>
      </c>
      <c r="H2311" s="1" t="str">
        <f t="shared" ref="H2311:H2314" si="1146">"2013-07-24"</f>
        <v>2013-07-24</v>
      </c>
      <c r="I2311" s="1" t="str">
        <f t="shared" si="1143"/>
        <v>孟昱</v>
      </c>
      <c r="J2311" s="1" t="str">
        <f t="shared" si="1144"/>
        <v>天津易丰易通汽车电子有限公司</v>
      </c>
    </row>
    <row r="2312" spans="1:10">
      <c r="A2312" s="1" t="str">
        <f t="shared" si="1140"/>
        <v>天津易丰易通汽车电子有限公司</v>
      </c>
      <c r="B2312" s="1" t="str">
        <f>"一种电子节气门结构"</f>
        <v>一种电子节气门结构</v>
      </c>
      <c r="C2312" s="1" t="str">
        <f t="shared" si="1141"/>
        <v>实用新型</v>
      </c>
      <c r="D2312" s="1" t="str">
        <f t="shared" si="1142"/>
        <v>未缴年费专利权终止</v>
      </c>
      <c r="E2312" s="1" t="str">
        <f>"CN201320030420.5"</f>
        <v>CN201320030420.5</v>
      </c>
      <c r="F2312" s="1" t="str">
        <f t="shared" si="1145"/>
        <v>2013-01-22</v>
      </c>
      <c r="G2312" s="1" t="str">
        <f>"CN203081586U"</f>
        <v>CN203081586U</v>
      </c>
      <c r="H2312" s="1" t="str">
        <f t="shared" si="1146"/>
        <v>2013-07-24</v>
      </c>
      <c r="I2312" s="1" t="str">
        <f t="shared" si="1143"/>
        <v>孟昱</v>
      </c>
      <c r="J2312" s="1" t="str">
        <f t="shared" si="1144"/>
        <v>天津易丰易通汽车电子有限公司</v>
      </c>
    </row>
    <row r="2313" spans="1:10">
      <c r="A2313" s="1" t="str">
        <f t="shared" si="1140"/>
        <v>天津易丰易通汽车电子有限公司</v>
      </c>
      <c r="B2313" s="1" t="str">
        <f>"一种电子节气门"</f>
        <v>一种电子节气门</v>
      </c>
      <c r="C2313" s="1" t="str">
        <f t="shared" si="1141"/>
        <v>实用新型</v>
      </c>
      <c r="D2313" s="1" t="str">
        <f t="shared" si="1142"/>
        <v>未缴年费专利权终止</v>
      </c>
      <c r="E2313" s="1" t="str">
        <f>"CN201320030408.4"</f>
        <v>CN201320030408.4</v>
      </c>
      <c r="F2313" s="1" t="str">
        <f t="shared" si="1145"/>
        <v>2013-01-22</v>
      </c>
      <c r="G2313" s="1" t="str">
        <f>"CN203081584U"</f>
        <v>CN203081584U</v>
      </c>
      <c r="H2313" s="1" t="str">
        <f t="shared" si="1146"/>
        <v>2013-07-24</v>
      </c>
      <c r="I2313" s="1" t="str">
        <f t="shared" si="1143"/>
        <v>孟昱</v>
      </c>
      <c r="J2313" s="1" t="str">
        <f t="shared" si="1144"/>
        <v>天津易丰易通汽车电子有限公司</v>
      </c>
    </row>
    <row r="2314" spans="1:10">
      <c r="A2314" s="1" t="str">
        <f t="shared" si="1140"/>
        <v>天津易丰易通汽车电子有限公司</v>
      </c>
      <c r="B2314" s="1" t="str">
        <f>"一种电子节气门"</f>
        <v>一种电子节气门</v>
      </c>
      <c r="C2314" s="1" t="str">
        <f t="shared" si="1141"/>
        <v>实用新型</v>
      </c>
      <c r="D2314" s="1" t="str">
        <f t="shared" si="1142"/>
        <v>未缴年费专利权终止</v>
      </c>
      <c r="E2314" s="1" t="str">
        <f>"CN201320030409.9"</f>
        <v>CN201320030409.9</v>
      </c>
      <c r="F2314" s="1" t="str">
        <f t="shared" si="1145"/>
        <v>2013-01-22</v>
      </c>
      <c r="G2314" s="1" t="str">
        <f>"CN203081585U"</f>
        <v>CN203081585U</v>
      </c>
      <c r="H2314" s="1" t="str">
        <f t="shared" si="1146"/>
        <v>2013-07-24</v>
      </c>
      <c r="I2314" s="1" t="str">
        <f t="shared" si="1143"/>
        <v>孟昱</v>
      </c>
      <c r="J2314" s="1" t="str">
        <f t="shared" si="1144"/>
        <v>天津易丰易通汽车电子有限公司</v>
      </c>
    </row>
    <row r="2315" spans="1:10">
      <c r="A2315" s="1" t="str">
        <f t="shared" ref="A2315:A2323" si="1147">"天津市银泰客车桥有限公司"</f>
        <v>天津市银泰客车桥有限公司</v>
      </c>
      <c r="B2315" s="1" t="str">
        <f>"鼓式制动器用刹车片"</f>
        <v>鼓式制动器用刹车片</v>
      </c>
      <c r="C2315" s="1" t="str">
        <f t="shared" si="1141"/>
        <v>实用新型</v>
      </c>
      <c r="D2315" s="1" t="str">
        <f t="shared" si="1142"/>
        <v>未缴年费专利权终止</v>
      </c>
      <c r="E2315" s="1" t="str">
        <f>"CN201420450184.7"</f>
        <v>CN201420450184.7</v>
      </c>
      <c r="F2315" s="1" t="str">
        <f t="shared" ref="F2315:F2323" si="1148">"2014-08-11"</f>
        <v>2014-08-11</v>
      </c>
      <c r="G2315" s="1" t="str">
        <f>"CN204300195U"</f>
        <v>CN204300195U</v>
      </c>
      <c r="H2315" s="1" t="str">
        <f>"2015-04-29"</f>
        <v>2015-04-29</v>
      </c>
      <c r="I2315" s="1" t="s">
        <v>5090</v>
      </c>
      <c r="J2315" s="1" t="str">
        <f t="shared" ref="J2315:J2323" si="1149">"天津市银泰客车桥有限公司"</f>
        <v>天津市银泰客车桥有限公司</v>
      </c>
    </row>
    <row r="2316" spans="1:10">
      <c r="A2316" s="1" t="str">
        <f t="shared" si="1147"/>
        <v>天津市银泰客车桥有限公司</v>
      </c>
      <c r="B2316" s="1" t="str">
        <f>"制动内衬表面粗糙度测量治具"</f>
        <v>制动内衬表面粗糙度测量治具</v>
      </c>
      <c r="C2316" s="1" t="str">
        <f t="shared" si="1141"/>
        <v>实用新型</v>
      </c>
      <c r="D2316" s="1" t="str">
        <f t="shared" si="1142"/>
        <v>未缴年费专利权终止</v>
      </c>
      <c r="E2316" s="1" t="str">
        <f>"CN201420449333.8"</f>
        <v>CN201420449333.8</v>
      </c>
      <c r="F2316" s="1" t="str">
        <f t="shared" si="1148"/>
        <v>2014-08-11</v>
      </c>
      <c r="G2316" s="1" t="str">
        <f>"CN204142234U"</f>
        <v>CN204142234U</v>
      </c>
      <c r="H2316" s="1" t="str">
        <f t="shared" ref="H2316:H2323" si="1150">"2015-02-04"</f>
        <v>2015-02-04</v>
      </c>
      <c r="I2316" s="1" t="s">
        <v>5090</v>
      </c>
      <c r="J2316" s="1" t="str">
        <f t="shared" si="1149"/>
        <v>天津市银泰客车桥有限公司</v>
      </c>
    </row>
    <row r="2317" spans="1:10">
      <c r="A2317" s="1" t="str">
        <f t="shared" si="1147"/>
        <v>天津市银泰客车桥有限公司</v>
      </c>
      <c r="B2317" s="1" t="str">
        <f>"内冷组合刀具"</f>
        <v>内冷组合刀具</v>
      </c>
      <c r="C2317" s="1" t="str">
        <f t="shared" si="1141"/>
        <v>实用新型</v>
      </c>
      <c r="D2317" s="1" t="str">
        <f t="shared" si="1142"/>
        <v>未缴年费专利权终止</v>
      </c>
      <c r="E2317" s="1" t="str">
        <f>"CN201420450182.8"</f>
        <v>CN201420450182.8</v>
      </c>
      <c r="F2317" s="1" t="str">
        <f t="shared" si="1148"/>
        <v>2014-08-11</v>
      </c>
      <c r="G2317" s="1" t="str">
        <f>"CN204135360U"</f>
        <v>CN204135360U</v>
      </c>
      <c r="H2317" s="1" t="str">
        <f t="shared" si="1150"/>
        <v>2015-02-04</v>
      </c>
      <c r="I2317" s="1" t="s">
        <v>5090</v>
      </c>
      <c r="J2317" s="1" t="str">
        <f t="shared" si="1149"/>
        <v>天津市银泰客车桥有限公司</v>
      </c>
    </row>
    <row r="2318" spans="1:10">
      <c r="A2318" s="1" t="str">
        <f t="shared" si="1147"/>
        <v>天津市银泰客车桥有限公司</v>
      </c>
      <c r="B2318" s="1" t="str">
        <f>"报警片铆接式摩擦片"</f>
        <v>报警片铆接式摩擦片</v>
      </c>
      <c r="C2318" s="1" t="str">
        <f t="shared" si="1141"/>
        <v>实用新型</v>
      </c>
      <c r="D2318" s="1" t="str">
        <f t="shared" si="1142"/>
        <v>未缴年费专利权终止</v>
      </c>
      <c r="E2318" s="1" t="str">
        <f>"CN201420448954.4"</f>
        <v>CN201420448954.4</v>
      </c>
      <c r="F2318" s="1" t="str">
        <f t="shared" si="1148"/>
        <v>2014-08-11</v>
      </c>
      <c r="G2318" s="1" t="str">
        <f>"CN204140732U"</f>
        <v>CN204140732U</v>
      </c>
      <c r="H2318" s="1" t="str">
        <f t="shared" si="1150"/>
        <v>2015-02-04</v>
      </c>
      <c r="I2318" s="1" t="s">
        <v>5090</v>
      </c>
      <c r="J2318" s="1" t="str">
        <f t="shared" si="1149"/>
        <v>天津市银泰客车桥有限公司</v>
      </c>
    </row>
    <row r="2319" spans="1:10">
      <c r="A2319" s="1" t="str">
        <f t="shared" si="1147"/>
        <v>天津市银泰客车桥有限公司</v>
      </c>
      <c r="B2319" s="1" t="str">
        <f>"螺纹孔端面综合验具"</f>
        <v>螺纹孔端面综合验具</v>
      </c>
      <c r="C2319" s="1" t="str">
        <f t="shared" si="1141"/>
        <v>实用新型</v>
      </c>
      <c r="D2319" s="1" t="str">
        <f t="shared" si="1142"/>
        <v>未缴年费专利权终止</v>
      </c>
      <c r="E2319" s="1" t="str">
        <f>"CN201420450411.6"</f>
        <v>CN201420450411.6</v>
      </c>
      <c r="F2319" s="1" t="str">
        <f t="shared" si="1148"/>
        <v>2014-08-11</v>
      </c>
      <c r="G2319" s="1" t="str">
        <f>"CN204142125U"</f>
        <v>CN204142125U</v>
      </c>
      <c r="H2319" s="1" t="str">
        <f t="shared" si="1150"/>
        <v>2015-02-04</v>
      </c>
      <c r="I2319" s="1" t="s">
        <v>5090</v>
      </c>
      <c r="J2319" s="1" t="str">
        <f t="shared" si="1149"/>
        <v>天津市银泰客车桥有限公司</v>
      </c>
    </row>
    <row r="2320" spans="1:10">
      <c r="A2320" s="1" t="str">
        <f t="shared" si="1147"/>
        <v>天津市银泰客车桥有限公司</v>
      </c>
      <c r="B2320" s="1" t="str">
        <f>"鼓式制动器总成"</f>
        <v>鼓式制动器总成</v>
      </c>
      <c r="C2320" s="1" t="str">
        <f t="shared" si="1141"/>
        <v>实用新型</v>
      </c>
      <c r="D2320" s="1" t="str">
        <f t="shared" si="1142"/>
        <v>未缴年费专利权终止</v>
      </c>
      <c r="E2320" s="1" t="str">
        <f>"CN201420449310.7"</f>
        <v>CN201420449310.7</v>
      </c>
      <c r="F2320" s="1" t="str">
        <f t="shared" si="1148"/>
        <v>2014-08-11</v>
      </c>
      <c r="G2320" s="1" t="str">
        <f>"CN204140704U"</f>
        <v>CN204140704U</v>
      </c>
      <c r="H2320" s="1" t="str">
        <f t="shared" si="1150"/>
        <v>2015-02-04</v>
      </c>
      <c r="I2320" s="1" t="s">
        <v>5090</v>
      </c>
      <c r="J2320" s="1" t="str">
        <f t="shared" si="1149"/>
        <v>天津市银泰客车桥有限公司</v>
      </c>
    </row>
    <row r="2321" spans="1:10">
      <c r="A2321" s="1" t="str">
        <f t="shared" si="1147"/>
        <v>天津市银泰客车桥有限公司</v>
      </c>
      <c r="B2321" s="1" t="str">
        <f>"鼓式刹车器的制动衬片"</f>
        <v>鼓式刹车器的制动衬片</v>
      </c>
      <c r="C2321" s="1" t="str">
        <f t="shared" si="1141"/>
        <v>实用新型</v>
      </c>
      <c r="D2321" s="1" t="str">
        <f t="shared" si="1142"/>
        <v>未缴年费专利权终止</v>
      </c>
      <c r="E2321" s="1" t="str">
        <f>"CN201420448807.7"</f>
        <v>CN201420448807.7</v>
      </c>
      <c r="F2321" s="1" t="str">
        <f t="shared" si="1148"/>
        <v>2014-08-11</v>
      </c>
      <c r="G2321" s="1" t="str">
        <f>"CN204140728U"</f>
        <v>CN204140728U</v>
      </c>
      <c r="H2321" s="1" t="str">
        <f t="shared" si="1150"/>
        <v>2015-02-04</v>
      </c>
      <c r="I2321" s="1" t="s">
        <v>5090</v>
      </c>
      <c r="J2321" s="1" t="str">
        <f t="shared" si="1149"/>
        <v>天津市银泰客车桥有限公司</v>
      </c>
    </row>
    <row r="2322" spans="1:10">
      <c r="A2322" s="1" t="str">
        <f t="shared" si="1147"/>
        <v>天津市银泰客车桥有限公司</v>
      </c>
      <c r="B2322" s="1" t="str">
        <f>"制动钳活塞孔密封槽跳动验具"</f>
        <v>制动钳活塞孔密封槽跳动验具</v>
      </c>
      <c r="C2322" s="1" t="str">
        <f t="shared" si="1141"/>
        <v>实用新型</v>
      </c>
      <c r="D2322" s="1" t="str">
        <f t="shared" si="1142"/>
        <v>未缴年费专利权终止</v>
      </c>
      <c r="E2322" s="1" t="str">
        <f>"CN201420448952.5"</f>
        <v>CN201420448952.5</v>
      </c>
      <c r="F2322" s="1" t="str">
        <f t="shared" si="1148"/>
        <v>2014-08-11</v>
      </c>
      <c r="G2322" s="1" t="str">
        <f>"CN204142124U"</f>
        <v>CN204142124U</v>
      </c>
      <c r="H2322" s="1" t="str">
        <f t="shared" si="1150"/>
        <v>2015-02-04</v>
      </c>
      <c r="I2322" s="1" t="s">
        <v>5090</v>
      </c>
      <c r="J2322" s="1" t="str">
        <f t="shared" si="1149"/>
        <v>天津市银泰客车桥有限公司</v>
      </c>
    </row>
    <row r="2323" spans="1:10">
      <c r="A2323" s="1" t="str">
        <f t="shared" si="1147"/>
        <v>天津市银泰客车桥有限公司</v>
      </c>
      <c r="B2323" s="1" t="str">
        <f>"钳架与滑销配合结构"</f>
        <v>钳架与滑销配合结构</v>
      </c>
      <c r="C2323" s="1" t="str">
        <f t="shared" si="1141"/>
        <v>实用新型</v>
      </c>
      <c r="D2323" s="1" t="str">
        <f t="shared" si="1142"/>
        <v>未缴年费专利权终止</v>
      </c>
      <c r="E2323" s="1" t="str">
        <f>"CN201420448955.9"</f>
        <v>CN201420448955.9</v>
      </c>
      <c r="F2323" s="1" t="str">
        <f t="shared" si="1148"/>
        <v>2014-08-11</v>
      </c>
      <c r="G2323" s="1" t="str">
        <f>"CN204140712U"</f>
        <v>CN204140712U</v>
      </c>
      <c r="H2323" s="1" t="str">
        <f t="shared" si="1150"/>
        <v>2015-02-04</v>
      </c>
      <c r="I2323" s="1" t="s">
        <v>5090</v>
      </c>
      <c r="J2323" s="1" t="str">
        <f t="shared" si="1149"/>
        <v>天津市银泰客车桥有限公司</v>
      </c>
    </row>
    <row r="2324" spans="1:10">
      <c r="A2324" s="1" t="str">
        <f>"天津市活塞厂"</f>
        <v>天津市活塞厂</v>
      </c>
      <c r="B2324" s="1" t="str">
        <f>"活塞环材料"</f>
        <v>活塞环材料</v>
      </c>
      <c r="C2324" s="1" t="str">
        <f>"发明授权"</f>
        <v>发明授权</v>
      </c>
      <c r="D2324" s="1" t="str">
        <f t="shared" si="1142"/>
        <v>未缴年费专利权终止</v>
      </c>
      <c r="E2324" s="1" t="str">
        <f>"CN8610180.4"</f>
        <v>CN8610180.4</v>
      </c>
      <c r="F2324" s="1" t="str">
        <f>"1986-03-22"</f>
        <v>1986-03-22</v>
      </c>
      <c r="G2324" s="1" t="str">
        <f>"CN86101804B"</f>
        <v>CN86101804B</v>
      </c>
      <c r="H2324" s="1" t="str">
        <f>"1988-11-09"</f>
        <v>1988-11-09</v>
      </c>
      <c r="I2324" s="1" t="str">
        <f>"刁乃文"</f>
        <v>刁乃文</v>
      </c>
      <c r="J2324" s="1" t="s">
        <v>5091</v>
      </c>
    </row>
    <row r="2325" spans="1:10">
      <c r="A2325" s="1" t="str">
        <f t="shared" ref="A2325:A2328" si="1151">"天津市腾发伟业汽车真皮座套有限公司"</f>
        <v>天津市腾发伟业汽车真皮座套有限公司</v>
      </c>
      <c r="B2325" s="1" t="str">
        <f>"一种汽车加湿装置"</f>
        <v>一种汽车加湿装置</v>
      </c>
      <c r="C2325" s="1" t="str">
        <f t="shared" ref="C2325:C2330" si="1152">"实用新型"</f>
        <v>实用新型</v>
      </c>
      <c r="D2325" s="1" t="str">
        <f t="shared" si="1142"/>
        <v>未缴年费专利权终止</v>
      </c>
      <c r="E2325" s="1" t="str">
        <f>"CN201420573647.9"</f>
        <v>CN201420573647.9</v>
      </c>
      <c r="F2325" s="1" t="str">
        <f t="shared" ref="F2325:F2328" si="1153">"2014-09-30"</f>
        <v>2014-09-30</v>
      </c>
      <c r="G2325" s="1" t="str">
        <f>"CN204285706U"</f>
        <v>CN204285706U</v>
      </c>
      <c r="H2325" s="1" t="str">
        <f>"2015-04-22"</f>
        <v>2015-04-22</v>
      </c>
      <c r="I2325" s="1" t="str">
        <f t="shared" ref="I2325:I2328" si="1154">"张立伟"</f>
        <v>张立伟</v>
      </c>
      <c r="J2325" s="1" t="str">
        <f t="shared" ref="J2325:J2328" si="1155">"天津市腾发伟业汽车真皮座套有限公司"</f>
        <v>天津市腾发伟业汽车真皮座套有限公司</v>
      </c>
    </row>
    <row r="2326" spans="1:10">
      <c r="A2326" s="1" t="str">
        <f t="shared" si="1151"/>
        <v>天津市腾发伟业汽车真皮座套有限公司</v>
      </c>
      <c r="B2326" s="1" t="str">
        <f>"一种汽车自动调节座椅"</f>
        <v>一种汽车自动调节座椅</v>
      </c>
      <c r="C2326" s="1" t="str">
        <f t="shared" si="1152"/>
        <v>实用新型</v>
      </c>
      <c r="D2326" s="1" t="str">
        <f t="shared" si="1142"/>
        <v>未缴年费专利权终止</v>
      </c>
      <c r="E2326" s="1" t="str">
        <f>"CN201420573324.X"</f>
        <v>CN201420573324.X</v>
      </c>
      <c r="F2326" s="1" t="str">
        <f t="shared" si="1153"/>
        <v>2014-09-30</v>
      </c>
      <c r="G2326" s="1" t="str">
        <f>"CN204263965U"</f>
        <v>CN204263965U</v>
      </c>
      <c r="H2326" s="1" t="str">
        <f>"2015-04-15"</f>
        <v>2015-04-15</v>
      </c>
      <c r="I2326" s="1" t="str">
        <f t="shared" si="1154"/>
        <v>张立伟</v>
      </c>
      <c r="J2326" s="1" t="str">
        <f t="shared" si="1155"/>
        <v>天津市腾发伟业汽车真皮座套有限公司</v>
      </c>
    </row>
    <row r="2327" spans="1:10">
      <c r="A2327" s="1" t="str">
        <f t="shared" si="1151"/>
        <v>天津市腾发伟业汽车真皮座套有限公司</v>
      </c>
      <c r="B2327" s="1" t="str">
        <f>"一种汽车按摩安全带"</f>
        <v>一种汽车按摩安全带</v>
      </c>
      <c r="C2327" s="1" t="str">
        <f t="shared" si="1152"/>
        <v>实用新型</v>
      </c>
      <c r="D2327" s="1" t="str">
        <f t="shared" si="1142"/>
        <v>未缴年费专利权终止</v>
      </c>
      <c r="E2327" s="1" t="str">
        <f>"CN201420575853.3"</f>
        <v>CN201420575853.3</v>
      </c>
      <c r="F2327" s="1" t="str">
        <f t="shared" si="1153"/>
        <v>2014-09-30</v>
      </c>
      <c r="G2327" s="1" t="str">
        <f>"CN204149996U"</f>
        <v>CN204149996U</v>
      </c>
      <c r="H2327" s="1" t="str">
        <f>"2015-02-11"</f>
        <v>2015-02-11</v>
      </c>
      <c r="I2327" s="1" t="str">
        <f t="shared" si="1154"/>
        <v>张立伟</v>
      </c>
      <c r="J2327" s="1" t="str">
        <f t="shared" si="1155"/>
        <v>天津市腾发伟业汽车真皮座套有限公司</v>
      </c>
    </row>
    <row r="2328" spans="1:10">
      <c r="A2328" s="1" t="str">
        <f t="shared" si="1151"/>
        <v>天津市腾发伟业汽车真皮座套有限公司</v>
      </c>
      <c r="B2328" s="1" t="str">
        <f>"一种汽车智能挂饰"</f>
        <v>一种汽车智能挂饰</v>
      </c>
      <c r="C2328" s="1" t="str">
        <f t="shared" si="1152"/>
        <v>实用新型</v>
      </c>
      <c r="D2328" s="1" t="str">
        <f t="shared" si="1142"/>
        <v>未缴年费专利权终止</v>
      </c>
      <c r="E2328" s="1" t="str">
        <f>"CN201420575427.X"</f>
        <v>CN201420575427.X</v>
      </c>
      <c r="F2328" s="1" t="str">
        <f t="shared" si="1153"/>
        <v>2014-09-30</v>
      </c>
      <c r="G2328" s="1" t="str">
        <f>"CN204149963U"</f>
        <v>CN204149963U</v>
      </c>
      <c r="H2328" s="1" t="str">
        <f>"2015-02-11"</f>
        <v>2015-02-11</v>
      </c>
      <c r="I2328" s="1" t="str">
        <f t="shared" si="1154"/>
        <v>张立伟</v>
      </c>
      <c r="J2328" s="1" t="str">
        <f t="shared" si="1155"/>
        <v>天津市腾发伟业汽车真皮座套有限公司</v>
      </c>
    </row>
    <row r="2329" spans="1:10">
      <c r="A2329" s="1" t="str">
        <f>"天津市汽车配件一厂"</f>
        <v>天津市汽车配件一厂</v>
      </c>
      <c r="B2329" s="1" t="str">
        <f>"汽车司机用开启式保护网装置"</f>
        <v>汽车司机用开启式保护网装置</v>
      </c>
      <c r="C2329" s="1" t="str">
        <f t="shared" si="1152"/>
        <v>实用新型</v>
      </c>
      <c r="D2329" s="1" t="str">
        <f t="shared" si="1142"/>
        <v>未缴年费专利权终止</v>
      </c>
      <c r="E2329" s="1" t="str">
        <f>"CN91226257.5"</f>
        <v>CN91226257.5</v>
      </c>
      <c r="F2329" s="1" t="str">
        <f>"1991-10-12"</f>
        <v>1991-10-12</v>
      </c>
      <c r="G2329" s="1" t="str">
        <f>"CN2107404U"</f>
        <v>CN2107404U</v>
      </c>
      <c r="H2329" s="1" t="str">
        <f>"1992-06-17"</f>
        <v>1992-06-17</v>
      </c>
      <c r="I2329" s="1" t="str">
        <f>"邱有才"</f>
        <v>邱有才</v>
      </c>
      <c r="J2329" s="1" t="str">
        <f>"天津市汽车配件一厂"</f>
        <v>天津市汽车配件一厂</v>
      </c>
    </row>
    <row r="2330" spans="1:10">
      <c r="A2330" s="1" t="str">
        <f t="shared" ref="A2330:A2333" si="1156">"天津汽车暖风机有限公司"</f>
        <v>天津汽车暖风机有限公司</v>
      </c>
      <c r="B2330" s="1" t="str">
        <f>"一种带有空气滤清器的复合气缸盖罩"</f>
        <v>一种带有空气滤清器的复合气缸盖罩</v>
      </c>
      <c r="C2330" s="1" t="str">
        <f t="shared" si="1152"/>
        <v>实用新型</v>
      </c>
      <c r="D2330" s="1" t="str">
        <f t="shared" si="1142"/>
        <v>未缴年费专利权终止</v>
      </c>
      <c r="E2330" s="1" t="str">
        <f>"CN200420085429.7"</f>
        <v>CN200420085429.7</v>
      </c>
      <c r="F2330" s="1" t="str">
        <f t="shared" ref="F2330:F2332" si="1157">"2004-11-19"</f>
        <v>2004-11-19</v>
      </c>
      <c r="G2330" s="1" t="str">
        <f>"CN2760259"</f>
        <v>CN2760259</v>
      </c>
      <c r="H2330" s="1" t="str">
        <f>"2006-02-22"</f>
        <v>2006-02-22</v>
      </c>
      <c r="I2330" s="1" t="s">
        <v>5092</v>
      </c>
      <c r="J2330" s="1" t="str">
        <f t="shared" ref="J2330:J2333" si="1158">"天津汽车暖风机有限公司"</f>
        <v>天津汽车暖风机有限公司</v>
      </c>
    </row>
    <row r="2331" spans="1:10">
      <c r="A2331" s="1" t="str">
        <f t="shared" si="1156"/>
        <v>天津汽车暖风机有限公司</v>
      </c>
      <c r="B2331" s="1" t="str">
        <f>"带有空气滤清器的复合气缸盖罩"</f>
        <v>带有空气滤清器的复合气缸盖罩</v>
      </c>
      <c r="C2331" s="1" t="str">
        <f>"外观设计"</f>
        <v>外观设计</v>
      </c>
      <c r="D2331" s="1" t="str">
        <f t="shared" si="1142"/>
        <v>未缴年费专利权终止</v>
      </c>
      <c r="E2331" s="1" t="str">
        <f>"CN200430076970.7"</f>
        <v>CN200430076970.7</v>
      </c>
      <c r="F2331" s="1" t="str">
        <f t="shared" si="1157"/>
        <v>2004-11-19</v>
      </c>
      <c r="G2331" s="1" t="str">
        <f>"CN3495722"</f>
        <v>CN3495722</v>
      </c>
      <c r="H2331" s="1" t="str">
        <f>"2005-12-28"</f>
        <v>2005-12-28</v>
      </c>
      <c r="I2331" s="1" t="s">
        <v>5093</v>
      </c>
      <c r="J2331" s="1" t="str">
        <f t="shared" si="1158"/>
        <v>天津汽车暖风机有限公司</v>
      </c>
    </row>
    <row r="2332" spans="1:10">
      <c r="A2332" s="1" t="str">
        <f t="shared" si="1156"/>
        <v>天津汽车暖风机有限公司</v>
      </c>
      <c r="B2332" s="1" t="str">
        <f>"一种带有空气滤清器的复合气缸盖罩"</f>
        <v>一种带有空气滤清器的复合气缸盖罩</v>
      </c>
      <c r="C2332" s="1" t="str">
        <f>"发明公布"</f>
        <v>发明公布</v>
      </c>
      <c r="D2332" s="1" t="str">
        <f>"视为放弃"</f>
        <v>视为放弃</v>
      </c>
      <c r="E2332" s="1" t="str">
        <f>"CN200410072846.2"</f>
        <v>CN200410072846.2</v>
      </c>
      <c r="F2332" s="1" t="str">
        <f t="shared" si="1157"/>
        <v>2004-11-19</v>
      </c>
      <c r="G2332" s="1" t="str">
        <f>"CN1644902A"</f>
        <v>CN1644902A</v>
      </c>
      <c r="H2332" s="1" t="str">
        <f>"2005-07-27"</f>
        <v>2005-07-27</v>
      </c>
      <c r="I2332" s="1" t="s">
        <v>5092</v>
      </c>
      <c r="J2332" s="1" t="str">
        <f t="shared" si="1158"/>
        <v>天津汽车暖风机有限公司</v>
      </c>
    </row>
    <row r="2333" spans="1:10">
      <c r="A2333" s="1" t="str">
        <f t="shared" si="1156"/>
        <v>天津汽车暖风机有限公司</v>
      </c>
      <c r="B2333" s="1" t="str">
        <f>"一种高效率汽车用水暖式暖风装置"</f>
        <v>一种高效率汽车用水暖式暖风装置</v>
      </c>
      <c r="C2333" s="1" t="str">
        <f t="shared" ref="C2333:C2335" si="1159">"实用新型"</f>
        <v>实用新型</v>
      </c>
      <c r="D2333" s="1" t="str">
        <f t="shared" ref="D2333:D2335" si="1160">"未缴年费专利权终止"</f>
        <v>未缴年费专利权终止</v>
      </c>
      <c r="E2333" s="1" t="str">
        <f>"CN00258396.8"</f>
        <v>CN00258396.8</v>
      </c>
      <c r="F2333" s="1" t="str">
        <f>"2000-10-25"</f>
        <v>2000-10-25</v>
      </c>
      <c r="G2333" s="1" t="str">
        <f>"CN2451386"</f>
        <v>CN2451386</v>
      </c>
      <c r="H2333" s="1" t="str">
        <f>"2001-10-03"</f>
        <v>2001-10-03</v>
      </c>
      <c r="I2333" s="1" t="s">
        <v>5094</v>
      </c>
      <c r="J2333" s="1" t="str">
        <f t="shared" si="1158"/>
        <v>天津汽车暖风机有限公司</v>
      </c>
    </row>
    <row r="2334" spans="1:10">
      <c r="A2334" s="1" t="str">
        <f>"天津东明汽车电器工贸有限公司"</f>
        <v>天津东明汽车电器工贸有限公司</v>
      </c>
      <c r="B2334" s="1" t="str">
        <f>"可编程的汽车节气门位置传感器"</f>
        <v>可编程的汽车节气门位置传感器</v>
      </c>
      <c r="C2334" s="1" t="str">
        <f t="shared" si="1159"/>
        <v>实用新型</v>
      </c>
      <c r="D2334" s="1" t="str">
        <f t="shared" si="1160"/>
        <v>未缴年费专利权终止</v>
      </c>
      <c r="E2334" s="1" t="str">
        <f>"CN201220206460.6"</f>
        <v>CN201220206460.6</v>
      </c>
      <c r="F2334" s="1" t="str">
        <f>"2012-05-10"</f>
        <v>2012-05-10</v>
      </c>
      <c r="G2334" s="1" t="str">
        <f>"CN202970920U"</f>
        <v>CN202970920U</v>
      </c>
      <c r="H2334" s="1" t="str">
        <f>"2013-06-05"</f>
        <v>2013-06-05</v>
      </c>
      <c r="I2334" s="1" t="s">
        <v>5095</v>
      </c>
      <c r="J2334" s="1" t="str">
        <f>"天津东明汽车电器工贸有限公司"</f>
        <v>天津东明汽车电器工贸有限公司</v>
      </c>
    </row>
    <row r="2335" spans="1:10">
      <c r="A2335" s="1" t="str">
        <f>"天津市汽车仪表厂"</f>
        <v>天津市汽车仪表厂</v>
      </c>
      <c r="B2335" s="1" t="str">
        <f>"流体压力报警器"</f>
        <v>流体压力报警器</v>
      </c>
      <c r="C2335" s="1" t="str">
        <f t="shared" si="1159"/>
        <v>实用新型</v>
      </c>
      <c r="D2335" s="1" t="str">
        <f t="shared" si="1160"/>
        <v>未缴年费专利权终止</v>
      </c>
      <c r="E2335" s="1" t="str">
        <f>"CN90206412.6"</f>
        <v>CN90206412.6</v>
      </c>
      <c r="F2335" s="1" t="str">
        <f>"1990-05-16"</f>
        <v>1990-05-16</v>
      </c>
      <c r="G2335" s="1" t="str">
        <f>"CN2067406U"</f>
        <v>CN2067406U</v>
      </c>
      <c r="H2335" s="1" t="str">
        <f>"1990-12-12"</f>
        <v>1990-12-12</v>
      </c>
      <c r="I2335" s="1" t="str">
        <f>"苏瑞霖"</f>
        <v>苏瑞霖</v>
      </c>
      <c r="J2335" s="1" t="str">
        <f>"天津市汽车仪表厂"</f>
        <v>天津市汽车仪表厂</v>
      </c>
    </row>
    <row r="2336" spans="1:10">
      <c r="A2336" s="1" t="str">
        <f>"天津市汽车仪表厂"</f>
        <v>天津市汽车仪表厂</v>
      </c>
      <c r="B2336" s="1" t="str">
        <f>"微型车仪表机座"</f>
        <v>微型车仪表机座</v>
      </c>
      <c r="C2336" s="1" t="str">
        <f>"外观设计"</f>
        <v>外观设计</v>
      </c>
      <c r="D2336" s="1" t="str">
        <f>"期限届满专利权终止"</f>
        <v>期限届满专利权终止</v>
      </c>
      <c r="E2336" s="1" t="str">
        <f>"CN89301174.6"</f>
        <v>CN89301174.6</v>
      </c>
      <c r="F2336" s="1" t="str">
        <f>"1989-07-05"</f>
        <v>1989-07-05</v>
      </c>
      <c r="G2336" s="1" t="str">
        <f>"CN3005339S"</f>
        <v>CN3005339S</v>
      </c>
      <c r="H2336" s="1" t="str">
        <f>"1990-04-11"</f>
        <v>1990-04-11</v>
      </c>
      <c r="I2336" s="1" t="s">
        <v>5096</v>
      </c>
      <c r="J2336" s="1" t="str">
        <f>"天津市汽车仪表厂"</f>
        <v>天津市汽车仪表厂</v>
      </c>
    </row>
    <row r="2337" spans="1:10">
      <c r="A2337" s="1" t="str">
        <f>"天津市精球汽车配件制造有限公司"</f>
        <v>天津市精球汽车配件制造有限公司</v>
      </c>
      <c r="B2337" s="1" t="str">
        <f>"一种车削机"</f>
        <v>一种车削机</v>
      </c>
      <c r="C2337" s="1" t="str">
        <f>"实用新型"</f>
        <v>实用新型</v>
      </c>
      <c r="D2337" s="1" t="str">
        <f>"未缴年费专利权终止"</f>
        <v>未缴年费专利权终止</v>
      </c>
      <c r="E2337" s="1" t="str">
        <f>"CN201320649061.1"</f>
        <v>CN201320649061.1</v>
      </c>
      <c r="F2337" s="1" t="str">
        <f>"2013-10-21"</f>
        <v>2013-10-21</v>
      </c>
      <c r="G2337" s="1" t="str">
        <f>"CN203526556U"</f>
        <v>CN203526556U</v>
      </c>
      <c r="H2337" s="1" t="str">
        <f>"2014-04-09"</f>
        <v>2014-04-09</v>
      </c>
      <c r="I2337" s="1" t="str">
        <f>"陈鸣远"</f>
        <v>陈鸣远</v>
      </c>
      <c r="J2337" s="1" t="str">
        <f>"天津市精球汽车配件制造有限公司"</f>
        <v>天津市精球汽车配件制造有限公司</v>
      </c>
    </row>
    <row r="2338" spans="1:10">
      <c r="A2338" s="1" t="str">
        <f>"天津市鑫利得工贸有限公司"</f>
        <v>天津市鑫利得工贸有限公司</v>
      </c>
      <c r="B2338" s="1" t="str">
        <f>"旋转接头总成"</f>
        <v>旋转接头总成</v>
      </c>
      <c r="C2338" s="1" t="str">
        <f>"实用新型"</f>
        <v>实用新型</v>
      </c>
      <c r="D2338" s="1" t="str">
        <f>"未缴年费专利权终止"</f>
        <v>未缴年费专利权终止</v>
      </c>
      <c r="E2338" s="1" t="str">
        <f>"CN201320812950.5"</f>
        <v>CN201320812950.5</v>
      </c>
      <c r="F2338" s="1" t="str">
        <f>"2013-12-10"</f>
        <v>2013-12-10</v>
      </c>
      <c r="G2338" s="1" t="str">
        <f>"CN203703443U"</f>
        <v>CN203703443U</v>
      </c>
      <c r="H2338" s="1" t="str">
        <f>"2014-07-09"</f>
        <v>2014-07-09</v>
      </c>
      <c r="I2338" s="1" t="str">
        <f>"吴淑娟"</f>
        <v>吴淑娟</v>
      </c>
      <c r="J2338" s="1" t="str">
        <f>"天津市鑫利得工贸有限公司"</f>
        <v>天津市鑫利得工贸有限公司</v>
      </c>
    </row>
    <row r="2339" spans="1:10">
      <c r="A2339" s="1" t="str">
        <f t="shared" ref="A2339:A2342" si="1161">"天津市旭通伟泰汽车部件有限公司"</f>
        <v>天津市旭通伟泰汽车部件有限公司</v>
      </c>
      <c r="B2339" s="1" t="str">
        <f>"一种商用汽车暖风机壳体的加工工艺"</f>
        <v>一种商用汽车暖风机壳体的加工工艺</v>
      </c>
      <c r="C2339" s="1" t="str">
        <f t="shared" ref="C2339:C2342" si="1162">"发明公布"</f>
        <v>发明公布</v>
      </c>
      <c r="D2339" s="1" t="str">
        <f t="shared" ref="D2339:D2342" si="1163">"公布视为撤回"</f>
        <v>公布视为撤回</v>
      </c>
      <c r="E2339" s="1" t="str">
        <f>"CN201710004986.3"</f>
        <v>CN201710004986.3</v>
      </c>
      <c r="F2339" s="1" t="str">
        <f t="shared" ref="F2339:F2342" si="1164">"2017-01-04"</f>
        <v>2017-01-04</v>
      </c>
      <c r="G2339" s="1" t="str">
        <f>"CN106853758A"</f>
        <v>CN106853758A</v>
      </c>
      <c r="H2339" s="1" t="str">
        <f>"2017-06-16"</f>
        <v>2017-06-16</v>
      </c>
      <c r="I2339" s="1" t="str">
        <f t="shared" ref="I2339:I2342" si="1165">"傅桂芹"</f>
        <v>傅桂芹</v>
      </c>
      <c r="J2339" s="1" t="str">
        <f t="shared" ref="J2339:J2342" si="1166">"天津市旭通伟泰汽车部件有限公司"</f>
        <v>天津市旭通伟泰汽车部件有限公司</v>
      </c>
    </row>
    <row r="2340" spans="1:10">
      <c r="A2340" s="1" t="str">
        <f t="shared" si="1161"/>
        <v>天津市旭通伟泰汽车部件有限公司</v>
      </c>
      <c r="B2340" s="1" t="str">
        <f>"一种汽车散热器铝箔材料"</f>
        <v>一种汽车散热器铝箔材料</v>
      </c>
      <c r="C2340" s="1" t="str">
        <f t="shared" si="1162"/>
        <v>发明公布</v>
      </c>
      <c r="D2340" s="1" t="str">
        <f t="shared" si="1163"/>
        <v>公布视为撤回</v>
      </c>
      <c r="E2340" s="1" t="str">
        <f>"CN201710004990.X"</f>
        <v>CN201710004990.X</v>
      </c>
      <c r="F2340" s="1" t="str">
        <f t="shared" si="1164"/>
        <v>2017-01-04</v>
      </c>
      <c r="G2340" s="1" t="str">
        <f>"CN106756326A"</f>
        <v>CN106756326A</v>
      </c>
      <c r="H2340" s="1" t="str">
        <f>"2017-05-31"</f>
        <v>2017-05-31</v>
      </c>
      <c r="I2340" s="1" t="str">
        <f t="shared" si="1165"/>
        <v>傅桂芹</v>
      </c>
      <c r="J2340" s="1" t="str">
        <f t="shared" si="1166"/>
        <v>天津市旭通伟泰汽车部件有限公司</v>
      </c>
    </row>
    <row r="2341" spans="1:10">
      <c r="A2341" s="1" t="str">
        <f t="shared" si="1161"/>
        <v>天津市旭通伟泰汽车部件有限公司</v>
      </c>
      <c r="B2341" s="1" t="str">
        <f>"一种汽车暖风机壳体材料"</f>
        <v>一种汽车暖风机壳体材料</v>
      </c>
      <c r="C2341" s="1" t="str">
        <f t="shared" si="1162"/>
        <v>发明公布</v>
      </c>
      <c r="D2341" s="1" t="str">
        <f t="shared" si="1163"/>
        <v>公布视为撤回</v>
      </c>
      <c r="E2341" s="1" t="str">
        <f>"CN201710004672.3"</f>
        <v>CN201710004672.3</v>
      </c>
      <c r="F2341" s="1" t="str">
        <f t="shared" si="1164"/>
        <v>2017-01-04</v>
      </c>
      <c r="G2341" s="1" t="str">
        <f>"CN106633314A"</f>
        <v>CN106633314A</v>
      </c>
      <c r="H2341" s="1" t="str">
        <f>"2017-05-10"</f>
        <v>2017-05-10</v>
      </c>
      <c r="I2341" s="1" t="str">
        <f t="shared" si="1165"/>
        <v>傅桂芹</v>
      </c>
      <c r="J2341" s="1" t="str">
        <f t="shared" si="1166"/>
        <v>天津市旭通伟泰汽车部件有限公司</v>
      </c>
    </row>
    <row r="2342" spans="1:10">
      <c r="A2342" s="1" t="str">
        <f t="shared" si="1161"/>
        <v>天津市旭通伟泰汽车部件有限公司</v>
      </c>
      <c r="B2342" s="1" t="str">
        <f>"一种汽车散热器加工工艺"</f>
        <v>一种汽车散热器加工工艺</v>
      </c>
      <c r="C2342" s="1" t="str">
        <f t="shared" si="1162"/>
        <v>发明公布</v>
      </c>
      <c r="D2342" s="1" t="str">
        <f t="shared" si="1163"/>
        <v>公布视为撤回</v>
      </c>
      <c r="E2342" s="1" t="str">
        <f>"CN201710004671.9"</f>
        <v>CN201710004671.9</v>
      </c>
      <c r="F2342" s="1" t="str">
        <f t="shared" si="1164"/>
        <v>2017-01-04</v>
      </c>
      <c r="G2342" s="1" t="str">
        <f>"CN106475755A"</f>
        <v>CN106475755A</v>
      </c>
      <c r="H2342" s="1" t="str">
        <f>"2017-03-08"</f>
        <v>2017-03-08</v>
      </c>
      <c r="I2342" s="1" t="str">
        <f t="shared" si="1165"/>
        <v>傅桂芹</v>
      </c>
      <c r="J2342" s="1" t="str">
        <f t="shared" si="1166"/>
        <v>天津市旭通伟泰汽车部件有限公司</v>
      </c>
    </row>
    <row r="2343" spans="1:10">
      <c r="A2343" s="1" t="str">
        <f>"天津市汽车空气滤清器公司"</f>
        <v>天津市汽车空气滤清器公司</v>
      </c>
      <c r="B2343" s="1" t="str">
        <f>"汽车空气滤清器进气温控装置"</f>
        <v>汽车空气滤清器进气温控装置</v>
      </c>
      <c r="C2343" s="1" t="str">
        <f t="shared" ref="C2343:C2362" si="1167">"实用新型"</f>
        <v>实用新型</v>
      </c>
      <c r="D2343" s="1" t="str">
        <f t="shared" ref="D2343:D2350" si="1168">"未缴年费专利权终止"</f>
        <v>未缴年费专利权终止</v>
      </c>
      <c r="E2343" s="1" t="str">
        <f>"CN95201698.2"</f>
        <v>CN95201698.2</v>
      </c>
      <c r="F2343" s="1" t="str">
        <f>"1995-01-21"</f>
        <v>1995-01-21</v>
      </c>
      <c r="G2343" s="1" t="str">
        <f>"CN2218104"</f>
        <v>CN2218104</v>
      </c>
      <c r="H2343" s="1" t="str">
        <f>"1996-01-24"</f>
        <v>1996-01-24</v>
      </c>
      <c r="I2343" s="1" t="s">
        <v>5097</v>
      </c>
      <c r="J2343" s="1" t="str">
        <f>"天津市汽车空气滤清器公司"</f>
        <v>天津市汽车空气滤清器公司</v>
      </c>
    </row>
    <row r="2344" spans="1:10">
      <c r="A2344" s="1" t="str">
        <f>"天津市飞驰工贸有限公司"</f>
        <v>天津市飞驰工贸有限公司</v>
      </c>
      <c r="B2344" s="1" t="str">
        <f>"包装瓶(1)"</f>
        <v>包装瓶(1)</v>
      </c>
      <c r="C2344" s="1" t="str">
        <f>"外观设计"</f>
        <v>外观设计</v>
      </c>
      <c r="D2344" s="1" t="str">
        <f t="shared" si="1168"/>
        <v>未缴年费专利权终止</v>
      </c>
      <c r="E2344" s="1" t="str">
        <f>"CN97328995.3"</f>
        <v>CN97328995.3</v>
      </c>
      <c r="F2344" s="1" t="str">
        <f>"1997-12-05"</f>
        <v>1997-12-05</v>
      </c>
      <c r="G2344" s="1" t="str">
        <f>"CN3091767"</f>
        <v>CN3091767</v>
      </c>
      <c r="H2344" s="1" t="str">
        <f>"1998-12-02"</f>
        <v>1998-12-02</v>
      </c>
      <c r="I2344" s="1" t="str">
        <f>"李仲义"</f>
        <v>李仲义</v>
      </c>
      <c r="J2344" s="1" t="str">
        <f>"天津市飞驰工贸有限公司"</f>
        <v>天津市飞驰工贸有限公司</v>
      </c>
    </row>
    <row r="2345" spans="1:10">
      <c r="A2345" s="1" t="str">
        <f>"天津博大汽车电器公司"</f>
        <v>天津博大汽车电器公司</v>
      </c>
      <c r="B2345" s="1" t="str">
        <f>"微型汽车间歇刮水控制装置"</f>
        <v>微型汽车间歇刮水控制装置</v>
      </c>
      <c r="C2345" s="1" t="str">
        <f t="shared" si="1167"/>
        <v>实用新型</v>
      </c>
      <c r="D2345" s="1" t="str">
        <f t="shared" si="1168"/>
        <v>未缴年费专利权终止</v>
      </c>
      <c r="E2345" s="1" t="str">
        <f>"CN96206009.7"</f>
        <v>CN96206009.7</v>
      </c>
      <c r="F2345" s="1" t="str">
        <f>"1996-03-05"</f>
        <v>1996-03-05</v>
      </c>
      <c r="G2345" s="1" t="str">
        <f>"CN2253320"</f>
        <v>CN2253320</v>
      </c>
      <c r="H2345" s="1" t="str">
        <f>"1997-04-30"</f>
        <v>1997-04-30</v>
      </c>
      <c r="I2345" s="1" t="str">
        <f>"李文全"</f>
        <v>李文全</v>
      </c>
      <c r="J2345" s="1" t="str">
        <f>"天津博大汽车电器公司"</f>
        <v>天津博大汽车电器公司</v>
      </c>
    </row>
    <row r="2346" spans="1:10">
      <c r="A2346" s="1" t="str">
        <f t="shared" ref="A2346:A2367" si="1169">"天津市皇泰新型机电节能材料有限公司"</f>
        <v>天津市皇泰新型机电节能材料有限公司</v>
      </c>
      <c r="B2346" s="1" t="str">
        <f>"一种硅钢卷材开卷送料装置"</f>
        <v>一种硅钢卷材开卷送料装置</v>
      </c>
      <c r="C2346" s="1" t="str">
        <f t="shared" si="1167"/>
        <v>实用新型</v>
      </c>
      <c r="D2346" s="1" t="str">
        <f t="shared" si="1168"/>
        <v>未缴年费专利权终止</v>
      </c>
      <c r="E2346" s="1" t="str">
        <f>"CN201720758979.8"</f>
        <v>CN201720758979.8</v>
      </c>
      <c r="F2346" s="1" t="str">
        <f t="shared" ref="F2346:F2351" si="1170">"2017-06-27"</f>
        <v>2017-06-27</v>
      </c>
      <c r="G2346" s="1" t="str">
        <f>"CN207615395U"</f>
        <v>CN207615395U</v>
      </c>
      <c r="H2346" s="1" t="str">
        <f>"2018-07-17"</f>
        <v>2018-07-17</v>
      </c>
      <c r="I2346" s="1" t="s">
        <v>5098</v>
      </c>
      <c r="J2346" s="1" t="str">
        <f t="shared" ref="J2346:J2367" si="1171">"天津市皇泰新型机电节能材料有限公司"</f>
        <v>天津市皇泰新型机电节能材料有限公司</v>
      </c>
    </row>
    <row r="2347" spans="1:10">
      <c r="A2347" s="1" t="str">
        <f t="shared" si="1169"/>
        <v>天津市皇泰新型机电节能材料有限公司</v>
      </c>
      <c r="B2347" s="1" t="str">
        <f>"一种硅钢切边料收卷导料装置"</f>
        <v>一种硅钢切边料收卷导料装置</v>
      </c>
      <c r="C2347" s="1" t="str">
        <f t="shared" si="1167"/>
        <v>实用新型</v>
      </c>
      <c r="D2347" s="1" t="str">
        <f t="shared" si="1168"/>
        <v>未缴年费专利权终止</v>
      </c>
      <c r="E2347" s="1" t="str">
        <f>"CN201720754505.6"</f>
        <v>CN201720754505.6</v>
      </c>
      <c r="F2347" s="1" t="str">
        <f t="shared" si="1170"/>
        <v>2017-06-27</v>
      </c>
      <c r="G2347" s="1" t="str">
        <f>"CN207451273U"</f>
        <v>CN207451273U</v>
      </c>
      <c r="H2347" s="1" t="str">
        <f t="shared" ref="H2347:H2349" si="1172">"2018-06-05"</f>
        <v>2018-06-05</v>
      </c>
      <c r="I2347" s="1" t="s">
        <v>5099</v>
      </c>
      <c r="J2347" s="1" t="str">
        <f t="shared" si="1171"/>
        <v>天津市皇泰新型机电节能材料有限公司</v>
      </c>
    </row>
    <row r="2348" spans="1:10">
      <c r="A2348" s="1" t="str">
        <f t="shared" si="1169"/>
        <v>天津市皇泰新型机电节能材料有限公司</v>
      </c>
      <c r="B2348" s="1" t="str">
        <f>"一种硅钢卷材开卷限位装置"</f>
        <v>一种硅钢卷材开卷限位装置</v>
      </c>
      <c r="C2348" s="1" t="str">
        <f t="shared" si="1167"/>
        <v>实用新型</v>
      </c>
      <c r="D2348" s="1" t="str">
        <f t="shared" si="1168"/>
        <v>未缴年费专利权终止</v>
      </c>
      <c r="E2348" s="1" t="str">
        <f>"CN201720767712.5"</f>
        <v>CN201720767712.5</v>
      </c>
      <c r="F2348" s="1" t="str">
        <f t="shared" si="1170"/>
        <v>2017-06-27</v>
      </c>
      <c r="G2348" s="1" t="str">
        <f>"CN207446984U"</f>
        <v>CN207446984U</v>
      </c>
      <c r="H2348" s="1" t="str">
        <f t="shared" si="1172"/>
        <v>2018-06-05</v>
      </c>
      <c r="I2348" s="1" t="s">
        <v>5100</v>
      </c>
      <c r="J2348" s="1" t="str">
        <f t="shared" si="1171"/>
        <v>天津市皇泰新型机电节能材料有限公司</v>
      </c>
    </row>
    <row r="2349" spans="1:10">
      <c r="A2349" s="1" t="str">
        <f t="shared" si="1169"/>
        <v>天津市皇泰新型机电节能材料有限公司</v>
      </c>
      <c r="B2349" s="1" t="str">
        <f>"一种硅钢切边料收卷装置"</f>
        <v>一种硅钢切边料收卷装置</v>
      </c>
      <c r="C2349" s="1" t="str">
        <f t="shared" si="1167"/>
        <v>实用新型</v>
      </c>
      <c r="D2349" s="1" t="str">
        <f t="shared" si="1168"/>
        <v>未缴年费专利权终止</v>
      </c>
      <c r="E2349" s="1" t="str">
        <f>"CN201720754634.5"</f>
        <v>CN201720754634.5</v>
      </c>
      <c r="F2349" s="1" t="str">
        <f t="shared" si="1170"/>
        <v>2017-06-27</v>
      </c>
      <c r="G2349" s="1" t="str">
        <f>"CN207451186U"</f>
        <v>CN207451186U</v>
      </c>
      <c r="H2349" s="1" t="str">
        <f t="shared" si="1172"/>
        <v>2018-06-05</v>
      </c>
      <c r="I2349" s="1" t="s">
        <v>5101</v>
      </c>
      <c r="J2349" s="1" t="str">
        <f t="shared" si="1171"/>
        <v>天津市皇泰新型机电节能材料有限公司</v>
      </c>
    </row>
    <row r="2350" spans="1:10">
      <c r="A2350" s="1" t="str">
        <f t="shared" si="1169"/>
        <v>天津市皇泰新型机电节能材料有限公司</v>
      </c>
      <c r="B2350" s="1" t="str">
        <f>"一种硅钢切边压料装置"</f>
        <v>一种硅钢切边压料装置</v>
      </c>
      <c r="C2350" s="1" t="str">
        <f t="shared" si="1167"/>
        <v>实用新型</v>
      </c>
      <c r="D2350" s="1" t="str">
        <f t="shared" si="1168"/>
        <v>未缴年费专利权终止</v>
      </c>
      <c r="E2350" s="1" t="str">
        <f>"CN201720754480.X"</f>
        <v>CN201720754480.X</v>
      </c>
      <c r="F2350" s="1" t="str">
        <f t="shared" si="1170"/>
        <v>2017-06-27</v>
      </c>
      <c r="G2350" s="1" t="str">
        <f>"CN206981879U"</f>
        <v>CN206981879U</v>
      </c>
      <c r="H2350" s="1" t="str">
        <f>"2018-02-09"</f>
        <v>2018-02-09</v>
      </c>
      <c r="I2350" s="1" t="s">
        <v>5102</v>
      </c>
      <c r="J2350" s="1" t="str">
        <f t="shared" si="1171"/>
        <v>天津市皇泰新型机电节能材料有限公司</v>
      </c>
    </row>
    <row r="2351" spans="1:10">
      <c r="A2351" s="1" t="str">
        <f t="shared" si="1169"/>
        <v>天津市皇泰新型机电节能材料有限公司</v>
      </c>
      <c r="B2351" s="1" t="str">
        <f>"一种移动式硅钢表面涂油车"</f>
        <v>一种移动式硅钢表面涂油车</v>
      </c>
      <c r="C2351" s="1" t="str">
        <f t="shared" si="1167"/>
        <v>实用新型</v>
      </c>
      <c r="D2351" s="1" t="str">
        <f>"授权"</f>
        <v>授权</v>
      </c>
      <c r="E2351" s="1" t="str">
        <f>"CN201720754951.7"</f>
        <v>CN201720754951.7</v>
      </c>
      <c r="F2351" s="1" t="str">
        <f t="shared" si="1170"/>
        <v>2017-06-27</v>
      </c>
      <c r="G2351" s="1" t="str">
        <f>"CN206981094U"</f>
        <v>CN206981094U</v>
      </c>
      <c r="H2351" s="1" t="str">
        <f>"2018-02-09"</f>
        <v>2018-02-09</v>
      </c>
      <c r="I2351" s="1" t="s">
        <v>5103</v>
      </c>
      <c r="J2351" s="1" t="str">
        <f t="shared" si="1171"/>
        <v>天津市皇泰新型机电节能材料有限公司</v>
      </c>
    </row>
    <row r="2352" spans="1:10">
      <c r="A2352" s="1" t="str">
        <f t="shared" si="1169"/>
        <v>天津市皇泰新型机电节能材料有限公司</v>
      </c>
      <c r="B2352" s="1" t="str">
        <f>"一种硅钢清洗装置"</f>
        <v>一种硅钢清洗装置</v>
      </c>
      <c r="C2352" s="1" t="str">
        <f t="shared" si="1167"/>
        <v>实用新型</v>
      </c>
      <c r="D2352" s="1" t="str">
        <f t="shared" ref="D2352:D2362" si="1173">"未缴年费专利权终止"</f>
        <v>未缴年费专利权终止</v>
      </c>
      <c r="E2352" s="1" t="str">
        <f>"CN201620206218.7"</f>
        <v>CN201620206218.7</v>
      </c>
      <c r="F2352" s="1" t="str">
        <f t="shared" ref="F2352:F2357" si="1174">"2016-03-17"</f>
        <v>2016-03-17</v>
      </c>
      <c r="G2352" s="1" t="str">
        <f>"CN205519007U"</f>
        <v>CN205519007U</v>
      </c>
      <c r="H2352" s="1" t="str">
        <f t="shared" ref="H2352:H2357" si="1175">"2016-08-31"</f>
        <v>2016-08-31</v>
      </c>
      <c r="I2352" s="1" t="s">
        <v>5104</v>
      </c>
      <c r="J2352" s="1" t="str">
        <f t="shared" si="1171"/>
        <v>天津市皇泰新型机电节能材料有限公司</v>
      </c>
    </row>
    <row r="2353" spans="1:10">
      <c r="A2353" s="1" t="str">
        <f t="shared" si="1169"/>
        <v>天津市皇泰新型机电节能材料有限公司</v>
      </c>
      <c r="B2353" s="1" t="str">
        <f>"一种硅钢清洗后烘干处理装置"</f>
        <v>一种硅钢清洗后烘干处理装置</v>
      </c>
      <c r="C2353" s="1" t="str">
        <f t="shared" si="1167"/>
        <v>实用新型</v>
      </c>
      <c r="D2353" s="1" t="str">
        <f t="shared" si="1173"/>
        <v>未缴年费专利权终止</v>
      </c>
      <c r="E2353" s="1" t="str">
        <f>"CN201620206219.1"</f>
        <v>CN201620206219.1</v>
      </c>
      <c r="F2353" s="1" t="str">
        <f t="shared" si="1174"/>
        <v>2016-03-17</v>
      </c>
      <c r="G2353" s="1" t="str">
        <f>"CN205537009U"</f>
        <v>CN205537009U</v>
      </c>
      <c r="H2353" s="1" t="str">
        <f t="shared" si="1175"/>
        <v>2016-08-31</v>
      </c>
      <c r="I2353" s="1" t="s">
        <v>5105</v>
      </c>
      <c r="J2353" s="1" t="str">
        <f t="shared" si="1171"/>
        <v>天津市皇泰新型机电节能材料有限公司</v>
      </c>
    </row>
    <row r="2354" spans="1:10">
      <c r="A2354" s="1" t="str">
        <f t="shared" si="1169"/>
        <v>天津市皇泰新型机电节能材料有限公司</v>
      </c>
      <c r="B2354" s="1" t="str">
        <f>"一种酸洗硅钢吹扫装置"</f>
        <v>一种酸洗硅钢吹扫装置</v>
      </c>
      <c r="C2354" s="1" t="str">
        <f t="shared" si="1167"/>
        <v>实用新型</v>
      </c>
      <c r="D2354" s="1" t="str">
        <f t="shared" si="1173"/>
        <v>未缴年费专利权终止</v>
      </c>
      <c r="E2354" s="1" t="str">
        <f>"CN201620218481.8"</f>
        <v>CN201620218481.8</v>
      </c>
      <c r="F2354" s="1" t="str">
        <f>"2016-03-21"</f>
        <v>2016-03-21</v>
      </c>
      <c r="G2354" s="1" t="str">
        <f>"CN205529051U"</f>
        <v>CN205529051U</v>
      </c>
      <c r="H2354" s="1" t="str">
        <f t="shared" si="1175"/>
        <v>2016-08-31</v>
      </c>
      <c r="I2354" s="1" t="s">
        <v>5106</v>
      </c>
      <c r="J2354" s="1" t="str">
        <f t="shared" si="1171"/>
        <v>天津市皇泰新型机电节能材料有限公司</v>
      </c>
    </row>
    <row r="2355" spans="1:10">
      <c r="A2355" s="1" t="str">
        <f t="shared" si="1169"/>
        <v>天津市皇泰新型机电节能材料有限公司</v>
      </c>
      <c r="B2355" s="1" t="str">
        <f>"一种硅钢退火防结瘤装置"</f>
        <v>一种硅钢退火防结瘤装置</v>
      </c>
      <c r="C2355" s="1" t="str">
        <f t="shared" si="1167"/>
        <v>实用新型</v>
      </c>
      <c r="D2355" s="1" t="str">
        <f t="shared" si="1173"/>
        <v>未缴年费专利权终止</v>
      </c>
      <c r="E2355" s="1" t="str">
        <f>"CN201620206617.3"</f>
        <v>CN201620206617.3</v>
      </c>
      <c r="F2355" s="1" t="str">
        <f t="shared" si="1174"/>
        <v>2016-03-17</v>
      </c>
      <c r="G2355" s="1" t="str">
        <f>"CN205528946U"</f>
        <v>CN205528946U</v>
      </c>
      <c r="H2355" s="1" t="str">
        <f t="shared" si="1175"/>
        <v>2016-08-31</v>
      </c>
      <c r="I2355" s="1" t="s">
        <v>5106</v>
      </c>
      <c r="J2355" s="1" t="str">
        <f t="shared" si="1171"/>
        <v>天津市皇泰新型机电节能材料有限公司</v>
      </c>
    </row>
    <row r="2356" spans="1:10">
      <c r="A2356" s="1" t="str">
        <f t="shared" si="1169"/>
        <v>天津市皇泰新型机电节能材料有限公司</v>
      </c>
      <c r="B2356" s="1" t="str">
        <f>"一种硅钢酸洗及吹扫干燥一体装置"</f>
        <v>一种硅钢酸洗及吹扫干燥一体装置</v>
      </c>
      <c r="C2356" s="1" t="str">
        <f t="shared" si="1167"/>
        <v>实用新型</v>
      </c>
      <c r="D2356" s="1" t="str">
        <f t="shared" si="1173"/>
        <v>未缴年费专利权终止</v>
      </c>
      <c r="E2356" s="1" t="str">
        <f>"CN201620206217.2"</f>
        <v>CN201620206217.2</v>
      </c>
      <c r="F2356" s="1" t="str">
        <f t="shared" si="1174"/>
        <v>2016-03-17</v>
      </c>
      <c r="G2356" s="1" t="str">
        <f>"CN205537058U"</f>
        <v>CN205537058U</v>
      </c>
      <c r="H2356" s="1" t="str">
        <f t="shared" si="1175"/>
        <v>2016-08-31</v>
      </c>
      <c r="I2356" s="1" t="s">
        <v>5107</v>
      </c>
      <c r="J2356" s="1" t="str">
        <f t="shared" si="1171"/>
        <v>天津市皇泰新型机电节能材料有限公司</v>
      </c>
    </row>
    <row r="2357" spans="1:10">
      <c r="A2357" s="1" t="str">
        <f t="shared" si="1169"/>
        <v>天津市皇泰新型机电节能材料有限公司</v>
      </c>
      <c r="B2357" s="1" t="str">
        <f>"一种硅钢酸洗设备"</f>
        <v>一种硅钢酸洗设备</v>
      </c>
      <c r="C2357" s="1" t="str">
        <f t="shared" si="1167"/>
        <v>实用新型</v>
      </c>
      <c r="D2357" s="1" t="str">
        <f t="shared" si="1173"/>
        <v>未缴年费专利权终止</v>
      </c>
      <c r="E2357" s="1" t="str">
        <f>"CN201620206216.8"</f>
        <v>CN201620206216.8</v>
      </c>
      <c r="F2357" s="1" t="str">
        <f t="shared" si="1174"/>
        <v>2016-03-17</v>
      </c>
      <c r="G2357" s="1" t="str">
        <f>"CN205529050U"</f>
        <v>CN205529050U</v>
      </c>
      <c r="H2357" s="1" t="str">
        <f t="shared" si="1175"/>
        <v>2016-08-31</v>
      </c>
      <c r="I2357" s="1" t="s">
        <v>5108</v>
      </c>
      <c r="J2357" s="1" t="str">
        <f t="shared" si="1171"/>
        <v>天津市皇泰新型机电节能材料有限公司</v>
      </c>
    </row>
    <row r="2358" spans="1:10">
      <c r="A2358" s="1" t="str">
        <f t="shared" si="1169"/>
        <v>天津市皇泰新型机电节能材料有限公司</v>
      </c>
      <c r="B2358" s="1" t="str">
        <f>"冷轧支承辊轴承座内轴承外圈快速拆装装置"</f>
        <v>冷轧支承辊轴承座内轴承外圈快速拆装装置</v>
      </c>
      <c r="C2358" s="1" t="str">
        <f t="shared" si="1167"/>
        <v>实用新型</v>
      </c>
      <c r="D2358" s="1" t="str">
        <f t="shared" si="1173"/>
        <v>未缴年费专利权终止</v>
      </c>
      <c r="E2358" s="1" t="str">
        <f>"CN201320502763.7"</f>
        <v>CN201320502763.7</v>
      </c>
      <c r="F2358" s="1" t="str">
        <f t="shared" ref="F2358:F2366" si="1176">"2013-08-15"</f>
        <v>2013-08-15</v>
      </c>
      <c r="G2358" s="1" t="str">
        <f>"CN203471281U"</f>
        <v>CN203471281U</v>
      </c>
      <c r="H2358" s="1" t="str">
        <f t="shared" ref="H2358:H2361" si="1177">"2014-03-12"</f>
        <v>2014-03-12</v>
      </c>
      <c r="I2358" s="1" t="str">
        <f>"关学良"</f>
        <v>关学良</v>
      </c>
      <c r="J2358" s="1" t="str">
        <f t="shared" si="1171"/>
        <v>天津市皇泰新型机电节能材料有限公司</v>
      </c>
    </row>
    <row r="2359" spans="1:10">
      <c r="A2359" s="1" t="str">
        <f t="shared" si="1169"/>
        <v>天津市皇泰新型机电节能材料有限公司</v>
      </c>
      <c r="B2359" s="1" t="str">
        <f>"轧机快速换辊装置"</f>
        <v>轧机快速换辊装置</v>
      </c>
      <c r="C2359" s="1" t="str">
        <f t="shared" si="1167"/>
        <v>实用新型</v>
      </c>
      <c r="D2359" s="1" t="str">
        <f t="shared" si="1173"/>
        <v>未缴年费专利权终止</v>
      </c>
      <c r="E2359" s="1" t="str">
        <f>"CN201320502761.8"</f>
        <v>CN201320502761.8</v>
      </c>
      <c r="F2359" s="1" t="str">
        <f t="shared" si="1176"/>
        <v>2013-08-15</v>
      </c>
      <c r="G2359" s="1" t="str">
        <f>"CN203470478U"</f>
        <v>CN203470478U</v>
      </c>
      <c r="H2359" s="1" t="str">
        <f t="shared" si="1177"/>
        <v>2014-03-12</v>
      </c>
      <c r="I2359" s="1" t="str">
        <f>"赵志强"</f>
        <v>赵志强</v>
      </c>
      <c r="J2359" s="1" t="str">
        <f t="shared" si="1171"/>
        <v>天津市皇泰新型机电节能材料有限公司</v>
      </c>
    </row>
    <row r="2360" spans="1:10">
      <c r="A2360" s="1" t="str">
        <f t="shared" si="1169"/>
        <v>天津市皇泰新型机电节能材料有限公司</v>
      </c>
      <c r="B2360" s="1" t="str">
        <f>"新型冷轧机工作辊弯辊装置"</f>
        <v>新型冷轧机工作辊弯辊装置</v>
      </c>
      <c r="C2360" s="1" t="str">
        <f t="shared" si="1167"/>
        <v>实用新型</v>
      </c>
      <c r="D2360" s="1" t="str">
        <f t="shared" si="1173"/>
        <v>未缴年费专利权终止</v>
      </c>
      <c r="E2360" s="1" t="str">
        <f>"CN201320500411.8"</f>
        <v>CN201320500411.8</v>
      </c>
      <c r="F2360" s="1" t="str">
        <f t="shared" si="1176"/>
        <v>2013-08-15</v>
      </c>
      <c r="G2360" s="1" t="str">
        <f>"CN203470481U"</f>
        <v>CN203470481U</v>
      </c>
      <c r="H2360" s="1" t="str">
        <f t="shared" si="1177"/>
        <v>2014-03-12</v>
      </c>
      <c r="I2360" s="1" t="str">
        <f>"王立胜"</f>
        <v>王立胜</v>
      </c>
      <c r="J2360" s="1" t="str">
        <f t="shared" si="1171"/>
        <v>天津市皇泰新型机电节能材料有限公司</v>
      </c>
    </row>
    <row r="2361" spans="1:10">
      <c r="A2361" s="1" t="str">
        <f t="shared" si="1169"/>
        <v>天津市皇泰新型机电节能材料有限公司</v>
      </c>
      <c r="B2361" s="1" t="str">
        <f>"新型空气吹扫装置"</f>
        <v>新型空气吹扫装置</v>
      </c>
      <c r="C2361" s="1" t="str">
        <f t="shared" si="1167"/>
        <v>实用新型</v>
      </c>
      <c r="D2361" s="1" t="str">
        <f t="shared" si="1173"/>
        <v>未缴年费专利权终止</v>
      </c>
      <c r="E2361" s="1" t="str">
        <f>"CN201320502704.X"</f>
        <v>CN201320502704.X</v>
      </c>
      <c r="F2361" s="1" t="str">
        <f t="shared" si="1176"/>
        <v>2013-08-15</v>
      </c>
      <c r="G2361" s="1" t="str">
        <f>"CN203470496U"</f>
        <v>CN203470496U</v>
      </c>
      <c r="H2361" s="1" t="str">
        <f t="shared" si="1177"/>
        <v>2014-03-12</v>
      </c>
      <c r="I2361" s="1" t="str">
        <f>"王国华"</f>
        <v>王国华</v>
      </c>
      <c r="J2361" s="1" t="str">
        <f t="shared" si="1171"/>
        <v>天津市皇泰新型机电节能材料有限公司</v>
      </c>
    </row>
    <row r="2362" spans="1:10">
      <c r="A2362" s="1" t="str">
        <f t="shared" si="1169"/>
        <v>天津市皇泰新型机电节能材料有限公司</v>
      </c>
      <c r="B2362" s="1" t="str">
        <f>"硅钢连续退火炉炉辊结瘤清除装置"</f>
        <v>硅钢连续退火炉炉辊结瘤清除装置</v>
      </c>
      <c r="C2362" s="1" t="str">
        <f t="shared" si="1167"/>
        <v>实用新型</v>
      </c>
      <c r="D2362" s="1" t="str">
        <f t="shared" si="1173"/>
        <v>未缴年费专利权终止</v>
      </c>
      <c r="E2362" s="1" t="str">
        <f>"CN201320502701.6"</f>
        <v>CN201320502701.6</v>
      </c>
      <c r="F2362" s="1" t="str">
        <f t="shared" si="1176"/>
        <v>2013-08-15</v>
      </c>
      <c r="G2362" s="1" t="str">
        <f>"CN203462101U"</f>
        <v>CN203462101U</v>
      </c>
      <c r="H2362" s="1" t="str">
        <f>"2014-03-05"</f>
        <v>2014-03-05</v>
      </c>
      <c r="I2362" s="1" t="s">
        <v>5109</v>
      </c>
      <c r="J2362" s="1" t="str">
        <f t="shared" si="1171"/>
        <v>天津市皇泰新型机电节能材料有限公司</v>
      </c>
    </row>
    <row r="2363" spans="1:10">
      <c r="A2363" s="1" t="str">
        <f t="shared" si="1169"/>
        <v>天津市皇泰新型机电节能材料有限公司</v>
      </c>
      <c r="B2363" s="1" t="str">
        <f>"轧机快速换辊装置"</f>
        <v>轧机快速换辊装置</v>
      </c>
      <c r="C2363" s="1" t="str">
        <f t="shared" ref="C2363:C2366" si="1178">"发明公布"</f>
        <v>发明公布</v>
      </c>
      <c r="D2363" s="1" t="str">
        <f t="shared" ref="D2363:D2366" si="1179">"公布视为撤回"</f>
        <v>公布视为撤回</v>
      </c>
      <c r="E2363" s="1" t="str">
        <f>"CN201310358902.8"</f>
        <v>CN201310358902.8</v>
      </c>
      <c r="F2363" s="1" t="str">
        <f t="shared" si="1176"/>
        <v>2013-08-15</v>
      </c>
      <c r="G2363" s="1" t="str">
        <f>"CN103394515A"</f>
        <v>CN103394515A</v>
      </c>
      <c r="H2363" s="1" t="str">
        <f t="shared" ref="H2363:H2366" si="1180">"2013-11-20"</f>
        <v>2013-11-20</v>
      </c>
      <c r="I2363" s="1" t="str">
        <f>"赵志强"</f>
        <v>赵志强</v>
      </c>
      <c r="J2363" s="1" t="str">
        <f t="shared" si="1171"/>
        <v>天津市皇泰新型机电节能材料有限公司</v>
      </c>
    </row>
    <row r="2364" spans="1:10">
      <c r="A2364" s="1" t="str">
        <f t="shared" si="1169"/>
        <v>天津市皇泰新型机电节能材料有限公司</v>
      </c>
      <c r="B2364" s="1" t="str">
        <f>"罩式退火过跨翻卷装置"</f>
        <v>罩式退火过跨翻卷装置</v>
      </c>
      <c r="C2364" s="1" t="str">
        <f t="shared" si="1178"/>
        <v>发明公布</v>
      </c>
      <c r="D2364" s="1" t="str">
        <f t="shared" si="1179"/>
        <v>公布视为撤回</v>
      </c>
      <c r="E2364" s="1" t="str">
        <f>"CN201310358870.1"</f>
        <v>CN201310358870.1</v>
      </c>
      <c r="F2364" s="1" t="str">
        <f t="shared" si="1176"/>
        <v>2013-08-15</v>
      </c>
      <c r="G2364" s="1" t="str">
        <f>"CN103395612A"</f>
        <v>CN103395612A</v>
      </c>
      <c r="H2364" s="1" t="str">
        <f t="shared" si="1180"/>
        <v>2013-11-20</v>
      </c>
      <c r="I2364" s="1" t="str">
        <f>"李咏和"</f>
        <v>李咏和</v>
      </c>
      <c r="J2364" s="1" t="str">
        <f t="shared" si="1171"/>
        <v>天津市皇泰新型机电节能材料有限公司</v>
      </c>
    </row>
    <row r="2365" spans="1:10">
      <c r="A2365" s="1" t="str">
        <f t="shared" si="1169"/>
        <v>天津市皇泰新型机电节能材料有限公司</v>
      </c>
      <c r="B2365" s="1" t="str">
        <f>"冷轧支承辊轴承座内轴承外圈快速拆装装置"</f>
        <v>冷轧支承辊轴承座内轴承外圈快速拆装装置</v>
      </c>
      <c r="C2365" s="1" t="str">
        <f t="shared" si="1178"/>
        <v>发明公布</v>
      </c>
      <c r="D2365" s="1" t="str">
        <f t="shared" si="1179"/>
        <v>公布视为撤回</v>
      </c>
      <c r="E2365" s="1" t="str">
        <f>"CN201310358770.9"</f>
        <v>CN201310358770.9</v>
      </c>
      <c r="F2365" s="1" t="str">
        <f t="shared" si="1176"/>
        <v>2013-08-15</v>
      </c>
      <c r="G2365" s="1" t="str">
        <f>"CN103394903A"</f>
        <v>CN103394903A</v>
      </c>
      <c r="H2365" s="1" t="str">
        <f t="shared" si="1180"/>
        <v>2013-11-20</v>
      </c>
      <c r="I2365" s="1" t="str">
        <f>"关学良"</f>
        <v>关学良</v>
      </c>
      <c r="J2365" s="1" t="str">
        <f t="shared" si="1171"/>
        <v>天津市皇泰新型机电节能材料有限公司</v>
      </c>
    </row>
    <row r="2366" spans="1:10">
      <c r="A2366" s="1" t="str">
        <f t="shared" si="1169"/>
        <v>天津市皇泰新型机电节能材料有限公司</v>
      </c>
      <c r="B2366" s="1" t="str">
        <f>"新型空气吹扫装置"</f>
        <v>新型空气吹扫装置</v>
      </c>
      <c r="C2366" s="1" t="str">
        <f t="shared" si="1178"/>
        <v>发明公布</v>
      </c>
      <c r="D2366" s="1" t="str">
        <f t="shared" si="1179"/>
        <v>公布视为撤回</v>
      </c>
      <c r="E2366" s="1" t="str">
        <f>"CN201310356822.9"</f>
        <v>CN201310356822.9</v>
      </c>
      <c r="F2366" s="1" t="str">
        <f t="shared" si="1176"/>
        <v>2013-08-15</v>
      </c>
      <c r="G2366" s="1" t="str">
        <f>"CN103394528A"</f>
        <v>CN103394528A</v>
      </c>
      <c r="H2366" s="1" t="str">
        <f t="shared" si="1180"/>
        <v>2013-11-20</v>
      </c>
      <c r="I2366" s="1" t="str">
        <f>"王国华"</f>
        <v>王国华</v>
      </c>
      <c r="J2366" s="1" t="str">
        <f t="shared" si="1171"/>
        <v>天津市皇泰新型机电节能材料有限公司</v>
      </c>
    </row>
    <row r="2367" spans="1:10">
      <c r="A2367" s="1" t="str">
        <f t="shared" si="1169"/>
        <v>天津市皇泰新型机电节能材料有限公司</v>
      </c>
      <c r="B2367" s="1" t="str">
        <f>"一种硅钢酸洗装置"</f>
        <v>一种硅钢酸洗装置</v>
      </c>
      <c r="C2367" s="1" t="str">
        <f t="shared" ref="C2367:C2403" si="1181">"实用新型"</f>
        <v>实用新型</v>
      </c>
      <c r="D2367" s="1" t="str">
        <f t="shared" ref="D2367:D2370" si="1182">"未缴年费专利权终止"</f>
        <v>未缴年费专利权终止</v>
      </c>
      <c r="E2367" s="1" t="str">
        <f>"CN201220412615.1"</f>
        <v>CN201220412615.1</v>
      </c>
      <c r="F2367" s="1" t="str">
        <f>"2012-08-20"</f>
        <v>2012-08-20</v>
      </c>
      <c r="G2367" s="1" t="str">
        <f>"CN202744634U"</f>
        <v>CN202744634U</v>
      </c>
      <c r="H2367" s="1" t="str">
        <f>"2013-02-20"</f>
        <v>2013-02-20</v>
      </c>
      <c r="I2367" s="1" t="str">
        <f>"寿明昌"</f>
        <v>寿明昌</v>
      </c>
      <c r="J2367" s="1" t="str">
        <f t="shared" si="1171"/>
        <v>天津市皇泰新型机电节能材料有限公司</v>
      </c>
    </row>
    <row r="2368" spans="1:10">
      <c r="A2368" s="1" t="str">
        <f t="shared" ref="A2368:A2423" si="1183">"天津神川电机有限公司"</f>
        <v>天津神川电机有限公司</v>
      </c>
      <c r="B2368" s="1" t="str">
        <f>"深层搅拌桩处理设备用调速电动机"</f>
        <v>深层搅拌桩处理设备用调速电动机</v>
      </c>
      <c r="C2368" s="1" t="str">
        <f t="shared" si="1181"/>
        <v>实用新型</v>
      </c>
      <c r="D2368" s="1" t="str">
        <f>"授权"</f>
        <v>授权</v>
      </c>
      <c r="E2368" s="1" t="str">
        <f>"CN201721387842.2"</f>
        <v>CN201721387842.2</v>
      </c>
      <c r="F2368" s="1" t="str">
        <f>"2017-10-25"</f>
        <v>2017-10-25</v>
      </c>
      <c r="G2368" s="1" t="str">
        <f>"CN207652145U"</f>
        <v>CN207652145U</v>
      </c>
      <c r="H2368" s="1" t="str">
        <f>"2018-07-24"</f>
        <v>2018-07-24</v>
      </c>
      <c r="I2368" s="1" t="s">
        <v>5110</v>
      </c>
      <c r="J2368" s="1" t="str">
        <f t="shared" ref="J2368:J2412" si="1184">"天津神川电机有限公司"</f>
        <v>天津神川电机有限公司</v>
      </c>
    </row>
    <row r="2369" spans="1:10">
      <c r="A2369" s="1" t="str">
        <f t="shared" si="1183"/>
        <v>天津神川电机有限公司</v>
      </c>
      <c r="B2369" s="1" t="str">
        <f>"引入3+3变频屏蔽软电缆的防水型辊道电机"</f>
        <v>引入3+3变频屏蔽软电缆的防水型辊道电机</v>
      </c>
      <c r="C2369" s="1" t="str">
        <f t="shared" si="1181"/>
        <v>实用新型</v>
      </c>
      <c r="D2369" s="1" t="str">
        <f t="shared" si="1182"/>
        <v>未缴年费专利权终止</v>
      </c>
      <c r="E2369" s="1" t="str">
        <f>"CN201721627328.1"</f>
        <v>CN201721627328.1</v>
      </c>
      <c r="F2369" s="1" t="str">
        <f>"2017-11-29"</f>
        <v>2017-11-29</v>
      </c>
      <c r="G2369" s="1" t="str">
        <f>"CN207573123U"</f>
        <v>CN207573123U</v>
      </c>
      <c r="H2369" s="1" t="str">
        <f>"2018-07-03"</f>
        <v>2018-07-03</v>
      </c>
      <c r="I2369" s="1" t="s">
        <v>5111</v>
      </c>
      <c r="J2369" s="1" t="str">
        <f t="shared" si="1184"/>
        <v>天津神川电机有限公司</v>
      </c>
    </row>
    <row r="2370" spans="1:10">
      <c r="A2370" s="1" t="str">
        <f t="shared" si="1183"/>
        <v>天津神川电机有限公司</v>
      </c>
      <c r="B2370" s="1" t="str">
        <f>"一种铁路道岔转辙机用三相异步电动机"</f>
        <v>一种铁路道岔转辙机用三相异步电动机</v>
      </c>
      <c r="C2370" s="1" t="str">
        <f t="shared" si="1181"/>
        <v>实用新型</v>
      </c>
      <c r="D2370" s="1" t="str">
        <f t="shared" si="1182"/>
        <v>未缴年费专利权终止</v>
      </c>
      <c r="E2370" s="1" t="str">
        <f>"CN201721383573.2"</f>
        <v>CN201721383573.2</v>
      </c>
      <c r="F2370" s="1" t="str">
        <f>"2017-10-25"</f>
        <v>2017-10-25</v>
      </c>
      <c r="G2370" s="1" t="str">
        <f>"CN207398946U"</f>
        <v>CN207398946U</v>
      </c>
      <c r="H2370" s="1" t="str">
        <f>"2018-05-22"</f>
        <v>2018-05-22</v>
      </c>
      <c r="I2370" s="1" t="s">
        <v>5112</v>
      </c>
      <c r="J2370" s="1" t="str">
        <f t="shared" si="1184"/>
        <v>天津神川电机有限公司</v>
      </c>
    </row>
    <row r="2371" spans="1:10">
      <c r="A2371" s="1" t="str">
        <f t="shared" si="1183"/>
        <v>天津神川电机有限公司</v>
      </c>
      <c r="B2371" s="1" t="str">
        <f>"矿用泥浆泵用三相异步电动机"</f>
        <v>矿用泥浆泵用三相异步电动机</v>
      </c>
      <c r="C2371" s="1" t="str">
        <f t="shared" si="1181"/>
        <v>实用新型</v>
      </c>
      <c r="D2371" s="1" t="str">
        <f>"授权"</f>
        <v>授权</v>
      </c>
      <c r="E2371" s="1" t="str">
        <f>"CN201521140319.0"</f>
        <v>CN201521140319.0</v>
      </c>
      <c r="F2371" s="1" t="str">
        <f>"2015-12-30"</f>
        <v>2015-12-30</v>
      </c>
      <c r="G2371" s="1" t="str">
        <f>"CN205489895U"</f>
        <v>CN205489895U</v>
      </c>
      <c r="H2371" s="1" t="str">
        <f>"2016-08-17"</f>
        <v>2016-08-17</v>
      </c>
      <c r="I2371" s="1" t="s">
        <v>5113</v>
      </c>
      <c r="J2371" s="1" t="str">
        <f t="shared" si="1184"/>
        <v>天津神川电机有限公司</v>
      </c>
    </row>
    <row r="2372" spans="1:10">
      <c r="A2372" s="1" t="str">
        <f t="shared" si="1183"/>
        <v>天津神川电机有限公司</v>
      </c>
      <c r="B2372" s="1" t="str">
        <f>"双出轴变频耐振电机"</f>
        <v>双出轴变频耐振电机</v>
      </c>
      <c r="C2372" s="1" t="str">
        <f t="shared" si="1181"/>
        <v>实用新型</v>
      </c>
      <c r="D2372" s="1" t="str">
        <f>"期限届满专利权终止"</f>
        <v>期限届满专利权终止</v>
      </c>
      <c r="E2372" s="1" t="str">
        <f>"CN201420801977.9"</f>
        <v>CN201420801977.9</v>
      </c>
      <c r="F2372" s="1" t="str">
        <f t="shared" ref="F2372:F2375" si="1185">"2014-12-17"</f>
        <v>2014-12-17</v>
      </c>
      <c r="G2372" s="1" t="str">
        <f>"CN204349678U"</f>
        <v>CN204349678U</v>
      </c>
      <c r="H2372" s="1" t="str">
        <f t="shared" ref="H2372:H2375" si="1186">"2015-05-20"</f>
        <v>2015-05-20</v>
      </c>
      <c r="I2372" s="1" t="s">
        <v>5114</v>
      </c>
      <c r="J2372" s="1" t="str">
        <f t="shared" si="1184"/>
        <v>天津神川电机有限公司</v>
      </c>
    </row>
    <row r="2373" spans="1:10">
      <c r="A2373" s="1" t="str">
        <f t="shared" si="1183"/>
        <v>天津神川电机有限公司</v>
      </c>
      <c r="B2373" s="1" t="str">
        <f>"耐振三相异步电动机线圈绝缘保护结构"</f>
        <v>耐振三相异步电动机线圈绝缘保护结构</v>
      </c>
      <c r="C2373" s="1" t="str">
        <f t="shared" si="1181"/>
        <v>实用新型</v>
      </c>
      <c r="D2373" s="1" t="str">
        <f t="shared" ref="D2373:D2437" si="1187">"未缴年费专利权终止"</f>
        <v>未缴年费专利权终止</v>
      </c>
      <c r="E2373" s="1" t="str">
        <f>"CN201420802296.4"</f>
        <v>CN201420802296.4</v>
      </c>
      <c r="F2373" s="1" t="str">
        <f t="shared" si="1185"/>
        <v>2014-12-17</v>
      </c>
      <c r="G2373" s="1" t="str">
        <f>"CN204349634U"</f>
        <v>CN204349634U</v>
      </c>
      <c r="H2373" s="1" t="str">
        <f t="shared" si="1186"/>
        <v>2015-05-20</v>
      </c>
      <c r="I2373" s="1" t="s">
        <v>5115</v>
      </c>
      <c r="J2373" s="1" t="str">
        <f t="shared" si="1184"/>
        <v>天津神川电机有限公司</v>
      </c>
    </row>
    <row r="2374" spans="1:10">
      <c r="A2374" s="1" t="str">
        <f t="shared" si="1183"/>
        <v>天津神川电机有限公司</v>
      </c>
      <c r="B2374" s="1" t="str">
        <f>"耐振电机轴承密封改进结构"</f>
        <v>耐振电机轴承密封改进结构</v>
      </c>
      <c r="C2374" s="1" t="str">
        <f t="shared" si="1181"/>
        <v>实用新型</v>
      </c>
      <c r="D2374" s="1" t="str">
        <f t="shared" si="1187"/>
        <v>未缴年费专利权终止</v>
      </c>
      <c r="E2374" s="1" t="str">
        <f>"CN201420801812.1"</f>
        <v>CN201420801812.1</v>
      </c>
      <c r="F2374" s="1" t="str">
        <f t="shared" si="1185"/>
        <v>2014-12-17</v>
      </c>
      <c r="G2374" s="1" t="str">
        <f>"CN204349660U"</f>
        <v>CN204349660U</v>
      </c>
      <c r="H2374" s="1" t="str">
        <f t="shared" si="1186"/>
        <v>2015-05-20</v>
      </c>
      <c r="I2374" s="1" t="s">
        <v>5116</v>
      </c>
      <c r="J2374" s="1" t="str">
        <f t="shared" si="1184"/>
        <v>天津神川电机有限公司</v>
      </c>
    </row>
    <row r="2375" spans="1:10">
      <c r="A2375" s="1" t="str">
        <f t="shared" si="1183"/>
        <v>天津神川电机有限公司</v>
      </c>
      <c r="B2375" s="1" t="str">
        <f>"高效三相异步电动机"</f>
        <v>高效三相异步电动机</v>
      </c>
      <c r="C2375" s="1" t="str">
        <f t="shared" si="1181"/>
        <v>实用新型</v>
      </c>
      <c r="D2375" s="1" t="str">
        <f>"期限届满专利权终止"</f>
        <v>期限届满专利权终止</v>
      </c>
      <c r="E2375" s="1" t="str">
        <f>"CN201420801813.6"</f>
        <v>CN201420801813.6</v>
      </c>
      <c r="F2375" s="1" t="str">
        <f t="shared" si="1185"/>
        <v>2014-12-17</v>
      </c>
      <c r="G2375" s="1" t="str">
        <f>"CN204349743U"</f>
        <v>CN204349743U</v>
      </c>
      <c r="H2375" s="1" t="str">
        <f t="shared" si="1186"/>
        <v>2015-05-20</v>
      </c>
      <c r="I2375" s="1" t="s">
        <v>5117</v>
      </c>
      <c r="J2375" s="1" t="str">
        <f t="shared" si="1184"/>
        <v>天津神川电机有限公司</v>
      </c>
    </row>
    <row r="2376" spans="1:10">
      <c r="A2376" s="1" t="str">
        <f t="shared" si="1183"/>
        <v>天津神川电机有限公司</v>
      </c>
      <c r="B2376" s="1" t="str">
        <f>"交流变频调速三相异步电机"</f>
        <v>交流变频调速三相异步电机</v>
      </c>
      <c r="C2376" s="1" t="str">
        <f t="shared" si="1181"/>
        <v>实用新型</v>
      </c>
      <c r="D2376" s="1" t="str">
        <f t="shared" si="1187"/>
        <v>未缴年费专利权终止</v>
      </c>
      <c r="E2376" s="1" t="str">
        <f>"CN201320692451.7"</f>
        <v>CN201320692451.7</v>
      </c>
      <c r="F2376" s="1" t="str">
        <f t="shared" ref="F2376:F2379" si="1188">"2013-11-04"</f>
        <v>2013-11-04</v>
      </c>
      <c r="G2376" s="1" t="str">
        <f>"CN203645432U"</f>
        <v>CN203645432U</v>
      </c>
      <c r="H2376" s="1" t="str">
        <f t="shared" ref="H2376:H2379" si="1189">"2014-06-11"</f>
        <v>2014-06-11</v>
      </c>
      <c r="I2376" s="1" t="s">
        <v>5118</v>
      </c>
      <c r="J2376" s="1" t="str">
        <f t="shared" si="1184"/>
        <v>天津神川电机有限公司</v>
      </c>
    </row>
    <row r="2377" spans="1:10">
      <c r="A2377" s="1" t="str">
        <f t="shared" si="1183"/>
        <v>天津神川电机有限公司</v>
      </c>
      <c r="B2377" s="1" t="str">
        <f>"智能型阀门电动装置用三相异步电动机"</f>
        <v>智能型阀门电动装置用三相异步电动机</v>
      </c>
      <c r="C2377" s="1" t="str">
        <f t="shared" si="1181"/>
        <v>实用新型</v>
      </c>
      <c r="D2377" s="1" t="str">
        <f t="shared" si="1187"/>
        <v>未缴年费专利权终止</v>
      </c>
      <c r="E2377" s="1" t="str">
        <f>"CN201320692783.5"</f>
        <v>CN201320692783.5</v>
      </c>
      <c r="F2377" s="1" t="str">
        <f t="shared" si="1188"/>
        <v>2013-11-04</v>
      </c>
      <c r="G2377" s="1" t="str">
        <f>"CN203645508U"</f>
        <v>CN203645508U</v>
      </c>
      <c r="H2377" s="1" t="str">
        <f t="shared" si="1189"/>
        <v>2014-06-11</v>
      </c>
      <c r="I2377" s="1" t="s">
        <v>5119</v>
      </c>
      <c r="J2377" s="1" t="str">
        <f t="shared" si="1184"/>
        <v>天津神川电机有限公司</v>
      </c>
    </row>
    <row r="2378" spans="1:10">
      <c r="A2378" s="1" t="str">
        <f t="shared" si="1183"/>
        <v>天津神川电机有限公司</v>
      </c>
      <c r="B2378" s="1" t="str">
        <f>"耐振电机风罩改进结构"</f>
        <v>耐振电机风罩改进结构</v>
      </c>
      <c r="C2378" s="1" t="str">
        <f t="shared" si="1181"/>
        <v>实用新型</v>
      </c>
      <c r="D2378" s="1" t="str">
        <f t="shared" si="1187"/>
        <v>未缴年费专利权终止</v>
      </c>
      <c r="E2378" s="1" t="str">
        <f>"CN201320692821.7"</f>
        <v>CN201320692821.7</v>
      </c>
      <c r="F2378" s="1" t="str">
        <f t="shared" si="1188"/>
        <v>2013-11-04</v>
      </c>
      <c r="G2378" s="1" t="str">
        <f>"CN203645433U"</f>
        <v>CN203645433U</v>
      </c>
      <c r="H2378" s="1" t="str">
        <f t="shared" si="1189"/>
        <v>2014-06-11</v>
      </c>
      <c r="I2378" s="1" t="s">
        <v>5120</v>
      </c>
      <c r="J2378" s="1" t="str">
        <f t="shared" si="1184"/>
        <v>天津神川电机有限公司</v>
      </c>
    </row>
    <row r="2379" spans="1:10">
      <c r="A2379" s="1" t="str">
        <f t="shared" si="1183"/>
        <v>天津神川电机有限公司</v>
      </c>
      <c r="B2379" s="1" t="str">
        <f>"盘式电机定子绕组端部整形装置"</f>
        <v>盘式电机定子绕组端部整形装置</v>
      </c>
      <c r="C2379" s="1" t="str">
        <f t="shared" si="1181"/>
        <v>实用新型</v>
      </c>
      <c r="D2379" s="1" t="str">
        <f t="shared" si="1187"/>
        <v>未缴年费专利权终止</v>
      </c>
      <c r="E2379" s="1" t="str">
        <f>"CN201320692150.4"</f>
        <v>CN201320692150.4</v>
      </c>
      <c r="F2379" s="1" t="str">
        <f t="shared" si="1188"/>
        <v>2013-11-04</v>
      </c>
      <c r="G2379" s="1" t="str">
        <f>"CN203645486U"</f>
        <v>CN203645486U</v>
      </c>
      <c r="H2379" s="1" t="str">
        <f t="shared" si="1189"/>
        <v>2014-06-11</v>
      </c>
      <c r="I2379" s="1" t="s">
        <v>5121</v>
      </c>
      <c r="J2379" s="1" t="str">
        <f t="shared" si="1184"/>
        <v>天津神川电机有限公司</v>
      </c>
    </row>
    <row r="2380" spans="1:10">
      <c r="A2380" s="1" t="str">
        <f t="shared" si="1183"/>
        <v>天津神川电机有限公司</v>
      </c>
      <c r="B2380" s="1" t="str">
        <f>"带离心风机的起重冶金电机"</f>
        <v>带离心风机的起重冶金电机</v>
      </c>
      <c r="C2380" s="1" t="str">
        <f t="shared" si="1181"/>
        <v>实用新型</v>
      </c>
      <c r="D2380" s="1" t="str">
        <f t="shared" si="1187"/>
        <v>未缴年费专利权终止</v>
      </c>
      <c r="E2380" s="1" t="str">
        <f>"CN201220464663.5"</f>
        <v>CN201220464663.5</v>
      </c>
      <c r="F2380" s="1" t="str">
        <f t="shared" ref="F2380:F2385" si="1190">"2012-09-13"</f>
        <v>2012-09-13</v>
      </c>
      <c r="G2380" s="1" t="str">
        <f>"CN202949324U"</f>
        <v>CN202949324U</v>
      </c>
      <c r="H2380" s="1" t="str">
        <f t="shared" ref="H2380:H2382" si="1191">"2013-05-22"</f>
        <v>2013-05-22</v>
      </c>
      <c r="I2380" s="1" t="s">
        <v>5122</v>
      </c>
      <c r="J2380" s="1" t="str">
        <f t="shared" si="1184"/>
        <v>天津神川电机有限公司</v>
      </c>
    </row>
    <row r="2381" spans="1:10">
      <c r="A2381" s="1" t="str">
        <f t="shared" si="1183"/>
        <v>天津神川电机有限公司</v>
      </c>
      <c r="B2381" s="1" t="str">
        <f>"使用油压机驱动的定子绕组端部整形胎"</f>
        <v>使用油压机驱动的定子绕组端部整形胎</v>
      </c>
      <c r="C2381" s="1" t="str">
        <f t="shared" si="1181"/>
        <v>实用新型</v>
      </c>
      <c r="D2381" s="1" t="str">
        <f t="shared" si="1187"/>
        <v>未缴年费专利权终止</v>
      </c>
      <c r="E2381" s="1" t="str">
        <f>"CN201220438749.0"</f>
        <v>CN201220438749.0</v>
      </c>
      <c r="F2381" s="1" t="str">
        <f t="shared" ref="F2381:F2384" si="1192">"2012-08-31"</f>
        <v>2012-08-31</v>
      </c>
      <c r="G2381" s="1" t="str">
        <f>"CN202949327U"</f>
        <v>CN202949327U</v>
      </c>
      <c r="H2381" s="1" t="str">
        <f t="shared" si="1191"/>
        <v>2013-05-22</v>
      </c>
      <c r="I2381" s="1" t="s">
        <v>5123</v>
      </c>
      <c r="J2381" s="1" t="str">
        <f t="shared" si="1184"/>
        <v>天津神川电机有限公司</v>
      </c>
    </row>
    <row r="2382" spans="1:10">
      <c r="A2382" s="1" t="str">
        <f t="shared" si="1183"/>
        <v>天津神川电机有限公司</v>
      </c>
      <c r="B2382" s="1" t="str">
        <f>"辊道用变频电机"</f>
        <v>辊道用变频电机</v>
      </c>
      <c r="C2382" s="1" t="str">
        <f t="shared" si="1181"/>
        <v>实用新型</v>
      </c>
      <c r="D2382" s="1" t="str">
        <f t="shared" si="1187"/>
        <v>未缴年费专利权终止</v>
      </c>
      <c r="E2382" s="1" t="str">
        <f>"CN201220438748.6"</f>
        <v>CN201220438748.6</v>
      </c>
      <c r="F2382" s="1" t="str">
        <f t="shared" si="1192"/>
        <v>2012-08-31</v>
      </c>
      <c r="G2382" s="1" t="str">
        <f>"CN202949289U"</f>
        <v>CN202949289U</v>
      </c>
      <c r="H2382" s="1" t="str">
        <f t="shared" si="1191"/>
        <v>2013-05-22</v>
      </c>
      <c r="I2382" s="1" t="s">
        <v>5124</v>
      </c>
      <c r="J2382" s="1" t="str">
        <f t="shared" si="1184"/>
        <v>天津神川电机有限公司</v>
      </c>
    </row>
    <row r="2383" spans="1:10">
      <c r="A2383" s="1" t="str">
        <f t="shared" si="1183"/>
        <v>天津神川电机有限公司</v>
      </c>
      <c r="B2383" s="1" t="str">
        <f>"一种直联式辊道电机的注油结构"</f>
        <v>一种直联式辊道电机的注油结构</v>
      </c>
      <c r="C2383" s="1" t="str">
        <f t="shared" si="1181"/>
        <v>实用新型</v>
      </c>
      <c r="D2383" s="1" t="str">
        <f t="shared" si="1187"/>
        <v>未缴年费专利权终止</v>
      </c>
      <c r="E2383" s="1" t="str">
        <f>"CN201220467084.6"</f>
        <v>CN201220467084.6</v>
      </c>
      <c r="F2383" s="1" t="str">
        <f t="shared" si="1190"/>
        <v>2012-09-13</v>
      </c>
      <c r="G2383" s="1" t="str">
        <f>"CN202856514U"</f>
        <v>CN202856514U</v>
      </c>
      <c r="H2383" s="1" t="str">
        <f t="shared" ref="H2383:H2395" si="1193">"2013-04-03"</f>
        <v>2013-04-03</v>
      </c>
      <c r="I2383" s="1" t="s">
        <v>5125</v>
      </c>
      <c r="J2383" s="1" t="str">
        <f t="shared" si="1184"/>
        <v>天津神川电机有限公司</v>
      </c>
    </row>
    <row r="2384" spans="1:10">
      <c r="A2384" s="1" t="str">
        <f t="shared" si="1183"/>
        <v>天津神川电机有限公司</v>
      </c>
      <c r="B2384" s="1" t="str">
        <f>"具有通风道端盖的带锯电机"</f>
        <v>具有通风道端盖的带锯电机</v>
      </c>
      <c r="C2384" s="1" t="str">
        <f t="shared" si="1181"/>
        <v>实用新型</v>
      </c>
      <c r="D2384" s="1" t="str">
        <f t="shared" si="1187"/>
        <v>未缴年费专利权终止</v>
      </c>
      <c r="E2384" s="1" t="str">
        <f>"CN201220438708.1"</f>
        <v>CN201220438708.1</v>
      </c>
      <c r="F2384" s="1" t="str">
        <f t="shared" si="1192"/>
        <v>2012-08-31</v>
      </c>
      <c r="G2384" s="1" t="str">
        <f>"CN202856537U"</f>
        <v>CN202856537U</v>
      </c>
      <c r="H2384" s="1" t="str">
        <f t="shared" si="1193"/>
        <v>2013-04-03</v>
      </c>
      <c r="I2384" s="1" t="s">
        <v>5126</v>
      </c>
      <c r="J2384" s="1" t="str">
        <f t="shared" si="1184"/>
        <v>天津神川电机有限公司</v>
      </c>
    </row>
    <row r="2385" spans="1:10">
      <c r="A2385" s="1" t="str">
        <f t="shared" si="1183"/>
        <v>天津神川电机有限公司</v>
      </c>
      <c r="B2385" s="1" t="str">
        <f>"振动桩锤用抗振电机"</f>
        <v>振动桩锤用抗振电机</v>
      </c>
      <c r="C2385" s="1" t="str">
        <f t="shared" si="1181"/>
        <v>实用新型</v>
      </c>
      <c r="D2385" s="1" t="str">
        <f t="shared" si="1187"/>
        <v>未缴年费专利权终止</v>
      </c>
      <c r="E2385" s="1" t="str">
        <f>"CN201220467085.0"</f>
        <v>CN201220467085.0</v>
      </c>
      <c r="F2385" s="1" t="str">
        <f t="shared" si="1190"/>
        <v>2012-09-13</v>
      </c>
      <c r="G2385" s="1" t="str">
        <f>"CN202856519U"</f>
        <v>CN202856519U</v>
      </c>
      <c r="H2385" s="1" t="str">
        <f t="shared" si="1193"/>
        <v>2013-04-03</v>
      </c>
      <c r="I2385" s="1" t="s">
        <v>5127</v>
      </c>
      <c r="J2385" s="1" t="str">
        <f t="shared" si="1184"/>
        <v>天津神川电机有限公司</v>
      </c>
    </row>
    <row r="2386" spans="1:10">
      <c r="A2386" s="1" t="str">
        <f t="shared" si="1183"/>
        <v>天津神川电机有限公司</v>
      </c>
      <c r="B2386" s="1" t="str">
        <f>"大型电机有绕组定子铁心翻转吊具"</f>
        <v>大型电机有绕组定子铁心翻转吊具</v>
      </c>
      <c r="C2386" s="1" t="str">
        <f t="shared" si="1181"/>
        <v>实用新型</v>
      </c>
      <c r="D2386" s="1" t="str">
        <f t="shared" si="1187"/>
        <v>未缴年费专利权终止</v>
      </c>
      <c r="E2386" s="1" t="str">
        <f>"CN201220441385.1"</f>
        <v>CN201220441385.1</v>
      </c>
      <c r="F2386" s="1" t="str">
        <f>"2012-08-31"</f>
        <v>2012-08-31</v>
      </c>
      <c r="G2386" s="1" t="str">
        <f>"CN202848851U"</f>
        <v>CN202848851U</v>
      </c>
      <c r="H2386" s="1" t="str">
        <f t="shared" si="1193"/>
        <v>2013-04-03</v>
      </c>
      <c r="I2386" s="1" t="s">
        <v>5128</v>
      </c>
      <c r="J2386" s="1" t="str">
        <f t="shared" si="1184"/>
        <v>天津神川电机有限公司</v>
      </c>
    </row>
    <row r="2387" spans="1:10">
      <c r="A2387" s="1" t="str">
        <f t="shared" si="1183"/>
        <v>天津神川电机有限公司</v>
      </c>
      <c r="B2387" s="1" t="str">
        <f>"具有冷却水套的辊道电机机壳"</f>
        <v>具有冷却水套的辊道电机机壳</v>
      </c>
      <c r="C2387" s="1" t="str">
        <f t="shared" si="1181"/>
        <v>实用新型</v>
      </c>
      <c r="D2387" s="1" t="str">
        <f t="shared" si="1187"/>
        <v>未缴年费专利权终止</v>
      </c>
      <c r="E2387" s="1" t="str">
        <f>"CN201220464633.4"</f>
        <v>CN201220464633.4</v>
      </c>
      <c r="F2387" s="1" t="str">
        <f t="shared" ref="F2387:F2390" si="1194">"2012-09-13"</f>
        <v>2012-09-13</v>
      </c>
      <c r="G2387" s="1" t="str">
        <f>"CN202856515U"</f>
        <v>CN202856515U</v>
      </c>
      <c r="H2387" s="1" t="str">
        <f t="shared" si="1193"/>
        <v>2013-04-03</v>
      </c>
      <c r="I2387" s="1" t="s">
        <v>5129</v>
      </c>
      <c r="J2387" s="1" t="str">
        <f t="shared" si="1184"/>
        <v>天津神川电机有限公司</v>
      </c>
    </row>
    <row r="2388" spans="1:10">
      <c r="A2388" s="1" t="str">
        <f t="shared" si="1183"/>
        <v>天津神川电机有限公司</v>
      </c>
      <c r="B2388" s="1" t="str">
        <f>"大功率起重冶金用电动机"</f>
        <v>大功率起重冶金用电动机</v>
      </c>
      <c r="C2388" s="1" t="str">
        <f t="shared" si="1181"/>
        <v>实用新型</v>
      </c>
      <c r="D2388" s="1" t="str">
        <f t="shared" si="1187"/>
        <v>未缴年费专利权终止</v>
      </c>
      <c r="E2388" s="1" t="str">
        <f>"CN201220467162.2"</f>
        <v>CN201220467162.2</v>
      </c>
      <c r="F2388" s="1" t="str">
        <f t="shared" si="1194"/>
        <v>2012-09-13</v>
      </c>
      <c r="G2388" s="1" t="str">
        <f>"CN202856512U"</f>
        <v>CN202856512U</v>
      </c>
      <c r="H2388" s="1" t="str">
        <f t="shared" si="1193"/>
        <v>2013-04-03</v>
      </c>
      <c r="I2388" s="1" t="s">
        <v>5130</v>
      </c>
      <c r="J2388" s="1" t="str">
        <f t="shared" si="1184"/>
        <v>天津神川电机有限公司</v>
      </c>
    </row>
    <row r="2389" spans="1:10">
      <c r="A2389" s="1" t="str">
        <f t="shared" si="1183"/>
        <v>天津神川电机有限公司</v>
      </c>
      <c r="B2389" s="1" t="str">
        <f>"绕线转子起重冶金电机"</f>
        <v>绕线转子起重冶金电机</v>
      </c>
      <c r="C2389" s="1" t="str">
        <f t="shared" si="1181"/>
        <v>实用新型</v>
      </c>
      <c r="D2389" s="1" t="str">
        <f t="shared" si="1187"/>
        <v>未缴年费专利权终止</v>
      </c>
      <c r="E2389" s="1" t="str">
        <f>"CN201220467163.7"</f>
        <v>CN201220467163.7</v>
      </c>
      <c r="F2389" s="1" t="str">
        <f t="shared" si="1194"/>
        <v>2012-09-13</v>
      </c>
      <c r="G2389" s="1" t="str">
        <f>"CN202856496U"</f>
        <v>CN202856496U</v>
      </c>
      <c r="H2389" s="1" t="str">
        <f t="shared" si="1193"/>
        <v>2013-04-03</v>
      </c>
      <c r="I2389" s="1" t="s">
        <v>5131</v>
      </c>
      <c r="J2389" s="1" t="str">
        <f t="shared" si="1184"/>
        <v>天津神川电机有限公司</v>
      </c>
    </row>
    <row r="2390" spans="1:10">
      <c r="A2390" s="1" t="str">
        <f t="shared" si="1183"/>
        <v>天津神川电机有限公司</v>
      </c>
      <c r="B2390" s="1" t="str">
        <f>"辊道电机"</f>
        <v>辊道电机</v>
      </c>
      <c r="C2390" s="1" t="str">
        <f t="shared" si="1181"/>
        <v>实用新型</v>
      </c>
      <c r="D2390" s="1" t="str">
        <f t="shared" si="1187"/>
        <v>未缴年费专利权终止</v>
      </c>
      <c r="E2390" s="1" t="str">
        <f>"CN201220464634.9"</f>
        <v>CN201220464634.9</v>
      </c>
      <c r="F2390" s="1" t="str">
        <f t="shared" si="1194"/>
        <v>2012-09-13</v>
      </c>
      <c r="G2390" s="1" t="str">
        <f>"CN202856540U"</f>
        <v>CN202856540U</v>
      </c>
      <c r="H2390" s="1" t="str">
        <f t="shared" si="1193"/>
        <v>2013-04-03</v>
      </c>
      <c r="I2390" s="1" t="s">
        <v>5132</v>
      </c>
      <c r="J2390" s="1" t="str">
        <f t="shared" si="1184"/>
        <v>天津神川电机有限公司</v>
      </c>
    </row>
    <row r="2391" spans="1:10">
      <c r="A2391" s="1" t="str">
        <f t="shared" si="1183"/>
        <v>天津神川电机有限公司</v>
      </c>
      <c r="B2391" s="1" t="str">
        <f>"具有超速开关和编码器的电机"</f>
        <v>具有超速开关和编码器的电机</v>
      </c>
      <c r="C2391" s="1" t="str">
        <f t="shared" si="1181"/>
        <v>实用新型</v>
      </c>
      <c r="D2391" s="1" t="str">
        <f t="shared" si="1187"/>
        <v>未缴年费专利权终止</v>
      </c>
      <c r="E2391" s="1" t="str">
        <f>"CN201220441384.7"</f>
        <v>CN201220441384.7</v>
      </c>
      <c r="F2391" s="1" t="str">
        <f t="shared" ref="F2391:F2395" si="1195">"2012-08-31"</f>
        <v>2012-08-31</v>
      </c>
      <c r="G2391" s="1" t="str">
        <f>"CN202856543U"</f>
        <v>CN202856543U</v>
      </c>
      <c r="H2391" s="1" t="str">
        <f t="shared" si="1193"/>
        <v>2013-04-03</v>
      </c>
      <c r="I2391" s="1" t="s">
        <v>5133</v>
      </c>
      <c r="J2391" s="1" t="str">
        <f t="shared" si="1184"/>
        <v>天津神川电机有限公司</v>
      </c>
    </row>
    <row r="2392" spans="1:10">
      <c r="A2392" s="1" t="str">
        <f t="shared" si="1183"/>
        <v>天津神川电机有限公司</v>
      </c>
      <c r="B2392" s="1" t="str">
        <f>"隧道风机电机"</f>
        <v>隧道风机电机</v>
      </c>
      <c r="C2392" s="1" t="str">
        <f t="shared" si="1181"/>
        <v>实用新型</v>
      </c>
      <c r="D2392" s="1" t="str">
        <f t="shared" si="1187"/>
        <v>未缴年费专利权终止</v>
      </c>
      <c r="E2392" s="1" t="str">
        <f>"CN201220438709.6"</f>
        <v>CN201220438709.6</v>
      </c>
      <c r="F2392" s="1" t="str">
        <f t="shared" si="1195"/>
        <v>2012-08-31</v>
      </c>
      <c r="G2392" s="1" t="str">
        <f>"CN202856509U"</f>
        <v>CN202856509U</v>
      </c>
      <c r="H2392" s="1" t="str">
        <f t="shared" si="1193"/>
        <v>2013-04-03</v>
      </c>
      <c r="I2392" s="1" t="s">
        <v>5134</v>
      </c>
      <c r="J2392" s="1" t="str">
        <f t="shared" si="1184"/>
        <v>天津神川电机有限公司</v>
      </c>
    </row>
    <row r="2393" spans="1:10">
      <c r="A2393" s="1" t="str">
        <f t="shared" si="1183"/>
        <v>天津神川电机有限公司</v>
      </c>
      <c r="B2393" s="1" t="str">
        <f>"具有制动器的起重冶金电机"</f>
        <v>具有制动器的起重冶金电机</v>
      </c>
      <c r="C2393" s="1" t="str">
        <f t="shared" si="1181"/>
        <v>实用新型</v>
      </c>
      <c r="D2393" s="1" t="str">
        <f t="shared" si="1187"/>
        <v>未缴年费专利权终止</v>
      </c>
      <c r="E2393" s="1" t="str">
        <f>"CN201220467161.8"</f>
        <v>CN201220467161.8</v>
      </c>
      <c r="F2393" s="1" t="str">
        <f>"2012-09-13"</f>
        <v>2012-09-13</v>
      </c>
      <c r="G2393" s="1" t="str">
        <f>"CN202856526U"</f>
        <v>CN202856526U</v>
      </c>
      <c r="H2393" s="1" t="str">
        <f t="shared" si="1193"/>
        <v>2013-04-03</v>
      </c>
      <c r="I2393" s="1" t="s">
        <v>5135</v>
      </c>
      <c r="J2393" s="1" t="str">
        <f t="shared" si="1184"/>
        <v>天津神川电机有限公司</v>
      </c>
    </row>
    <row r="2394" spans="1:10">
      <c r="A2394" s="1" t="str">
        <f t="shared" si="1183"/>
        <v>天津神川电机有限公司</v>
      </c>
      <c r="B2394" s="1" t="str">
        <f>"定子绕组端部绑扎工装"</f>
        <v>定子绕组端部绑扎工装</v>
      </c>
      <c r="C2394" s="1" t="str">
        <f t="shared" si="1181"/>
        <v>实用新型</v>
      </c>
      <c r="D2394" s="1" t="str">
        <f t="shared" si="1187"/>
        <v>未缴年费专利权终止</v>
      </c>
      <c r="E2394" s="1" t="str">
        <f>"CN201220438707.7"</f>
        <v>CN201220438707.7</v>
      </c>
      <c r="F2394" s="1" t="str">
        <f t="shared" si="1195"/>
        <v>2012-08-31</v>
      </c>
      <c r="G2394" s="1" t="str">
        <f>"CN202856549U"</f>
        <v>CN202856549U</v>
      </c>
      <c r="H2394" s="1" t="str">
        <f t="shared" si="1193"/>
        <v>2013-04-03</v>
      </c>
      <c r="I2394" s="1" t="s">
        <v>5136</v>
      </c>
      <c r="J2394" s="1" t="str">
        <f t="shared" si="1184"/>
        <v>天津神川电机有限公司</v>
      </c>
    </row>
    <row r="2395" spans="1:10">
      <c r="A2395" s="1" t="str">
        <f t="shared" si="1183"/>
        <v>天津神川电机有限公司</v>
      </c>
      <c r="B2395" s="1" t="str">
        <f>"潜水耐振电机"</f>
        <v>潜水耐振电机</v>
      </c>
      <c r="C2395" s="1" t="str">
        <f t="shared" si="1181"/>
        <v>实用新型</v>
      </c>
      <c r="D2395" s="1" t="str">
        <f t="shared" si="1187"/>
        <v>未缴年费专利权终止</v>
      </c>
      <c r="E2395" s="1" t="str">
        <f>"CN201220438710.9"</f>
        <v>CN201220438710.9</v>
      </c>
      <c r="F2395" s="1" t="str">
        <f t="shared" si="1195"/>
        <v>2012-08-31</v>
      </c>
      <c r="G2395" s="1" t="str">
        <f>"CN202856511U"</f>
        <v>CN202856511U</v>
      </c>
      <c r="H2395" s="1" t="str">
        <f t="shared" si="1193"/>
        <v>2013-04-03</v>
      </c>
      <c r="I2395" s="1" t="s">
        <v>5137</v>
      </c>
      <c r="J2395" s="1" t="str">
        <f t="shared" si="1184"/>
        <v>天津神川电机有限公司</v>
      </c>
    </row>
    <row r="2396" spans="1:10">
      <c r="A2396" s="1" t="str">
        <f t="shared" si="1183"/>
        <v>天津神川电机有限公司</v>
      </c>
      <c r="B2396" s="1" t="str">
        <f>"双路电源供电的低压大功率电动机接线装置"</f>
        <v>双路电源供电的低压大功率电动机接线装置</v>
      </c>
      <c r="C2396" s="1" t="str">
        <f t="shared" si="1181"/>
        <v>实用新型</v>
      </c>
      <c r="D2396" s="1" t="str">
        <f t="shared" si="1187"/>
        <v>未缴年费专利权终止</v>
      </c>
      <c r="E2396" s="1" t="str">
        <f>"CN201120551232.8"</f>
        <v>CN201120551232.8</v>
      </c>
      <c r="F2396" s="1" t="str">
        <f t="shared" ref="F2396:F2405" si="1196">"2011-12-27"</f>
        <v>2011-12-27</v>
      </c>
      <c r="G2396" s="1" t="str">
        <f>"CN202475112U"</f>
        <v>CN202475112U</v>
      </c>
      <c r="H2396" s="1" t="str">
        <f t="shared" ref="H2396:H2403" si="1197">"2012-10-03"</f>
        <v>2012-10-03</v>
      </c>
      <c r="I2396" s="1" t="s">
        <v>5138</v>
      </c>
      <c r="J2396" s="1" t="str">
        <f t="shared" si="1184"/>
        <v>天津神川电机有限公司</v>
      </c>
    </row>
    <row r="2397" spans="1:10">
      <c r="A2397" s="1" t="str">
        <f t="shared" si="1183"/>
        <v>天津神川电机有限公司</v>
      </c>
      <c r="B2397" s="1" t="str">
        <f>"方箱立式电机吊装结构"</f>
        <v>方箱立式电机吊装结构</v>
      </c>
      <c r="C2397" s="1" t="str">
        <f t="shared" si="1181"/>
        <v>实用新型</v>
      </c>
      <c r="D2397" s="1" t="str">
        <f t="shared" si="1187"/>
        <v>未缴年费专利权终止</v>
      </c>
      <c r="E2397" s="1" t="str">
        <f>"CN201120554473.8"</f>
        <v>CN201120554473.8</v>
      </c>
      <c r="F2397" s="1" t="str">
        <f t="shared" si="1196"/>
        <v>2011-12-27</v>
      </c>
      <c r="G2397" s="1" t="str">
        <f>"CN202475078U"</f>
        <v>CN202475078U</v>
      </c>
      <c r="H2397" s="1" t="str">
        <f t="shared" si="1197"/>
        <v>2012-10-03</v>
      </c>
      <c r="I2397" s="1" t="s">
        <v>5139</v>
      </c>
      <c r="J2397" s="1" t="str">
        <f t="shared" si="1184"/>
        <v>天津神川电机有限公司</v>
      </c>
    </row>
    <row r="2398" spans="1:10">
      <c r="A2398" s="1" t="str">
        <f t="shared" si="1183"/>
        <v>天津神川电机有限公司</v>
      </c>
      <c r="B2398" s="1" t="str">
        <f>"高压电机转子散热结构"</f>
        <v>高压电机转子散热结构</v>
      </c>
      <c r="C2398" s="1" t="str">
        <f t="shared" si="1181"/>
        <v>实用新型</v>
      </c>
      <c r="D2398" s="1" t="str">
        <f t="shared" si="1187"/>
        <v>未缴年费专利权终止</v>
      </c>
      <c r="E2398" s="1" t="str">
        <f>"CN201120553968.9"</f>
        <v>CN201120553968.9</v>
      </c>
      <c r="F2398" s="1" t="str">
        <f t="shared" si="1196"/>
        <v>2011-12-27</v>
      </c>
      <c r="G2398" s="1" t="str">
        <f>"CN202475149U"</f>
        <v>CN202475149U</v>
      </c>
      <c r="H2398" s="1" t="str">
        <f t="shared" si="1197"/>
        <v>2012-10-03</v>
      </c>
      <c r="I2398" s="1" t="s">
        <v>5140</v>
      </c>
      <c r="J2398" s="1" t="str">
        <f t="shared" si="1184"/>
        <v>天津神川电机有限公司</v>
      </c>
    </row>
    <row r="2399" spans="1:10">
      <c r="A2399" s="1" t="str">
        <f t="shared" si="1183"/>
        <v>天津神川电机有限公司</v>
      </c>
      <c r="B2399" s="1" t="str">
        <f>"三相异步电动机冷却系统"</f>
        <v>三相异步电动机冷却系统</v>
      </c>
      <c r="C2399" s="1" t="str">
        <f t="shared" si="1181"/>
        <v>实用新型</v>
      </c>
      <c r="D2399" s="1" t="str">
        <f t="shared" si="1187"/>
        <v>未缴年费专利权终止</v>
      </c>
      <c r="E2399" s="1" t="str">
        <f>"CN201120554256.9"</f>
        <v>CN201120554256.9</v>
      </c>
      <c r="F2399" s="1" t="str">
        <f t="shared" si="1196"/>
        <v>2011-12-27</v>
      </c>
      <c r="G2399" s="1" t="str">
        <f>"CN202475146U"</f>
        <v>CN202475146U</v>
      </c>
      <c r="H2399" s="1" t="str">
        <f t="shared" si="1197"/>
        <v>2012-10-03</v>
      </c>
      <c r="I2399" s="1" t="s">
        <v>5141</v>
      </c>
      <c r="J2399" s="1" t="str">
        <f t="shared" si="1184"/>
        <v>天津神川电机有限公司</v>
      </c>
    </row>
    <row r="2400" spans="1:10">
      <c r="A2400" s="1" t="str">
        <f t="shared" si="1183"/>
        <v>天津神川电机有限公司</v>
      </c>
      <c r="B2400" s="1" t="str">
        <f>"具有良好热传导性的定子铁心叠压结构"</f>
        <v>具有良好热传导性的定子铁心叠压结构</v>
      </c>
      <c r="C2400" s="1" t="str">
        <f t="shared" si="1181"/>
        <v>实用新型</v>
      </c>
      <c r="D2400" s="1" t="str">
        <f t="shared" si="1187"/>
        <v>未缴年费专利权终止</v>
      </c>
      <c r="E2400" s="1" t="str">
        <f>"CN201120553969.3"</f>
        <v>CN201120553969.3</v>
      </c>
      <c r="F2400" s="1" t="str">
        <f t="shared" si="1196"/>
        <v>2011-12-27</v>
      </c>
      <c r="G2400" s="1" t="str">
        <f>"CN202475173U"</f>
        <v>CN202475173U</v>
      </c>
      <c r="H2400" s="1" t="str">
        <f t="shared" si="1197"/>
        <v>2012-10-03</v>
      </c>
      <c r="I2400" s="1" t="s">
        <v>5142</v>
      </c>
      <c r="J2400" s="1" t="str">
        <f t="shared" si="1184"/>
        <v>天津神川电机有限公司</v>
      </c>
    </row>
    <row r="2401" spans="1:10">
      <c r="A2401" s="1" t="str">
        <f t="shared" si="1183"/>
        <v>天津神川电机有限公司</v>
      </c>
      <c r="B2401" s="1" t="str">
        <f>"低压大功率电动机的接线装置"</f>
        <v>低压大功率电动机的接线装置</v>
      </c>
      <c r="C2401" s="1" t="str">
        <f t="shared" si="1181"/>
        <v>实用新型</v>
      </c>
      <c r="D2401" s="1" t="str">
        <f t="shared" si="1187"/>
        <v>未缴年费专利权终止</v>
      </c>
      <c r="E2401" s="1" t="str">
        <f>"CN201120554472.3"</f>
        <v>CN201120554472.3</v>
      </c>
      <c r="F2401" s="1" t="str">
        <f t="shared" si="1196"/>
        <v>2011-12-27</v>
      </c>
      <c r="G2401" s="1" t="str">
        <f>"CN202475113U"</f>
        <v>CN202475113U</v>
      </c>
      <c r="H2401" s="1" t="str">
        <f t="shared" si="1197"/>
        <v>2012-10-03</v>
      </c>
      <c r="I2401" s="1" t="s">
        <v>5143</v>
      </c>
      <c r="J2401" s="1" t="str">
        <f t="shared" si="1184"/>
        <v>天津神川电机有限公司</v>
      </c>
    </row>
    <row r="2402" spans="1:10">
      <c r="A2402" s="1" t="str">
        <f t="shared" si="1183"/>
        <v>天津神川电机有限公司</v>
      </c>
      <c r="B2402" s="1" t="str">
        <f>"方箱式大功率变频调速电动机"</f>
        <v>方箱式大功率变频调速电动机</v>
      </c>
      <c r="C2402" s="1" t="str">
        <f t="shared" si="1181"/>
        <v>实用新型</v>
      </c>
      <c r="D2402" s="1" t="str">
        <f t="shared" si="1187"/>
        <v>未缴年费专利权终止</v>
      </c>
      <c r="E2402" s="1" t="str">
        <f>"CN201120551233.2"</f>
        <v>CN201120551233.2</v>
      </c>
      <c r="F2402" s="1" t="str">
        <f t="shared" si="1196"/>
        <v>2011-12-27</v>
      </c>
      <c r="G2402" s="1" t="str">
        <f>"CN202475151U"</f>
        <v>CN202475151U</v>
      </c>
      <c r="H2402" s="1" t="str">
        <f t="shared" si="1197"/>
        <v>2012-10-03</v>
      </c>
      <c r="I2402" s="1" t="s">
        <v>5144</v>
      </c>
      <c r="J2402" s="1" t="str">
        <f t="shared" si="1184"/>
        <v>天津神川电机有限公司</v>
      </c>
    </row>
    <row r="2403" spans="1:10">
      <c r="A2403" s="1" t="str">
        <f t="shared" si="1183"/>
        <v>天津神川电机有限公司</v>
      </c>
      <c r="B2403" s="1" t="str">
        <f>"一种三体式绝缘端盖结构"</f>
        <v>一种三体式绝缘端盖结构</v>
      </c>
      <c r="C2403" s="1" t="str">
        <f t="shared" si="1181"/>
        <v>实用新型</v>
      </c>
      <c r="D2403" s="1" t="str">
        <f t="shared" si="1187"/>
        <v>未缴年费专利权终止</v>
      </c>
      <c r="E2403" s="1" t="str">
        <f>"CN201120554266.2"</f>
        <v>CN201120554266.2</v>
      </c>
      <c r="F2403" s="1" t="str">
        <f t="shared" si="1196"/>
        <v>2011-12-27</v>
      </c>
      <c r="G2403" s="1" t="str">
        <f>"CN202475096U"</f>
        <v>CN202475096U</v>
      </c>
      <c r="H2403" s="1" t="str">
        <f t="shared" si="1197"/>
        <v>2012-10-03</v>
      </c>
      <c r="I2403" s="1" t="s">
        <v>5138</v>
      </c>
      <c r="J2403" s="1" t="str">
        <f t="shared" si="1184"/>
        <v>天津神川电机有限公司</v>
      </c>
    </row>
    <row r="2404" spans="1:10">
      <c r="A2404" s="1" t="str">
        <f t="shared" si="1183"/>
        <v>天津神川电机有限公司</v>
      </c>
      <c r="B2404" s="1" t="str">
        <f>"钻孔机专用电动机"</f>
        <v>钻孔机专用电动机</v>
      </c>
      <c r="C2404" s="1" t="str">
        <f t="shared" ref="C2404:C2411" si="1198">"外观设计"</f>
        <v>外观设计</v>
      </c>
      <c r="D2404" s="1" t="str">
        <f t="shared" si="1187"/>
        <v>未缴年费专利权终止</v>
      </c>
      <c r="E2404" s="1" t="str">
        <f>"CN201130500809.8"</f>
        <v>CN201130500809.8</v>
      </c>
      <c r="F2404" s="1" t="str">
        <f t="shared" si="1196"/>
        <v>2011-12-27</v>
      </c>
      <c r="G2404" s="1" t="str">
        <f>"CN301953804S"</f>
        <v>CN301953804S</v>
      </c>
      <c r="H2404" s="1" t="str">
        <f>"2012-06-13"</f>
        <v>2012-06-13</v>
      </c>
      <c r="I2404" s="1" t="s">
        <v>5145</v>
      </c>
      <c r="J2404" s="1" t="str">
        <f t="shared" si="1184"/>
        <v>天津神川电机有限公司</v>
      </c>
    </row>
    <row r="2405" spans="1:10">
      <c r="A2405" s="1" t="str">
        <f t="shared" si="1183"/>
        <v>天津神川电机有限公司</v>
      </c>
      <c r="B2405" s="1" t="str">
        <f>"振动桩锤专用变频电动机"</f>
        <v>振动桩锤专用变频电动机</v>
      </c>
      <c r="C2405" s="1" t="str">
        <f t="shared" si="1198"/>
        <v>外观设计</v>
      </c>
      <c r="D2405" s="1" t="str">
        <f t="shared" si="1187"/>
        <v>未缴年费专利权终止</v>
      </c>
      <c r="E2405" s="1" t="str">
        <f>"CN201130500785.6"</f>
        <v>CN201130500785.6</v>
      </c>
      <c r="F2405" s="1" t="str">
        <f t="shared" si="1196"/>
        <v>2011-12-27</v>
      </c>
      <c r="G2405" s="1" t="str">
        <f>"CN301953803S"</f>
        <v>CN301953803S</v>
      </c>
      <c r="H2405" s="1" t="str">
        <f>"2012-06-13"</f>
        <v>2012-06-13</v>
      </c>
      <c r="I2405" s="1" t="s">
        <v>5146</v>
      </c>
      <c r="J2405" s="1" t="str">
        <f t="shared" si="1184"/>
        <v>天津神川电机有限公司</v>
      </c>
    </row>
    <row r="2406" spans="1:10">
      <c r="A2406" s="1" t="str">
        <f t="shared" si="1183"/>
        <v>天津神川电机有限公司</v>
      </c>
      <c r="B2406" s="1" t="str">
        <f>"耐剧烈振动力矩电机"</f>
        <v>耐剧烈振动力矩电机</v>
      </c>
      <c r="C2406" s="1" t="str">
        <f t="shared" ref="C2406:C2408" si="1199">"实用新型"</f>
        <v>实用新型</v>
      </c>
      <c r="D2406" s="1" t="str">
        <f t="shared" si="1187"/>
        <v>未缴年费专利权终止</v>
      </c>
      <c r="E2406" s="1" t="str">
        <f>"CN201020558085.2"</f>
        <v>CN201020558085.2</v>
      </c>
      <c r="F2406" s="1" t="str">
        <f>"2010-10-12"</f>
        <v>2010-10-12</v>
      </c>
      <c r="G2406" s="1" t="str">
        <f>"CN201846200U"</f>
        <v>CN201846200U</v>
      </c>
      <c r="H2406" s="1" t="str">
        <f>"2011-05-25"</f>
        <v>2011-05-25</v>
      </c>
      <c r="I2406" s="1" t="s">
        <v>5147</v>
      </c>
      <c r="J2406" s="1" t="str">
        <f t="shared" si="1184"/>
        <v>天津神川电机有限公司</v>
      </c>
    </row>
    <row r="2407" spans="1:10">
      <c r="A2407" s="1" t="str">
        <f t="shared" si="1183"/>
        <v>天津神川电机有限公司</v>
      </c>
      <c r="B2407" s="1" t="str">
        <f>"一种耐振电机的电缆出线结构"</f>
        <v>一种耐振电机的电缆出线结构</v>
      </c>
      <c r="C2407" s="1" t="str">
        <f t="shared" si="1199"/>
        <v>实用新型</v>
      </c>
      <c r="D2407" s="1" t="str">
        <f t="shared" si="1187"/>
        <v>未缴年费专利权终止</v>
      </c>
      <c r="E2407" s="1" t="str">
        <f>"CN201020546614.7"</f>
        <v>CN201020546614.7</v>
      </c>
      <c r="F2407" s="1" t="str">
        <f t="shared" ref="F2407:F2411" si="1200">"2010-09-28"</f>
        <v>2010-09-28</v>
      </c>
      <c r="G2407" s="1" t="str">
        <f>"CN201846174U"</f>
        <v>CN201846174U</v>
      </c>
      <c r="H2407" s="1" t="str">
        <f>"2011-05-25"</f>
        <v>2011-05-25</v>
      </c>
      <c r="I2407" s="1" t="s">
        <v>5148</v>
      </c>
      <c r="J2407" s="1" t="str">
        <f t="shared" si="1184"/>
        <v>天津神川电机有限公司</v>
      </c>
    </row>
    <row r="2408" spans="1:10">
      <c r="A2408" s="1" t="str">
        <f t="shared" si="1183"/>
        <v>天津神川电机有限公司</v>
      </c>
      <c r="B2408" s="1" t="str">
        <f>"直联式方法兰盘锥孔轴辊道电机"</f>
        <v>直联式方法兰盘锥孔轴辊道电机</v>
      </c>
      <c r="C2408" s="1" t="str">
        <f t="shared" si="1199"/>
        <v>实用新型</v>
      </c>
      <c r="D2408" s="1" t="str">
        <f t="shared" si="1187"/>
        <v>未缴年费专利权终止</v>
      </c>
      <c r="E2408" s="1" t="str">
        <f>"CN201020524388.2"</f>
        <v>CN201020524388.2</v>
      </c>
      <c r="F2408" s="1" t="str">
        <f>"2010-09-09"</f>
        <v>2010-09-09</v>
      </c>
      <c r="G2408" s="1" t="str">
        <f>"CN201805311U"</f>
        <v>CN201805311U</v>
      </c>
      <c r="H2408" s="1" t="str">
        <f t="shared" ref="H2408:H2412" si="1201">"2011-04-20"</f>
        <v>2011-04-20</v>
      </c>
      <c r="I2408" s="1" t="s">
        <v>5149</v>
      </c>
      <c r="J2408" s="1" t="str">
        <f t="shared" si="1184"/>
        <v>天津神川电机有限公司</v>
      </c>
    </row>
    <row r="2409" spans="1:10">
      <c r="A2409" s="1" t="str">
        <f t="shared" si="1183"/>
        <v>天津神川电机有限公司</v>
      </c>
      <c r="B2409" s="1" t="str">
        <f>"方法兰盘辊道电机"</f>
        <v>方法兰盘辊道电机</v>
      </c>
      <c r="C2409" s="1" t="str">
        <f t="shared" si="1198"/>
        <v>外观设计</v>
      </c>
      <c r="D2409" s="1" t="str">
        <f t="shared" si="1187"/>
        <v>未缴年费专利权终止</v>
      </c>
      <c r="E2409" s="1" t="str">
        <f>"CN201030536568.8"</f>
        <v>CN201030536568.8</v>
      </c>
      <c r="F2409" s="1" t="str">
        <f t="shared" si="1200"/>
        <v>2010-09-28</v>
      </c>
      <c r="G2409" s="1" t="str">
        <f>"CN301522134S"</f>
        <v>CN301522134S</v>
      </c>
      <c r="H2409" s="1" t="str">
        <f t="shared" si="1201"/>
        <v>2011-04-20</v>
      </c>
      <c r="I2409" s="1" t="s">
        <v>5150</v>
      </c>
      <c r="J2409" s="1" t="str">
        <f t="shared" si="1184"/>
        <v>天津神川电机有限公司</v>
      </c>
    </row>
    <row r="2410" spans="1:10">
      <c r="A2410" s="1" t="str">
        <f t="shared" si="1183"/>
        <v>天津神川电机有限公司</v>
      </c>
      <c r="B2410" s="1" t="str">
        <f>"管道通风变频电机"</f>
        <v>管道通风变频电机</v>
      </c>
      <c r="C2410" s="1" t="str">
        <f t="shared" si="1198"/>
        <v>外观设计</v>
      </c>
      <c r="D2410" s="1" t="str">
        <f t="shared" si="1187"/>
        <v>未缴年费专利权终止</v>
      </c>
      <c r="E2410" s="1" t="str">
        <f>"CN201030536559.9"</f>
        <v>CN201030536559.9</v>
      </c>
      <c r="F2410" s="1" t="str">
        <f t="shared" si="1200"/>
        <v>2010-09-28</v>
      </c>
      <c r="G2410" s="1" t="str">
        <f>"CN301522133S"</f>
        <v>CN301522133S</v>
      </c>
      <c r="H2410" s="1" t="str">
        <f t="shared" si="1201"/>
        <v>2011-04-20</v>
      </c>
      <c r="I2410" s="1" t="s">
        <v>5151</v>
      </c>
      <c r="J2410" s="1" t="str">
        <f t="shared" si="1184"/>
        <v>天津神川电机有限公司</v>
      </c>
    </row>
    <row r="2411" spans="1:10">
      <c r="A2411" s="1" t="str">
        <f t="shared" si="1183"/>
        <v>天津神川电机有限公司</v>
      </c>
      <c r="B2411" s="1" t="str">
        <f>"低转速力矩电机"</f>
        <v>低转速力矩电机</v>
      </c>
      <c r="C2411" s="1" t="str">
        <f t="shared" si="1198"/>
        <v>外观设计</v>
      </c>
      <c r="D2411" s="1" t="str">
        <f t="shared" si="1187"/>
        <v>未缴年费专利权终止</v>
      </c>
      <c r="E2411" s="1" t="str">
        <f>"CN201030536550.8"</f>
        <v>CN201030536550.8</v>
      </c>
      <c r="F2411" s="1" t="str">
        <f t="shared" si="1200"/>
        <v>2010-09-28</v>
      </c>
      <c r="G2411" s="1" t="str">
        <f>"CN301522132S"</f>
        <v>CN301522132S</v>
      </c>
      <c r="H2411" s="1" t="str">
        <f t="shared" si="1201"/>
        <v>2011-04-20</v>
      </c>
      <c r="I2411" s="1" t="s">
        <v>5152</v>
      </c>
      <c r="J2411" s="1" t="str">
        <f t="shared" si="1184"/>
        <v>天津神川电机有限公司</v>
      </c>
    </row>
    <row r="2412" spans="1:10">
      <c r="A2412" s="1" t="str">
        <f t="shared" si="1183"/>
        <v>天津神川电机有限公司</v>
      </c>
      <c r="B2412" s="1" t="str">
        <f>"辊道用高防护等级三相异步电动机"</f>
        <v>辊道用高防护等级三相异步电动机</v>
      </c>
      <c r="C2412" s="1" t="str">
        <f t="shared" ref="C2412:C2450" si="1202">"实用新型"</f>
        <v>实用新型</v>
      </c>
      <c r="D2412" s="1" t="str">
        <f t="shared" si="1187"/>
        <v>未缴年费专利权终止</v>
      </c>
      <c r="E2412" s="1" t="str">
        <f>"CN201020524494.0"</f>
        <v>CN201020524494.0</v>
      </c>
      <c r="F2412" s="1" t="str">
        <f>"2010-09-09"</f>
        <v>2010-09-09</v>
      </c>
      <c r="G2412" s="1" t="str">
        <f>"CN201805334U"</f>
        <v>CN201805334U</v>
      </c>
      <c r="H2412" s="1" t="str">
        <f t="shared" si="1201"/>
        <v>2011-04-20</v>
      </c>
      <c r="I2412" s="1" t="s">
        <v>5153</v>
      </c>
      <c r="J2412" s="1" t="str">
        <f t="shared" si="1184"/>
        <v>天津神川电机有限公司</v>
      </c>
    </row>
    <row r="2413" spans="1:10">
      <c r="A2413" s="1" t="str">
        <f t="shared" si="1183"/>
        <v>天津神川电机有限公司</v>
      </c>
      <c r="B2413" s="1" t="str">
        <f>"适应海洋环境使用的耐振电机"</f>
        <v>适应海洋环境使用的耐振电机</v>
      </c>
      <c r="C2413" s="1" t="str">
        <f t="shared" si="1202"/>
        <v>实用新型</v>
      </c>
      <c r="D2413" s="1" t="str">
        <f t="shared" si="1187"/>
        <v>未缴年费专利权终止</v>
      </c>
      <c r="E2413" s="1" t="str">
        <f>"CN200920250108.0"</f>
        <v>CN200920250108.0</v>
      </c>
      <c r="F2413" s="1" t="str">
        <f>"2009-11-10"</f>
        <v>2009-11-10</v>
      </c>
      <c r="G2413" s="1" t="str">
        <f>"CN201690295U"</f>
        <v>CN201690295U</v>
      </c>
      <c r="H2413" s="1" t="str">
        <f>"2010-12-29"</f>
        <v>2010-12-29</v>
      </c>
      <c r="I2413" s="1" t="s">
        <v>5154</v>
      </c>
      <c r="J2413" s="1" t="str">
        <f t="shared" ref="J2413:J2415" si="1203">"天津神川机电有限公司"</f>
        <v>天津神川机电有限公司</v>
      </c>
    </row>
    <row r="2414" spans="1:10">
      <c r="A2414" s="1" t="str">
        <f t="shared" si="1183"/>
        <v>天津神川电机有限公司</v>
      </c>
      <c r="B2414" s="1" t="str">
        <f>"变频调速耐振型电机接线引接结构"</f>
        <v>变频调速耐振型电机接线引接结构</v>
      </c>
      <c r="C2414" s="1" t="str">
        <f t="shared" si="1202"/>
        <v>实用新型</v>
      </c>
      <c r="D2414" s="1" t="str">
        <f t="shared" si="1187"/>
        <v>未缴年费专利权终止</v>
      </c>
      <c r="E2414" s="1" t="str">
        <f>"CN201020300961.1"</f>
        <v>CN201020300961.1</v>
      </c>
      <c r="F2414" s="1" t="str">
        <f>"2010-01-19"</f>
        <v>2010-01-19</v>
      </c>
      <c r="G2414" s="1" t="str">
        <f>"CN201656654U"</f>
        <v>CN201656654U</v>
      </c>
      <c r="H2414" s="1" t="str">
        <f>"2010-11-24"</f>
        <v>2010-11-24</v>
      </c>
      <c r="I2414" s="1" t="s">
        <v>5150</v>
      </c>
      <c r="J2414" s="1" t="str">
        <f t="shared" si="1203"/>
        <v>天津神川机电有限公司</v>
      </c>
    </row>
    <row r="2415" spans="1:10">
      <c r="A2415" s="1" t="str">
        <f t="shared" si="1183"/>
        <v>天津神川电机有限公司</v>
      </c>
      <c r="B2415" s="1" t="str">
        <f>"具有强迫冷却系统的变频调速耐振电机"</f>
        <v>具有强迫冷却系统的变频调速耐振电机</v>
      </c>
      <c r="C2415" s="1" t="str">
        <f t="shared" si="1202"/>
        <v>实用新型</v>
      </c>
      <c r="D2415" s="1" t="str">
        <f t="shared" si="1187"/>
        <v>未缴年费专利权终止</v>
      </c>
      <c r="E2415" s="1" t="str">
        <f>"CN201020300947.1"</f>
        <v>CN201020300947.1</v>
      </c>
      <c r="F2415" s="1" t="str">
        <f>"2010-01-19"</f>
        <v>2010-01-19</v>
      </c>
      <c r="G2415" s="1" t="str">
        <f>"CN201629634U"</f>
        <v>CN201629634U</v>
      </c>
      <c r="H2415" s="1" t="str">
        <f>"2010-11-10"</f>
        <v>2010-11-10</v>
      </c>
      <c r="I2415" s="1" t="s">
        <v>5155</v>
      </c>
      <c r="J2415" s="1" t="str">
        <f t="shared" si="1203"/>
        <v>天津神川机电有限公司</v>
      </c>
    </row>
    <row r="2416" spans="1:10">
      <c r="A2416" s="1" t="str">
        <f t="shared" si="1183"/>
        <v>天津神川电机有限公司</v>
      </c>
      <c r="B2416" s="1" t="str">
        <f>"一种变频调速耐振型三相异步电动机"</f>
        <v>一种变频调速耐振型三相异步电动机</v>
      </c>
      <c r="C2416" s="1" t="str">
        <f t="shared" si="1202"/>
        <v>实用新型</v>
      </c>
      <c r="D2416" s="1" t="str">
        <f t="shared" si="1187"/>
        <v>未缴年费专利权终止</v>
      </c>
      <c r="E2416" s="1" t="str">
        <f>"CN200920213466.4"</f>
        <v>CN200920213466.4</v>
      </c>
      <c r="F2416" s="1" t="str">
        <f>"2009-12-21"</f>
        <v>2009-12-21</v>
      </c>
      <c r="G2416" s="1" t="str">
        <f>"CN201611828U"</f>
        <v>CN201611828U</v>
      </c>
      <c r="H2416" s="1" t="str">
        <f t="shared" ref="H2416:H2418" si="1204">"2010-10-20"</f>
        <v>2010-10-20</v>
      </c>
      <c r="I2416" s="1" t="s">
        <v>5156</v>
      </c>
      <c r="J2416" s="1" t="s">
        <v>5157</v>
      </c>
    </row>
    <row r="2417" spans="1:10">
      <c r="A2417" s="1" t="str">
        <f t="shared" si="1183"/>
        <v>天津神川电机有限公司</v>
      </c>
      <c r="B2417" s="1" t="str">
        <f>"工程钻机用高安全三相异步电动机"</f>
        <v>工程钻机用高安全三相异步电动机</v>
      </c>
      <c r="C2417" s="1" t="str">
        <f t="shared" si="1202"/>
        <v>实用新型</v>
      </c>
      <c r="D2417" s="1" t="str">
        <f t="shared" si="1187"/>
        <v>未缴年费专利权终止</v>
      </c>
      <c r="E2417" s="1" t="str">
        <f>"CN200920251094.4"</f>
        <v>CN200920251094.4</v>
      </c>
      <c r="F2417" s="1" t="str">
        <f>"2009-11-30"</f>
        <v>2009-11-30</v>
      </c>
      <c r="G2417" s="1" t="str">
        <f>"CN201611829U"</f>
        <v>CN201611829U</v>
      </c>
      <c r="H2417" s="1" t="str">
        <f t="shared" si="1204"/>
        <v>2010-10-20</v>
      </c>
      <c r="I2417" s="1" t="s">
        <v>5158</v>
      </c>
      <c r="J2417" s="1" t="str">
        <f t="shared" ref="J2417:J2423" si="1205">"天津神川机电有限公司"</f>
        <v>天津神川机电有限公司</v>
      </c>
    </row>
    <row r="2418" spans="1:10">
      <c r="A2418" s="1" t="str">
        <f t="shared" si="1183"/>
        <v>天津神川电机有限公司</v>
      </c>
      <c r="B2418" s="1" t="str">
        <f>"具有自扇冷却系统的耐振电机"</f>
        <v>具有自扇冷却系统的耐振电机</v>
      </c>
      <c r="C2418" s="1" t="str">
        <f t="shared" si="1202"/>
        <v>实用新型</v>
      </c>
      <c r="D2418" s="1" t="str">
        <f t="shared" si="1187"/>
        <v>未缴年费专利权终止</v>
      </c>
      <c r="E2418" s="1" t="str">
        <f>"CN200920251095.9"</f>
        <v>CN200920251095.9</v>
      </c>
      <c r="F2418" s="1" t="str">
        <f>"2009-11-30"</f>
        <v>2009-11-30</v>
      </c>
      <c r="G2418" s="1" t="str">
        <f>"CN201611817U"</f>
        <v>CN201611817U</v>
      </c>
      <c r="H2418" s="1" t="str">
        <f t="shared" si="1204"/>
        <v>2010-10-20</v>
      </c>
      <c r="I2418" s="1" t="s">
        <v>5159</v>
      </c>
      <c r="J2418" s="1" t="str">
        <f t="shared" si="1205"/>
        <v>天津神川机电有限公司</v>
      </c>
    </row>
    <row r="2419" spans="1:10">
      <c r="A2419" s="1" t="str">
        <f t="shared" si="1183"/>
        <v>天津神川电机有限公司</v>
      </c>
      <c r="B2419" s="1" t="str">
        <f>"大功率变频调速三相异步电动机转子结构"</f>
        <v>大功率变频调速三相异步电动机转子结构</v>
      </c>
      <c r="C2419" s="1" t="str">
        <f t="shared" si="1202"/>
        <v>实用新型</v>
      </c>
      <c r="D2419" s="1" t="str">
        <f t="shared" si="1187"/>
        <v>未缴年费专利权终止</v>
      </c>
      <c r="E2419" s="1" t="str">
        <f>"CN200820074947.7"</f>
        <v>CN200820074947.7</v>
      </c>
      <c r="F2419" s="1" t="str">
        <f t="shared" ref="F2419:F2421" si="1206">"2008-06-04"</f>
        <v>2008-06-04</v>
      </c>
      <c r="G2419" s="1" t="str">
        <f>"CN201226483"</f>
        <v>CN201226483</v>
      </c>
      <c r="H2419" s="1" t="str">
        <f t="shared" ref="H2419:H2421" si="1207">"2009-04-22"</f>
        <v>2009-04-22</v>
      </c>
      <c r="I2419" s="1" t="s">
        <v>5160</v>
      </c>
      <c r="J2419" s="1" t="str">
        <f t="shared" si="1205"/>
        <v>天津神川机电有限公司</v>
      </c>
    </row>
    <row r="2420" spans="1:10">
      <c r="A2420" s="1" t="str">
        <f t="shared" si="1183"/>
        <v>天津神川电机有限公司</v>
      </c>
      <c r="B2420" s="1" t="str">
        <f>"核级阀门电动装置用三相异步电动机"</f>
        <v>核级阀门电动装置用三相异步电动机</v>
      </c>
      <c r="C2420" s="1" t="str">
        <f t="shared" si="1202"/>
        <v>实用新型</v>
      </c>
      <c r="D2420" s="1" t="str">
        <f t="shared" si="1187"/>
        <v>未缴年费专利权终止</v>
      </c>
      <c r="E2420" s="1" t="str">
        <f>"CN200820074946.2"</f>
        <v>CN200820074946.2</v>
      </c>
      <c r="F2420" s="1" t="str">
        <f t="shared" si="1206"/>
        <v>2008-06-04</v>
      </c>
      <c r="G2420" s="1" t="str">
        <f>"CN201226466"</f>
        <v>CN201226466</v>
      </c>
      <c r="H2420" s="1" t="str">
        <f t="shared" si="1207"/>
        <v>2009-04-22</v>
      </c>
      <c r="I2420" s="1" t="s">
        <v>5161</v>
      </c>
      <c r="J2420" s="1" t="str">
        <f t="shared" si="1205"/>
        <v>天津神川机电有限公司</v>
      </c>
    </row>
    <row r="2421" spans="1:10">
      <c r="A2421" s="1" t="str">
        <f t="shared" si="1183"/>
        <v>天津神川电机有限公司</v>
      </c>
      <c r="B2421" s="1" t="str">
        <f>"带有接地碳刷的大功率变频调速三相异步电机"</f>
        <v>带有接地碳刷的大功率变频调速三相异步电机</v>
      </c>
      <c r="C2421" s="1" t="str">
        <f t="shared" si="1202"/>
        <v>实用新型</v>
      </c>
      <c r="D2421" s="1" t="str">
        <f t="shared" si="1187"/>
        <v>未缴年费专利权终止</v>
      </c>
      <c r="E2421" s="1" t="str">
        <f>"CN200820074948.1"</f>
        <v>CN200820074948.1</v>
      </c>
      <c r="F2421" s="1" t="str">
        <f t="shared" si="1206"/>
        <v>2008-06-04</v>
      </c>
      <c r="G2421" s="1" t="str">
        <f>"CN201226470"</f>
        <v>CN201226470</v>
      </c>
      <c r="H2421" s="1" t="str">
        <f t="shared" si="1207"/>
        <v>2009-04-22</v>
      </c>
      <c r="I2421" s="1" t="s">
        <v>5162</v>
      </c>
      <c r="J2421" s="1" t="str">
        <f t="shared" si="1205"/>
        <v>天津神川机电有限公司</v>
      </c>
    </row>
    <row r="2422" spans="1:10">
      <c r="A2422" s="1" t="str">
        <f t="shared" si="1183"/>
        <v>天津神川电机有限公司</v>
      </c>
      <c r="B2422" s="1" t="str">
        <f>"高温型屏蔽泵用电机屏蔽密封结构"</f>
        <v>高温型屏蔽泵用电机屏蔽密封结构</v>
      </c>
      <c r="C2422" s="1" t="str">
        <f t="shared" si="1202"/>
        <v>实用新型</v>
      </c>
      <c r="D2422" s="1" t="str">
        <f t="shared" si="1187"/>
        <v>未缴年费专利权终止</v>
      </c>
      <c r="E2422" s="1" t="str">
        <f>"CN200820074284.9"</f>
        <v>CN200820074284.9</v>
      </c>
      <c r="F2422" s="1" t="str">
        <f>"2008-04-02"</f>
        <v>2008-04-02</v>
      </c>
      <c r="G2422" s="1" t="str">
        <f>"CN201194350"</f>
        <v>CN201194350</v>
      </c>
      <c r="H2422" s="1" t="str">
        <f>"2009-02-11"</f>
        <v>2009-02-11</v>
      </c>
      <c r="I2422" s="1" t="s">
        <v>5163</v>
      </c>
      <c r="J2422" s="1" t="str">
        <f t="shared" si="1205"/>
        <v>天津神川机电有限公司</v>
      </c>
    </row>
    <row r="2423" spans="1:10">
      <c r="A2423" s="1" t="str">
        <f t="shared" si="1183"/>
        <v>天津神川电机有限公司</v>
      </c>
      <c r="B2423" s="1" t="str">
        <f>"阀门电动装置专用三相异步电动机"</f>
        <v>阀门电动装置专用三相异步电动机</v>
      </c>
      <c r="C2423" s="1" t="str">
        <f t="shared" si="1202"/>
        <v>实用新型</v>
      </c>
      <c r="D2423" s="1" t="str">
        <f t="shared" si="1187"/>
        <v>未缴年费专利权终止</v>
      </c>
      <c r="E2423" s="1" t="str">
        <f>"CN200820073653.2"</f>
        <v>CN200820073653.2</v>
      </c>
      <c r="F2423" s="1" t="str">
        <f>"2008-01-14"</f>
        <v>2008-01-14</v>
      </c>
      <c r="G2423" s="1" t="str">
        <f>"CN201146438"</f>
        <v>CN201146438</v>
      </c>
      <c r="H2423" s="1" t="str">
        <f>"2008-11-05"</f>
        <v>2008-11-05</v>
      </c>
      <c r="I2423" s="1" t="s">
        <v>5164</v>
      </c>
      <c r="J2423" s="1" t="str">
        <f t="shared" si="1205"/>
        <v>天津神川机电有限公司</v>
      </c>
    </row>
    <row r="2424" spans="1:10">
      <c r="A2424" s="1" t="str">
        <f t="shared" ref="A2424:A2451" si="1208">"天津市三元机电设备制造有限公司"</f>
        <v>天津市三元机电设备制造有限公司</v>
      </c>
      <c r="B2424" s="1" t="str">
        <f>"一种轨道式大棚卷帘机"</f>
        <v>一种轨道式大棚卷帘机</v>
      </c>
      <c r="C2424" s="1" t="str">
        <f t="shared" si="1202"/>
        <v>实用新型</v>
      </c>
      <c r="D2424" s="1" t="str">
        <f t="shared" si="1187"/>
        <v>未缴年费专利权终止</v>
      </c>
      <c r="E2424" s="1" t="str">
        <f>"CN202120901030.5"</f>
        <v>CN202120901030.5</v>
      </c>
      <c r="F2424" s="1" t="str">
        <f t="shared" ref="F2424:F2433" si="1209">"2021-04-28"</f>
        <v>2021-04-28</v>
      </c>
      <c r="G2424" s="1" t="str">
        <f>"CN215957431U"</f>
        <v>CN215957431U</v>
      </c>
      <c r="H2424" s="1" t="str">
        <f>"2022-03-08"</f>
        <v>2022-03-08</v>
      </c>
      <c r="I2424" s="1" t="str">
        <f t="shared" ref="I2424:I2433" si="1210">"赵全祥"</f>
        <v>赵全祥</v>
      </c>
      <c r="J2424" s="1" t="str">
        <f t="shared" ref="J2424:J2451" si="1211">"天津市三元机电设备制造有限公司"</f>
        <v>天津市三元机电设备制造有限公司</v>
      </c>
    </row>
    <row r="2425" spans="1:10">
      <c r="A2425" s="1" t="str">
        <f t="shared" si="1208"/>
        <v>天津市三元机电设备制造有限公司</v>
      </c>
      <c r="B2425" s="1" t="str">
        <f>"一种组装式可移动日光温室大棚"</f>
        <v>一种组装式可移动日光温室大棚</v>
      </c>
      <c r="C2425" s="1" t="str">
        <f t="shared" si="1202"/>
        <v>实用新型</v>
      </c>
      <c r="D2425" s="1" t="str">
        <f t="shared" si="1187"/>
        <v>未缴年费专利权终止</v>
      </c>
      <c r="E2425" s="1" t="str">
        <f>"CN202120598447.9"</f>
        <v>CN202120598447.9</v>
      </c>
      <c r="F2425" s="1" t="str">
        <f>"2021-03-24"</f>
        <v>2021-03-24</v>
      </c>
      <c r="G2425" s="1" t="str">
        <f>"CN215454274U"</f>
        <v>CN215454274U</v>
      </c>
      <c r="H2425" s="1" t="str">
        <f>"2022-01-11"</f>
        <v>2022-01-11</v>
      </c>
      <c r="I2425" s="1" t="s">
        <v>5165</v>
      </c>
      <c r="J2425" s="1" t="str">
        <f t="shared" si="1211"/>
        <v>天津市三元机电设备制造有限公司</v>
      </c>
    </row>
    <row r="2426" spans="1:10">
      <c r="A2426" s="1" t="str">
        <f t="shared" si="1208"/>
        <v>天津市三元机电设备制造有限公司</v>
      </c>
      <c r="B2426" s="1" t="str">
        <f>"一种钢骨架结构防风温室大棚"</f>
        <v>一种钢骨架结构防风温室大棚</v>
      </c>
      <c r="C2426" s="1" t="str">
        <f t="shared" si="1202"/>
        <v>实用新型</v>
      </c>
      <c r="D2426" s="1" t="str">
        <f t="shared" si="1187"/>
        <v>未缴年费专利权终止</v>
      </c>
      <c r="E2426" s="1" t="str">
        <f>"CN202120625673.1"</f>
        <v>CN202120625673.1</v>
      </c>
      <c r="F2426" s="1" t="str">
        <f>"2021-03-24"</f>
        <v>2021-03-24</v>
      </c>
      <c r="G2426" s="1" t="str">
        <f>"CN215122571U"</f>
        <v>CN215122571U</v>
      </c>
      <c r="H2426" s="1" t="str">
        <f>"2021-12-14"</f>
        <v>2021-12-14</v>
      </c>
      <c r="I2426" s="1" t="s">
        <v>5165</v>
      </c>
      <c r="J2426" s="1" t="str">
        <f t="shared" si="1211"/>
        <v>天津市三元机电设备制造有限公司</v>
      </c>
    </row>
    <row r="2427" spans="1:10">
      <c r="A2427" s="1" t="str">
        <f t="shared" si="1208"/>
        <v>天津市三元机电设备制造有限公司</v>
      </c>
      <c r="B2427" s="1" t="str">
        <f>"一种大棚卷帘机防走偏装置"</f>
        <v>一种大棚卷帘机防走偏装置</v>
      </c>
      <c r="C2427" s="1" t="str">
        <f t="shared" si="1202"/>
        <v>实用新型</v>
      </c>
      <c r="D2427" s="1" t="str">
        <f t="shared" si="1187"/>
        <v>未缴年费专利权终止</v>
      </c>
      <c r="E2427" s="1" t="str">
        <f>"CN202120901060.6"</f>
        <v>CN202120901060.6</v>
      </c>
      <c r="F2427" s="1" t="str">
        <f t="shared" si="1209"/>
        <v>2021-04-28</v>
      </c>
      <c r="G2427" s="1" t="str">
        <f>"CN215012073U"</f>
        <v>CN215012073U</v>
      </c>
      <c r="H2427" s="1" t="str">
        <f>"2021-12-07"</f>
        <v>2021-12-07</v>
      </c>
      <c r="I2427" s="1" t="str">
        <f t="shared" si="1210"/>
        <v>赵全祥</v>
      </c>
      <c r="J2427" s="1" t="str">
        <f t="shared" si="1211"/>
        <v>天津市三元机电设备制造有限公司</v>
      </c>
    </row>
    <row r="2428" spans="1:10">
      <c r="A2428" s="1" t="str">
        <f t="shared" si="1208"/>
        <v>天津市三元机电设备制造有限公司</v>
      </c>
      <c r="B2428" s="1" t="str">
        <f>"一种温室大棚卷帘机限位装置"</f>
        <v>一种温室大棚卷帘机限位装置</v>
      </c>
      <c r="C2428" s="1" t="str">
        <f t="shared" si="1202"/>
        <v>实用新型</v>
      </c>
      <c r="D2428" s="1" t="str">
        <f t="shared" si="1187"/>
        <v>未缴年费专利权终止</v>
      </c>
      <c r="E2428" s="1" t="str">
        <f>"CN202120898599.0"</f>
        <v>CN202120898599.0</v>
      </c>
      <c r="F2428" s="1" t="str">
        <f t="shared" si="1209"/>
        <v>2021-04-28</v>
      </c>
      <c r="G2428" s="1" t="str">
        <f>"CN214961404U"</f>
        <v>CN214961404U</v>
      </c>
      <c r="H2428" s="1" t="str">
        <f>"2021-12-03"</f>
        <v>2021-12-03</v>
      </c>
      <c r="I2428" s="1" t="str">
        <f t="shared" si="1210"/>
        <v>赵全祥</v>
      </c>
      <c r="J2428" s="1" t="str">
        <f t="shared" si="1211"/>
        <v>天津市三元机电设备制造有限公司</v>
      </c>
    </row>
    <row r="2429" spans="1:10">
      <c r="A2429" s="1" t="str">
        <f t="shared" si="1208"/>
        <v>天津市三元机电设备制造有限公司</v>
      </c>
      <c r="B2429" s="1" t="str">
        <f>"一种脚踏式温室大棚卷帘机"</f>
        <v>一种脚踏式温室大棚卷帘机</v>
      </c>
      <c r="C2429" s="1" t="str">
        <f t="shared" si="1202"/>
        <v>实用新型</v>
      </c>
      <c r="D2429" s="1" t="str">
        <f t="shared" si="1187"/>
        <v>未缴年费专利权终止</v>
      </c>
      <c r="E2429" s="1" t="str">
        <f>"CN202120898602.9"</f>
        <v>CN202120898602.9</v>
      </c>
      <c r="F2429" s="1" t="str">
        <f t="shared" si="1209"/>
        <v>2021-04-28</v>
      </c>
      <c r="G2429" s="1" t="str">
        <f>"CN214961442U"</f>
        <v>CN214961442U</v>
      </c>
      <c r="H2429" s="1" t="str">
        <f>"2021-12-03"</f>
        <v>2021-12-03</v>
      </c>
      <c r="I2429" s="1" t="str">
        <f t="shared" si="1210"/>
        <v>赵全祥</v>
      </c>
      <c r="J2429" s="1" t="str">
        <f t="shared" si="1211"/>
        <v>天津市三元机电设备制造有限公司</v>
      </c>
    </row>
    <row r="2430" spans="1:10">
      <c r="A2430" s="1" t="str">
        <f t="shared" si="1208"/>
        <v>天津市三元机电设备制造有限公司</v>
      </c>
      <c r="B2430" s="1" t="str">
        <f>"一种用于吊瓜生产的大棚卷帘机装置"</f>
        <v>一种用于吊瓜生产的大棚卷帘机装置</v>
      </c>
      <c r="C2430" s="1" t="str">
        <f t="shared" si="1202"/>
        <v>实用新型</v>
      </c>
      <c r="D2430" s="1" t="str">
        <f t="shared" si="1187"/>
        <v>未缴年费专利权终止</v>
      </c>
      <c r="E2430" s="1" t="str">
        <f>"CN202120900589.6"</f>
        <v>CN202120900589.6</v>
      </c>
      <c r="F2430" s="1" t="str">
        <f t="shared" si="1209"/>
        <v>2021-04-28</v>
      </c>
      <c r="G2430" s="1" t="str">
        <f>"CN214902491U"</f>
        <v>CN214902491U</v>
      </c>
      <c r="H2430" s="1" t="str">
        <f>"2021-11-30"</f>
        <v>2021-11-30</v>
      </c>
      <c r="I2430" s="1" t="str">
        <f t="shared" si="1210"/>
        <v>赵全祥</v>
      </c>
      <c r="J2430" s="1" t="str">
        <f t="shared" si="1211"/>
        <v>天津市三元机电设备制造有限公司</v>
      </c>
    </row>
    <row r="2431" spans="1:10">
      <c r="A2431" s="1" t="str">
        <f t="shared" si="1208"/>
        <v>天津市三元机电设备制造有限公司</v>
      </c>
      <c r="B2431" s="1" t="str">
        <f>"一种带有滚珠滑道式自锁装置的大棚卷帘机"</f>
        <v>一种带有滚珠滑道式自锁装置的大棚卷帘机</v>
      </c>
      <c r="C2431" s="1" t="str">
        <f t="shared" si="1202"/>
        <v>实用新型</v>
      </c>
      <c r="D2431" s="1" t="str">
        <f t="shared" si="1187"/>
        <v>未缴年费专利权终止</v>
      </c>
      <c r="E2431" s="1" t="str">
        <f>"CN202120901198.6"</f>
        <v>CN202120901198.6</v>
      </c>
      <c r="F2431" s="1" t="str">
        <f t="shared" si="1209"/>
        <v>2021-04-28</v>
      </c>
      <c r="G2431" s="1" t="str">
        <f>"CN214902543U"</f>
        <v>CN214902543U</v>
      </c>
      <c r="H2431" s="1" t="str">
        <f>"2021-11-30"</f>
        <v>2021-11-30</v>
      </c>
      <c r="I2431" s="1" t="str">
        <f t="shared" si="1210"/>
        <v>赵全祥</v>
      </c>
      <c r="J2431" s="1" t="str">
        <f t="shared" si="1211"/>
        <v>天津市三元机电设备制造有限公司</v>
      </c>
    </row>
    <row r="2432" spans="1:10">
      <c r="A2432" s="1" t="str">
        <f t="shared" si="1208"/>
        <v>天津市三元机电设备制造有限公司</v>
      </c>
      <c r="B2432" s="1" t="str">
        <f>"一种温室大棚卷帘机组自动限位装置"</f>
        <v>一种温室大棚卷帘机组自动限位装置</v>
      </c>
      <c r="C2432" s="1" t="str">
        <f t="shared" si="1202"/>
        <v>实用新型</v>
      </c>
      <c r="D2432" s="1" t="str">
        <f t="shared" si="1187"/>
        <v>未缴年费专利权终止</v>
      </c>
      <c r="E2432" s="1" t="str">
        <f>"CN202120901325.2"</f>
        <v>CN202120901325.2</v>
      </c>
      <c r="F2432" s="1" t="str">
        <f t="shared" si="1209"/>
        <v>2021-04-28</v>
      </c>
      <c r="G2432" s="1" t="str">
        <f>"CN214801189U"</f>
        <v>CN214801189U</v>
      </c>
      <c r="H2432" s="1" t="str">
        <f>"2021-11-23"</f>
        <v>2021-11-23</v>
      </c>
      <c r="I2432" s="1" t="str">
        <f t="shared" si="1210"/>
        <v>赵全祥</v>
      </c>
      <c r="J2432" s="1" t="str">
        <f t="shared" si="1211"/>
        <v>天津市三元机电设备制造有限公司</v>
      </c>
    </row>
    <row r="2433" spans="1:10">
      <c r="A2433" s="1" t="str">
        <f t="shared" si="1208"/>
        <v>天津市三元机电设备制造有限公司</v>
      </c>
      <c r="B2433" s="1" t="str">
        <f>"一种转筒上拉式卷帘机"</f>
        <v>一种转筒上拉式卷帘机</v>
      </c>
      <c r="C2433" s="1" t="str">
        <f t="shared" si="1202"/>
        <v>实用新型</v>
      </c>
      <c r="D2433" s="1" t="str">
        <f t="shared" si="1187"/>
        <v>未缴年费专利权终止</v>
      </c>
      <c r="E2433" s="1" t="str">
        <f>"CN202120900443.1"</f>
        <v>CN202120900443.1</v>
      </c>
      <c r="F2433" s="1" t="str">
        <f t="shared" si="1209"/>
        <v>2021-04-28</v>
      </c>
      <c r="G2433" s="1" t="str">
        <f>"CN214801188U"</f>
        <v>CN214801188U</v>
      </c>
      <c r="H2433" s="1" t="str">
        <f>"2021-11-23"</f>
        <v>2021-11-23</v>
      </c>
      <c r="I2433" s="1" t="str">
        <f t="shared" si="1210"/>
        <v>赵全祥</v>
      </c>
      <c r="J2433" s="1" t="str">
        <f t="shared" si="1211"/>
        <v>天津市三元机电设备制造有限公司</v>
      </c>
    </row>
    <row r="2434" spans="1:10">
      <c r="A2434" s="1" t="str">
        <f t="shared" si="1208"/>
        <v>天津市三元机电设备制造有限公司</v>
      </c>
      <c r="B2434" s="1" t="str">
        <f>"一种空气电净化设备"</f>
        <v>一种空气电净化设备</v>
      </c>
      <c r="C2434" s="1" t="str">
        <f t="shared" si="1202"/>
        <v>实用新型</v>
      </c>
      <c r="D2434" s="1" t="str">
        <f t="shared" si="1187"/>
        <v>未缴年费专利权终止</v>
      </c>
      <c r="E2434" s="1" t="str">
        <f>"CN201920299126.1"</f>
        <v>CN201920299126.1</v>
      </c>
      <c r="F2434" s="1" t="str">
        <f t="shared" ref="F2434:F2436" si="1212">"2019-03-11"</f>
        <v>2019-03-11</v>
      </c>
      <c r="G2434" s="1" t="str">
        <f>"CN210089006U"</f>
        <v>CN210089006U</v>
      </c>
      <c r="H2434" s="1" t="str">
        <f>"2020-02-18"</f>
        <v>2020-02-18</v>
      </c>
      <c r="I2434" s="1" t="s">
        <v>5165</v>
      </c>
      <c r="J2434" s="1" t="str">
        <f t="shared" si="1211"/>
        <v>天津市三元机电设备制造有限公司</v>
      </c>
    </row>
    <row r="2435" spans="1:10">
      <c r="A2435" s="1" t="str">
        <f t="shared" si="1208"/>
        <v>天津市三元机电设备制造有限公司</v>
      </c>
      <c r="B2435" s="1" t="str">
        <f>"一种室内摆放的空气电净化设备"</f>
        <v>一种室内摆放的空气电净化设备</v>
      </c>
      <c r="C2435" s="1" t="str">
        <f t="shared" si="1202"/>
        <v>实用新型</v>
      </c>
      <c r="D2435" s="1" t="str">
        <f t="shared" si="1187"/>
        <v>未缴年费专利权终止</v>
      </c>
      <c r="E2435" s="1" t="str">
        <f>"CN201920299095.X"</f>
        <v>CN201920299095.X</v>
      </c>
      <c r="F2435" s="1" t="str">
        <f t="shared" si="1212"/>
        <v>2019-03-11</v>
      </c>
      <c r="G2435" s="1" t="str">
        <f>"CN210089005U"</f>
        <v>CN210089005U</v>
      </c>
      <c r="H2435" s="1" t="str">
        <f>"2020-02-18"</f>
        <v>2020-02-18</v>
      </c>
      <c r="I2435" s="1" t="s">
        <v>5165</v>
      </c>
      <c r="J2435" s="1" t="str">
        <f t="shared" si="1211"/>
        <v>天津市三元机电设备制造有限公司</v>
      </c>
    </row>
    <row r="2436" spans="1:10">
      <c r="A2436" s="1" t="str">
        <f t="shared" si="1208"/>
        <v>天津市三元机电设备制造有限公司</v>
      </c>
      <c r="B2436" s="1" t="str">
        <f>"一种带空气检测的空气电净化设备"</f>
        <v>一种带空气检测的空气电净化设备</v>
      </c>
      <c r="C2436" s="1" t="str">
        <f t="shared" si="1202"/>
        <v>实用新型</v>
      </c>
      <c r="D2436" s="1" t="str">
        <f t="shared" si="1187"/>
        <v>未缴年费专利权终止</v>
      </c>
      <c r="E2436" s="1" t="str">
        <f>"CN201920298990.X"</f>
        <v>CN201920298990.X</v>
      </c>
      <c r="F2436" s="1" t="str">
        <f t="shared" si="1212"/>
        <v>2019-03-11</v>
      </c>
      <c r="G2436" s="1" t="str">
        <f>"CN209819755U"</f>
        <v>CN209819755U</v>
      </c>
      <c r="H2436" s="1" t="str">
        <f>"2019-12-20"</f>
        <v>2019-12-20</v>
      </c>
      <c r="I2436" s="1" t="s">
        <v>5165</v>
      </c>
      <c r="J2436" s="1" t="str">
        <f t="shared" si="1211"/>
        <v>天津市三元机电设备制造有限公司</v>
      </c>
    </row>
    <row r="2437" spans="1:10">
      <c r="A2437" s="1" t="str">
        <f t="shared" si="1208"/>
        <v>天津市三元机电设备制造有限公司</v>
      </c>
      <c r="B2437" s="1" t="str">
        <f>"一种带香气的蓝牙空气电净化器"</f>
        <v>一种带香气的蓝牙空气电净化器</v>
      </c>
      <c r="C2437" s="1" t="str">
        <f t="shared" si="1202"/>
        <v>实用新型</v>
      </c>
      <c r="D2437" s="1" t="str">
        <f t="shared" si="1187"/>
        <v>未缴年费专利权终止</v>
      </c>
      <c r="E2437" s="1" t="str">
        <f>"CN201822165004.1"</f>
        <v>CN201822165004.1</v>
      </c>
      <c r="F2437" s="1" t="str">
        <f t="shared" ref="F2437:F2441" si="1213">"2018-12-24"</f>
        <v>2018-12-24</v>
      </c>
      <c r="G2437" s="1" t="str">
        <f>"CN209744580U"</f>
        <v>CN209744580U</v>
      </c>
      <c r="H2437" s="1" t="str">
        <f>"2019-12-06"</f>
        <v>2019-12-06</v>
      </c>
      <c r="I2437" s="1" t="s">
        <v>5165</v>
      </c>
      <c r="J2437" s="1" t="str">
        <f t="shared" si="1211"/>
        <v>天津市三元机电设备制造有限公司</v>
      </c>
    </row>
    <row r="2438" spans="1:10">
      <c r="A2438" s="1" t="str">
        <f t="shared" si="1208"/>
        <v>天津市三元机电设备制造有限公司</v>
      </c>
      <c r="B2438" s="1" t="str">
        <f>"一种畜禽舍用空气净化自动防疫系统装置"</f>
        <v>一种畜禽舍用空气净化自动防疫系统装置</v>
      </c>
      <c r="C2438" s="1" t="str">
        <f t="shared" si="1202"/>
        <v>实用新型</v>
      </c>
      <c r="D2438" s="1" t="str">
        <f t="shared" ref="D2438:D2450" si="1214">"未缴年费专利权终止"</f>
        <v>未缴年费专利权终止</v>
      </c>
      <c r="E2438" s="1" t="str">
        <f>"CN201920084903.0"</f>
        <v>CN201920084903.0</v>
      </c>
      <c r="F2438" s="1" t="str">
        <f>"2019-01-18"</f>
        <v>2019-01-18</v>
      </c>
      <c r="G2438" s="1" t="str">
        <f>"CN209498170U"</f>
        <v>CN209498170U</v>
      </c>
      <c r="H2438" s="1" t="str">
        <f>"2019-10-18"</f>
        <v>2019-10-18</v>
      </c>
      <c r="I2438" s="1" t="s">
        <v>5165</v>
      </c>
      <c r="J2438" s="1" t="str">
        <f t="shared" si="1211"/>
        <v>天津市三元机电设备制造有限公司</v>
      </c>
    </row>
    <row r="2439" spans="1:10">
      <c r="A2439" s="1" t="str">
        <f t="shared" si="1208"/>
        <v>天津市三元机电设备制造有限公司</v>
      </c>
      <c r="B2439" s="1" t="str">
        <f>"一种可调节功率的空气电净化装置"</f>
        <v>一种可调节功率的空气电净化装置</v>
      </c>
      <c r="C2439" s="1" t="str">
        <f t="shared" si="1202"/>
        <v>实用新型</v>
      </c>
      <c r="D2439" s="1" t="str">
        <f t="shared" si="1214"/>
        <v>未缴年费专利权终止</v>
      </c>
      <c r="E2439" s="1" t="str">
        <f>"CN201822165111.4"</f>
        <v>CN201822165111.4</v>
      </c>
      <c r="F2439" s="1" t="str">
        <f t="shared" si="1213"/>
        <v>2018-12-24</v>
      </c>
      <c r="G2439" s="1" t="str">
        <f>"CN209512185U"</f>
        <v>CN209512185U</v>
      </c>
      <c r="H2439" s="1" t="str">
        <f>"2019-10-18"</f>
        <v>2019-10-18</v>
      </c>
      <c r="I2439" s="1" t="s">
        <v>5165</v>
      </c>
      <c r="J2439" s="1" t="str">
        <f t="shared" si="1211"/>
        <v>天津市三元机电设备制造有限公司</v>
      </c>
    </row>
    <row r="2440" spans="1:10">
      <c r="A2440" s="1" t="str">
        <f t="shared" si="1208"/>
        <v>天津市三元机电设备制造有限公司</v>
      </c>
      <c r="B2440" s="1" t="str">
        <f>"一种有定时功能的空气电净化器"</f>
        <v>一种有定时功能的空气电净化器</v>
      </c>
      <c r="C2440" s="1" t="str">
        <f t="shared" si="1202"/>
        <v>实用新型</v>
      </c>
      <c r="D2440" s="1" t="str">
        <f t="shared" si="1214"/>
        <v>未缴年费专利权终止</v>
      </c>
      <c r="E2440" s="1" t="str">
        <f>"CN201822165109.7"</f>
        <v>CN201822165109.7</v>
      </c>
      <c r="F2440" s="1" t="str">
        <f t="shared" si="1213"/>
        <v>2018-12-24</v>
      </c>
      <c r="G2440" s="1" t="str">
        <f>"CN209197043U"</f>
        <v>CN209197043U</v>
      </c>
      <c r="H2440" s="1" t="str">
        <f>"2019-08-02"</f>
        <v>2019-08-02</v>
      </c>
      <c r="I2440" s="1" t="s">
        <v>5165</v>
      </c>
      <c r="J2440" s="1" t="str">
        <f t="shared" si="1211"/>
        <v>天津市三元机电设备制造有限公司</v>
      </c>
    </row>
    <row r="2441" spans="1:10">
      <c r="A2441" s="1" t="str">
        <f t="shared" si="1208"/>
        <v>天津市三元机电设备制造有限公司</v>
      </c>
      <c r="B2441" s="1" t="str">
        <f>"一种空气电净化的净化网框"</f>
        <v>一种空气电净化的净化网框</v>
      </c>
      <c r="C2441" s="1" t="str">
        <f t="shared" si="1202"/>
        <v>实用新型</v>
      </c>
      <c r="D2441" s="1" t="str">
        <f t="shared" si="1214"/>
        <v>未缴年费专利权终止</v>
      </c>
      <c r="E2441" s="1" t="str">
        <f>"CN201822165110.X"</f>
        <v>CN201822165110.X</v>
      </c>
      <c r="F2441" s="1" t="str">
        <f t="shared" si="1213"/>
        <v>2018-12-24</v>
      </c>
      <c r="G2441" s="1" t="str">
        <f>"CN209197044U"</f>
        <v>CN209197044U</v>
      </c>
      <c r="H2441" s="1" t="str">
        <f>"2019-08-02"</f>
        <v>2019-08-02</v>
      </c>
      <c r="I2441" s="1" t="s">
        <v>5165</v>
      </c>
      <c r="J2441" s="1" t="str">
        <f t="shared" si="1211"/>
        <v>天津市三元机电设备制造有限公司</v>
      </c>
    </row>
    <row r="2442" spans="1:10">
      <c r="A2442" s="1" t="str">
        <f t="shared" si="1208"/>
        <v>天津市三元机电设备制造有限公司</v>
      </c>
      <c r="B2442" s="1" t="str">
        <f>"一种日光温室卷帘机的自锁装置"</f>
        <v>一种日光温室卷帘机的自锁装置</v>
      </c>
      <c r="C2442" s="1" t="str">
        <f t="shared" si="1202"/>
        <v>实用新型</v>
      </c>
      <c r="D2442" s="1" t="str">
        <f t="shared" si="1214"/>
        <v>未缴年费专利权终止</v>
      </c>
      <c r="E2442" s="1" t="str">
        <f>"CN201820559955.4"</f>
        <v>CN201820559955.4</v>
      </c>
      <c r="F2442" s="1" t="str">
        <f t="shared" ref="F2442:F2450" si="1215">"2018-04-19"</f>
        <v>2018-04-19</v>
      </c>
      <c r="G2442" s="1" t="str">
        <f>"CN208549424U"</f>
        <v>CN208549424U</v>
      </c>
      <c r="H2442" s="1" t="str">
        <f>"2019-03-01"</f>
        <v>2019-03-01</v>
      </c>
      <c r="I2442" s="1" t="s">
        <v>5165</v>
      </c>
      <c r="J2442" s="1" t="str">
        <f t="shared" si="1211"/>
        <v>天津市三元机电设备制造有限公司</v>
      </c>
    </row>
    <row r="2443" spans="1:10">
      <c r="A2443" s="1" t="str">
        <f t="shared" si="1208"/>
        <v>天津市三元机电设备制造有限公司</v>
      </c>
      <c r="B2443" s="1" t="str">
        <f>"一种带水冷却装置的低温冷水机组"</f>
        <v>一种带水冷却装置的低温冷水机组</v>
      </c>
      <c r="C2443" s="1" t="str">
        <f t="shared" si="1202"/>
        <v>实用新型</v>
      </c>
      <c r="D2443" s="1" t="str">
        <f t="shared" si="1214"/>
        <v>未缴年费专利权终止</v>
      </c>
      <c r="E2443" s="1" t="str">
        <f>"CN201820585508.6"</f>
        <v>CN201820585508.6</v>
      </c>
      <c r="F2443" s="1" t="str">
        <f t="shared" si="1215"/>
        <v>2018-04-19</v>
      </c>
      <c r="G2443" s="1" t="str">
        <f>"CN208475728U"</f>
        <v>CN208475728U</v>
      </c>
      <c r="H2443" s="1" t="str">
        <f>"2019-02-05"</f>
        <v>2019-02-05</v>
      </c>
      <c r="I2443" s="1" t="s">
        <v>5165</v>
      </c>
      <c r="J2443" s="1" t="str">
        <f t="shared" si="1211"/>
        <v>天津市三元机电设备制造有限公司</v>
      </c>
    </row>
    <row r="2444" spans="1:10">
      <c r="A2444" s="1" t="str">
        <f t="shared" si="1208"/>
        <v>天津市三元机电设备制造有限公司</v>
      </c>
      <c r="B2444" s="1" t="str">
        <f>"一种空气电净化设备的空气滤芯组件"</f>
        <v>一种空气电净化设备的空气滤芯组件</v>
      </c>
      <c r="C2444" s="1" t="str">
        <f t="shared" si="1202"/>
        <v>实用新型</v>
      </c>
      <c r="D2444" s="1" t="str">
        <f t="shared" si="1214"/>
        <v>未缴年费专利权终止</v>
      </c>
      <c r="E2444" s="1" t="str">
        <f>"CN201820585524.5"</f>
        <v>CN201820585524.5</v>
      </c>
      <c r="F2444" s="1" t="str">
        <f t="shared" si="1215"/>
        <v>2018-04-19</v>
      </c>
      <c r="G2444" s="1" t="str">
        <f>"CN208287670U"</f>
        <v>CN208287670U</v>
      </c>
      <c r="H2444" s="1" t="str">
        <f>"2018-12-28"</f>
        <v>2018-12-28</v>
      </c>
      <c r="I2444" s="1" t="s">
        <v>5165</v>
      </c>
      <c r="J2444" s="1" t="str">
        <f t="shared" si="1211"/>
        <v>天津市三元机电设备制造有限公司</v>
      </c>
    </row>
    <row r="2445" spans="1:10">
      <c r="A2445" s="1" t="str">
        <f t="shared" si="1208"/>
        <v>天津市三元机电设备制造有限公司</v>
      </c>
      <c r="B2445" s="1" t="str">
        <f>"一种日光温室卷帘机的两级齿轮不定轴传动机构"</f>
        <v>一种日光温室卷帘机的两级齿轮不定轴传动机构</v>
      </c>
      <c r="C2445" s="1" t="str">
        <f t="shared" si="1202"/>
        <v>实用新型</v>
      </c>
      <c r="D2445" s="1" t="str">
        <f t="shared" si="1214"/>
        <v>未缴年费专利权终止</v>
      </c>
      <c r="E2445" s="1" t="str">
        <f>"CN201820585545.7"</f>
        <v>CN201820585545.7</v>
      </c>
      <c r="F2445" s="1" t="str">
        <f t="shared" si="1215"/>
        <v>2018-04-19</v>
      </c>
      <c r="G2445" s="1" t="str">
        <f>"CN208113526U"</f>
        <v>CN208113526U</v>
      </c>
      <c r="H2445" s="1" t="str">
        <f t="shared" ref="H2445:H2447" si="1216">"2018-11-20"</f>
        <v>2018-11-20</v>
      </c>
      <c r="I2445" s="1" t="s">
        <v>5165</v>
      </c>
      <c r="J2445" s="1" t="str">
        <f t="shared" si="1211"/>
        <v>天津市三元机电设备制造有限公司</v>
      </c>
    </row>
    <row r="2446" spans="1:10">
      <c r="A2446" s="1" t="str">
        <f t="shared" si="1208"/>
        <v>天津市三元机电设备制造有限公司</v>
      </c>
      <c r="B2446" s="1" t="str">
        <f>"一种全自动智能操控电水一体空调加温热风机组"</f>
        <v>一种全自动智能操控电水一体空调加温热风机组</v>
      </c>
      <c r="C2446" s="1" t="str">
        <f t="shared" si="1202"/>
        <v>实用新型</v>
      </c>
      <c r="D2446" s="1" t="str">
        <f t="shared" si="1214"/>
        <v>未缴年费专利权终止</v>
      </c>
      <c r="E2446" s="1" t="str">
        <f>"CN201820585544.2"</f>
        <v>CN201820585544.2</v>
      </c>
      <c r="F2446" s="1" t="str">
        <f t="shared" si="1215"/>
        <v>2018-04-19</v>
      </c>
      <c r="G2446" s="1" t="str">
        <f>"CN208124531U"</f>
        <v>CN208124531U</v>
      </c>
      <c r="H2446" s="1" t="str">
        <f t="shared" si="1216"/>
        <v>2018-11-20</v>
      </c>
      <c r="I2446" s="1" t="s">
        <v>5165</v>
      </c>
      <c r="J2446" s="1" t="str">
        <f t="shared" si="1211"/>
        <v>天津市三元机电设备制造有限公司</v>
      </c>
    </row>
    <row r="2447" spans="1:10">
      <c r="A2447" s="1" t="str">
        <f t="shared" si="1208"/>
        <v>天津市三元机电设备制造有限公司</v>
      </c>
      <c r="B2447" s="1" t="str">
        <f>"一种用于畜禽舍的空气电净化设备"</f>
        <v>一种用于畜禽舍的空气电净化设备</v>
      </c>
      <c r="C2447" s="1" t="str">
        <f t="shared" si="1202"/>
        <v>实用新型</v>
      </c>
      <c r="D2447" s="1" t="str">
        <f t="shared" si="1214"/>
        <v>未缴年费专利权终止</v>
      </c>
      <c r="E2447" s="1" t="str">
        <f>"CN201820560048.1"</f>
        <v>CN201820560048.1</v>
      </c>
      <c r="F2447" s="1" t="str">
        <f t="shared" si="1215"/>
        <v>2018-04-19</v>
      </c>
      <c r="G2447" s="1" t="str">
        <f>"CN208124480U"</f>
        <v>CN208124480U</v>
      </c>
      <c r="H2447" s="1" t="str">
        <f t="shared" si="1216"/>
        <v>2018-11-20</v>
      </c>
      <c r="I2447" s="1" t="s">
        <v>5165</v>
      </c>
      <c r="J2447" s="1" t="str">
        <f t="shared" si="1211"/>
        <v>天津市三元机电设备制造有限公司</v>
      </c>
    </row>
    <row r="2448" spans="1:10">
      <c r="A2448" s="1" t="str">
        <f t="shared" si="1208"/>
        <v>天津市三元机电设备制造有限公司</v>
      </c>
      <c r="B2448" s="1" t="str">
        <f>"一种空气电净化设备的粉尘脱除装置"</f>
        <v>一种空气电净化设备的粉尘脱除装置</v>
      </c>
      <c r="C2448" s="1" t="str">
        <f t="shared" si="1202"/>
        <v>实用新型</v>
      </c>
      <c r="D2448" s="1" t="str">
        <f t="shared" si="1214"/>
        <v>未缴年费专利权终止</v>
      </c>
      <c r="E2448" s="1" t="str">
        <f>"CN201820585510.3"</f>
        <v>CN201820585510.3</v>
      </c>
      <c r="F2448" s="1" t="str">
        <f t="shared" si="1215"/>
        <v>2018-04-19</v>
      </c>
      <c r="G2448" s="1" t="str">
        <f>"CN207981426U"</f>
        <v>CN207981426U</v>
      </c>
      <c r="H2448" s="1" t="str">
        <f>"2018-10-19"</f>
        <v>2018-10-19</v>
      </c>
      <c r="I2448" s="1" t="s">
        <v>5165</v>
      </c>
      <c r="J2448" s="1" t="str">
        <f t="shared" si="1211"/>
        <v>天津市三元机电设备制造有限公司</v>
      </c>
    </row>
    <row r="2449" spans="1:10">
      <c r="A2449" s="1" t="str">
        <f t="shared" si="1208"/>
        <v>天津市三元机电设备制造有限公司</v>
      </c>
      <c r="B2449" s="1" t="str">
        <f>"一种空气电净化设备的吸附通道结构"</f>
        <v>一种空气电净化设备的吸附通道结构</v>
      </c>
      <c r="C2449" s="1" t="str">
        <f t="shared" si="1202"/>
        <v>实用新型</v>
      </c>
      <c r="D2449" s="1" t="str">
        <f t="shared" si="1214"/>
        <v>未缴年费专利权终止</v>
      </c>
      <c r="E2449" s="1" t="str">
        <f>"CN201820585525.X"</f>
        <v>CN201820585525.X</v>
      </c>
      <c r="F2449" s="1" t="str">
        <f t="shared" si="1215"/>
        <v>2018-04-19</v>
      </c>
      <c r="G2449" s="1" t="str">
        <f>"CN207899586U"</f>
        <v>CN207899586U</v>
      </c>
      <c r="H2449" s="1" t="str">
        <f>"2018-09-25"</f>
        <v>2018-09-25</v>
      </c>
      <c r="I2449" s="1" t="s">
        <v>5165</v>
      </c>
      <c r="J2449" s="1" t="str">
        <f t="shared" si="1211"/>
        <v>天津市三元机电设备制造有限公司</v>
      </c>
    </row>
    <row r="2450" spans="1:10">
      <c r="A2450" s="1" t="str">
        <f t="shared" si="1208"/>
        <v>天津市三元机电设备制造有限公司</v>
      </c>
      <c r="B2450" s="1" t="str">
        <f>"一种空气电净化设备的高压通风绝缘过滤装置"</f>
        <v>一种空气电净化设备的高压通风绝缘过滤装置</v>
      </c>
      <c r="C2450" s="1" t="str">
        <f t="shared" si="1202"/>
        <v>实用新型</v>
      </c>
      <c r="D2450" s="1" t="str">
        <f t="shared" si="1214"/>
        <v>未缴年费专利权终止</v>
      </c>
      <c r="E2450" s="1" t="str">
        <f>"CN201820585522.6"</f>
        <v>CN201820585522.6</v>
      </c>
      <c r="F2450" s="1" t="str">
        <f t="shared" si="1215"/>
        <v>2018-04-19</v>
      </c>
      <c r="G2450" s="1" t="str">
        <f>"CN207805809U"</f>
        <v>CN207805809U</v>
      </c>
      <c r="H2450" s="1" t="str">
        <f>"2018-09-04"</f>
        <v>2018-09-04</v>
      </c>
      <c r="I2450" s="1" t="s">
        <v>5165</v>
      </c>
      <c r="J2450" s="1" t="str">
        <f t="shared" si="1211"/>
        <v>天津市三元机电设备制造有限公司</v>
      </c>
    </row>
    <row r="2451" spans="1:10">
      <c r="A2451" s="1" t="str">
        <f t="shared" si="1208"/>
        <v>天津市三元机电设备制造有限公司</v>
      </c>
      <c r="B2451" s="1" t="str">
        <f>"带有压力差速摩擦制动机构的日光温室卷帘机"</f>
        <v>带有压力差速摩擦制动机构的日光温室卷帘机</v>
      </c>
      <c r="C2451" s="1" t="str">
        <f>"发明授权"</f>
        <v>发明授权</v>
      </c>
      <c r="D2451" s="1" t="str">
        <f>"授权"</f>
        <v>授权</v>
      </c>
      <c r="E2451" s="1" t="str">
        <f>"CN201310534630.2"</f>
        <v>CN201310534630.2</v>
      </c>
      <c r="F2451" s="1" t="str">
        <f>"2013-10-31"</f>
        <v>2013-10-31</v>
      </c>
      <c r="G2451" s="1" t="str">
        <f>"CN103548623B"</f>
        <v>CN103548623B</v>
      </c>
      <c r="H2451" s="1" t="str">
        <f>"2015-08-19"</f>
        <v>2015-08-19</v>
      </c>
      <c r="I2451" s="1" t="s">
        <v>5166</v>
      </c>
      <c r="J2451" s="1" t="str">
        <f t="shared" si="1211"/>
        <v>天津市三元机电设备制造有限公司</v>
      </c>
    </row>
    <row r="2452" spans="1:10">
      <c r="A2452" s="1" t="str">
        <f t="shared" ref="A2452:A2465" si="1217">"天津市福恒电机有限公司"</f>
        <v>天津市福恒电机有限公司</v>
      </c>
      <c r="B2452" s="1" t="str">
        <f>"一种工业电机部件加工用打磨装置"</f>
        <v>一种工业电机部件加工用打磨装置</v>
      </c>
      <c r="C2452" s="1" t="str">
        <f t="shared" ref="C2452:C2476" si="1218">"实用新型"</f>
        <v>实用新型</v>
      </c>
      <c r="D2452" s="1" t="str">
        <f t="shared" ref="D2452:D2476" si="1219">"未缴年费专利权终止"</f>
        <v>未缴年费专利权终止</v>
      </c>
      <c r="E2452" s="1" t="str">
        <f>"CN201820868656.9"</f>
        <v>CN201820868656.9</v>
      </c>
      <c r="F2452" s="1" t="str">
        <f>"2018-06-06"</f>
        <v>2018-06-06</v>
      </c>
      <c r="G2452" s="1" t="str">
        <f>"CN208811879U"</f>
        <v>CN208811879U</v>
      </c>
      <c r="H2452" s="1" t="str">
        <f>"2019-05-03"</f>
        <v>2019-05-03</v>
      </c>
      <c r="I2452" s="1" t="str">
        <f t="shared" ref="I2452:I2465" si="1220">"杜勇"</f>
        <v>杜勇</v>
      </c>
      <c r="J2452" s="1" t="str">
        <f t="shared" ref="J2452:J2465" si="1221">"天津市福恒电机有限公司"</f>
        <v>天津市福恒电机有限公司</v>
      </c>
    </row>
    <row r="2453" spans="1:10">
      <c r="A2453" s="1" t="str">
        <f t="shared" si="1217"/>
        <v>天津市福恒电机有限公司</v>
      </c>
      <c r="B2453" s="1" t="str">
        <f>"一种电机部件加工用钻孔抛光机"</f>
        <v>一种电机部件加工用钻孔抛光机</v>
      </c>
      <c r="C2453" s="1" t="str">
        <f t="shared" si="1218"/>
        <v>实用新型</v>
      </c>
      <c r="D2453" s="1" t="str">
        <f t="shared" si="1219"/>
        <v>未缴年费专利权终止</v>
      </c>
      <c r="E2453" s="1" t="str">
        <f>"CN201820839864.6"</f>
        <v>CN201820839864.6</v>
      </c>
      <c r="F2453" s="1" t="str">
        <f>"2018-06-01"</f>
        <v>2018-06-01</v>
      </c>
      <c r="G2453" s="1" t="str">
        <f>"CN208744478U"</f>
        <v>CN208744478U</v>
      </c>
      <c r="H2453" s="1" t="str">
        <f t="shared" ref="H2453:H2455" si="1222">"2019-04-16"</f>
        <v>2019-04-16</v>
      </c>
      <c r="I2453" s="1" t="str">
        <f t="shared" si="1220"/>
        <v>杜勇</v>
      </c>
      <c r="J2453" s="1" t="str">
        <f t="shared" si="1221"/>
        <v>天津市福恒电机有限公司</v>
      </c>
    </row>
    <row r="2454" spans="1:10">
      <c r="A2454" s="1" t="str">
        <f t="shared" si="1217"/>
        <v>天津市福恒电机有限公司</v>
      </c>
      <c r="B2454" s="1" t="str">
        <f>"一种电机定子加工用吊具"</f>
        <v>一种电机定子加工用吊具</v>
      </c>
      <c r="C2454" s="1" t="str">
        <f t="shared" si="1218"/>
        <v>实用新型</v>
      </c>
      <c r="D2454" s="1" t="str">
        <f t="shared" si="1219"/>
        <v>未缴年费专利权终止</v>
      </c>
      <c r="E2454" s="1" t="str">
        <f>"CN201820851327.3"</f>
        <v>CN201820851327.3</v>
      </c>
      <c r="F2454" s="1" t="str">
        <f>"2018-06-04"</f>
        <v>2018-06-04</v>
      </c>
      <c r="G2454" s="1" t="str">
        <f>"CN208747493U"</f>
        <v>CN208747493U</v>
      </c>
      <c r="H2454" s="1" t="str">
        <f t="shared" si="1222"/>
        <v>2019-04-16</v>
      </c>
      <c r="I2454" s="1" t="str">
        <f t="shared" si="1220"/>
        <v>杜勇</v>
      </c>
      <c r="J2454" s="1" t="str">
        <f t="shared" si="1221"/>
        <v>天津市福恒电机有限公司</v>
      </c>
    </row>
    <row r="2455" spans="1:10">
      <c r="A2455" s="1" t="str">
        <f t="shared" si="1217"/>
        <v>天津市福恒电机有限公司</v>
      </c>
      <c r="B2455" s="1" t="str">
        <f>"一种工业电机部件加工用固定装置"</f>
        <v>一种工业电机部件加工用固定装置</v>
      </c>
      <c r="C2455" s="1" t="str">
        <f t="shared" si="1218"/>
        <v>实用新型</v>
      </c>
      <c r="D2455" s="1" t="str">
        <f t="shared" si="1219"/>
        <v>未缴年费专利权终止</v>
      </c>
      <c r="E2455" s="1" t="str">
        <f>"CN201820868405.0"</f>
        <v>CN201820868405.0</v>
      </c>
      <c r="F2455" s="1" t="str">
        <f>"2018-06-06"</f>
        <v>2018-06-06</v>
      </c>
      <c r="G2455" s="1" t="str">
        <f>"CN208744273U"</f>
        <v>CN208744273U</v>
      </c>
      <c r="H2455" s="1" t="str">
        <f t="shared" si="1222"/>
        <v>2019-04-16</v>
      </c>
      <c r="I2455" s="1" t="str">
        <f t="shared" si="1220"/>
        <v>杜勇</v>
      </c>
      <c r="J2455" s="1" t="str">
        <f t="shared" si="1221"/>
        <v>天津市福恒电机有限公司</v>
      </c>
    </row>
    <row r="2456" spans="1:10">
      <c r="A2456" s="1" t="str">
        <f t="shared" si="1217"/>
        <v>天津市福恒电机有限公司</v>
      </c>
      <c r="B2456" s="1" t="str">
        <f>"一种电机部件加工用焊接装置"</f>
        <v>一种电机部件加工用焊接装置</v>
      </c>
      <c r="C2456" s="1" t="str">
        <f t="shared" si="1218"/>
        <v>实用新型</v>
      </c>
      <c r="D2456" s="1" t="str">
        <f t="shared" si="1219"/>
        <v>未缴年费专利权终止</v>
      </c>
      <c r="E2456" s="1" t="str">
        <f>"CN201820839865.0"</f>
        <v>CN201820839865.0</v>
      </c>
      <c r="F2456" s="1" t="str">
        <f>"2018-06-01"</f>
        <v>2018-06-01</v>
      </c>
      <c r="G2456" s="1" t="str">
        <f>"CN208467547U"</f>
        <v>CN208467547U</v>
      </c>
      <c r="H2456" s="1" t="str">
        <f t="shared" ref="H2456:H2465" si="1223">"2019-02-05"</f>
        <v>2019-02-05</v>
      </c>
      <c r="I2456" s="1" t="str">
        <f t="shared" si="1220"/>
        <v>杜勇</v>
      </c>
      <c r="J2456" s="1" t="str">
        <f t="shared" si="1221"/>
        <v>天津市福恒电机有限公司</v>
      </c>
    </row>
    <row r="2457" spans="1:10">
      <c r="A2457" s="1" t="str">
        <f t="shared" si="1217"/>
        <v>天津市福恒电机有限公司</v>
      </c>
      <c r="B2457" s="1" t="str">
        <f>"一种电机定子加工用工作台"</f>
        <v>一种电机定子加工用工作台</v>
      </c>
      <c r="C2457" s="1" t="str">
        <f t="shared" si="1218"/>
        <v>实用新型</v>
      </c>
      <c r="D2457" s="1" t="str">
        <f t="shared" si="1219"/>
        <v>未缴年费专利权终止</v>
      </c>
      <c r="E2457" s="1" t="str">
        <f>"CN201820851326.9"</f>
        <v>CN201820851326.9</v>
      </c>
      <c r="F2457" s="1" t="str">
        <f>"2018-06-04"</f>
        <v>2018-06-04</v>
      </c>
      <c r="G2457" s="1" t="str">
        <f>"CN208479417U"</f>
        <v>CN208479417U</v>
      </c>
      <c r="H2457" s="1" t="str">
        <f t="shared" si="1223"/>
        <v>2019-02-05</v>
      </c>
      <c r="I2457" s="1" t="str">
        <f t="shared" si="1220"/>
        <v>杜勇</v>
      </c>
      <c r="J2457" s="1" t="str">
        <f t="shared" si="1221"/>
        <v>天津市福恒电机有限公司</v>
      </c>
    </row>
    <row r="2458" spans="1:10">
      <c r="A2458" s="1" t="str">
        <f t="shared" si="1217"/>
        <v>天津市福恒电机有限公司</v>
      </c>
      <c r="B2458" s="1" t="str">
        <f>"一种便于安装的家用电器"</f>
        <v>一种便于安装的家用电器</v>
      </c>
      <c r="C2458" s="1" t="str">
        <f t="shared" si="1218"/>
        <v>实用新型</v>
      </c>
      <c r="D2458" s="1" t="str">
        <f t="shared" si="1219"/>
        <v>未缴年费专利权终止</v>
      </c>
      <c r="E2458" s="1" t="str">
        <f>"CN201820833147.2"</f>
        <v>CN201820833147.2</v>
      </c>
      <c r="F2458" s="1" t="str">
        <f>"2018-05-31"</f>
        <v>2018-05-31</v>
      </c>
      <c r="G2458" s="1" t="str">
        <f>"CN208480098U"</f>
        <v>CN208480098U</v>
      </c>
      <c r="H2458" s="1" t="str">
        <f t="shared" si="1223"/>
        <v>2019-02-05</v>
      </c>
      <c r="I2458" s="1" t="str">
        <f t="shared" si="1220"/>
        <v>杜勇</v>
      </c>
      <c r="J2458" s="1" t="str">
        <f t="shared" si="1221"/>
        <v>天津市福恒电机有限公司</v>
      </c>
    </row>
    <row r="2459" spans="1:10">
      <c r="A2459" s="1" t="str">
        <f t="shared" si="1217"/>
        <v>天津市福恒电机有限公司</v>
      </c>
      <c r="B2459" s="1" t="str">
        <f>"一种螺杆电机推力装置"</f>
        <v>一种螺杆电机推力装置</v>
      </c>
      <c r="C2459" s="1" t="str">
        <f t="shared" si="1218"/>
        <v>实用新型</v>
      </c>
      <c r="D2459" s="1" t="str">
        <f t="shared" si="1219"/>
        <v>未缴年费专利权终止</v>
      </c>
      <c r="E2459" s="1" t="str">
        <f>"CN201820885741.6"</f>
        <v>CN201820885741.6</v>
      </c>
      <c r="F2459" s="1" t="str">
        <f>"2018-06-07"</f>
        <v>2018-06-07</v>
      </c>
      <c r="G2459" s="1" t="str">
        <f>"CN208476445U"</f>
        <v>CN208476445U</v>
      </c>
      <c r="H2459" s="1" t="str">
        <f t="shared" si="1223"/>
        <v>2019-02-05</v>
      </c>
      <c r="I2459" s="1" t="str">
        <f t="shared" si="1220"/>
        <v>杜勇</v>
      </c>
      <c r="J2459" s="1" t="str">
        <f t="shared" si="1221"/>
        <v>天津市福恒电机有限公司</v>
      </c>
    </row>
    <row r="2460" spans="1:10">
      <c r="A2460" s="1" t="str">
        <f t="shared" si="1217"/>
        <v>天津市福恒电机有限公司</v>
      </c>
      <c r="B2460" s="1" t="str">
        <f>"一种铝合金三项专用电机定转子加工用钻孔装置"</f>
        <v>一种铝合金三项专用电机定转子加工用钻孔装置</v>
      </c>
      <c r="C2460" s="1" t="str">
        <f t="shared" si="1218"/>
        <v>实用新型</v>
      </c>
      <c r="D2460" s="1" t="str">
        <f t="shared" si="1219"/>
        <v>未缴年费专利权终止</v>
      </c>
      <c r="E2460" s="1" t="str">
        <f>"CN201820885081.1"</f>
        <v>CN201820885081.1</v>
      </c>
      <c r="F2460" s="1" t="str">
        <f>"2018-06-08"</f>
        <v>2018-06-08</v>
      </c>
      <c r="G2460" s="1" t="str">
        <f>"CN208467330U"</f>
        <v>CN208467330U</v>
      </c>
      <c r="H2460" s="1" t="str">
        <f t="shared" si="1223"/>
        <v>2019-02-05</v>
      </c>
      <c r="I2460" s="1" t="str">
        <f t="shared" si="1220"/>
        <v>杜勇</v>
      </c>
      <c r="J2460" s="1" t="str">
        <f t="shared" si="1221"/>
        <v>天津市福恒电机有限公司</v>
      </c>
    </row>
    <row r="2461" spans="1:10">
      <c r="A2461" s="1" t="str">
        <f t="shared" si="1217"/>
        <v>天津市福恒电机有限公司</v>
      </c>
      <c r="B2461" s="1" t="str">
        <f>"一种高端起重机电机搬运装置"</f>
        <v>一种高端起重机电机搬运装置</v>
      </c>
      <c r="C2461" s="1" t="str">
        <f t="shared" si="1218"/>
        <v>实用新型</v>
      </c>
      <c r="D2461" s="1" t="str">
        <f t="shared" si="1219"/>
        <v>未缴年费专利权终止</v>
      </c>
      <c r="E2461" s="1" t="str">
        <f>"CN201820861449.0"</f>
        <v>CN201820861449.0</v>
      </c>
      <c r="F2461" s="1" t="str">
        <f>"2018-06-05"</f>
        <v>2018-06-05</v>
      </c>
      <c r="G2461" s="1" t="str">
        <f>"CN208471407U"</f>
        <v>CN208471407U</v>
      </c>
      <c r="H2461" s="1" t="str">
        <f t="shared" si="1223"/>
        <v>2019-02-05</v>
      </c>
      <c r="I2461" s="1" t="str">
        <f t="shared" si="1220"/>
        <v>杜勇</v>
      </c>
      <c r="J2461" s="1" t="str">
        <f t="shared" si="1221"/>
        <v>天津市福恒电机有限公司</v>
      </c>
    </row>
    <row r="2462" spans="1:10">
      <c r="A2462" s="1" t="str">
        <f t="shared" si="1217"/>
        <v>天津市福恒电机有限公司</v>
      </c>
      <c r="B2462" s="1" t="str">
        <f>"一种工业电机部件加工用切割装置"</f>
        <v>一种工业电机部件加工用切割装置</v>
      </c>
      <c r="C2462" s="1" t="str">
        <f t="shared" si="1218"/>
        <v>实用新型</v>
      </c>
      <c r="D2462" s="1" t="str">
        <f t="shared" si="1219"/>
        <v>未缴年费专利权终止</v>
      </c>
      <c r="E2462" s="1" t="str">
        <f>"CN201820874300.6"</f>
        <v>CN201820874300.6</v>
      </c>
      <c r="F2462" s="1" t="str">
        <f>"2018-06-07"</f>
        <v>2018-06-07</v>
      </c>
      <c r="G2462" s="1" t="str">
        <f>"CN208467378U"</f>
        <v>CN208467378U</v>
      </c>
      <c r="H2462" s="1" t="str">
        <f t="shared" si="1223"/>
        <v>2019-02-05</v>
      </c>
      <c r="I2462" s="1" t="str">
        <f t="shared" si="1220"/>
        <v>杜勇</v>
      </c>
      <c r="J2462" s="1" t="str">
        <f t="shared" si="1221"/>
        <v>天津市福恒电机有限公司</v>
      </c>
    </row>
    <row r="2463" spans="1:10">
      <c r="A2463" s="1" t="str">
        <f t="shared" si="1217"/>
        <v>天津市福恒电机有限公司</v>
      </c>
      <c r="B2463" s="1" t="str">
        <f>"一种高效传动通用类减速电机"</f>
        <v>一种高效传动通用类减速电机</v>
      </c>
      <c r="C2463" s="1" t="str">
        <f t="shared" si="1218"/>
        <v>实用新型</v>
      </c>
      <c r="D2463" s="1" t="str">
        <f t="shared" si="1219"/>
        <v>未缴年费专利权终止</v>
      </c>
      <c r="E2463" s="1" t="str">
        <f>"CN201820862202.0"</f>
        <v>CN201820862202.0</v>
      </c>
      <c r="F2463" s="1" t="str">
        <f>"2018-06-05"</f>
        <v>2018-06-05</v>
      </c>
      <c r="G2463" s="1" t="str">
        <f>"CN208479378U"</f>
        <v>CN208479378U</v>
      </c>
      <c r="H2463" s="1" t="str">
        <f t="shared" si="1223"/>
        <v>2019-02-05</v>
      </c>
      <c r="I2463" s="1" t="str">
        <f t="shared" si="1220"/>
        <v>杜勇</v>
      </c>
      <c r="J2463" s="1" t="str">
        <f t="shared" si="1221"/>
        <v>天津市福恒电机有限公司</v>
      </c>
    </row>
    <row r="2464" spans="1:10">
      <c r="A2464" s="1" t="str">
        <f t="shared" si="1217"/>
        <v>天津市福恒电机有限公司</v>
      </c>
      <c r="B2464" s="1" t="str">
        <f>"一种起重机电机定子加工用夹持装置"</f>
        <v>一种起重机电机定子加工用夹持装置</v>
      </c>
      <c r="C2464" s="1" t="str">
        <f t="shared" si="1218"/>
        <v>实用新型</v>
      </c>
      <c r="D2464" s="1" t="str">
        <f t="shared" si="1219"/>
        <v>未缴年费专利权终止</v>
      </c>
      <c r="E2464" s="1" t="str">
        <f>"CN201820884309.5"</f>
        <v>CN201820884309.5</v>
      </c>
      <c r="F2464" s="1" t="str">
        <f>"2018-06-08"</f>
        <v>2018-06-08</v>
      </c>
      <c r="G2464" s="1" t="str">
        <f>"CN208479419U"</f>
        <v>CN208479419U</v>
      </c>
      <c r="H2464" s="1" t="str">
        <f t="shared" si="1223"/>
        <v>2019-02-05</v>
      </c>
      <c r="I2464" s="1" t="str">
        <f t="shared" si="1220"/>
        <v>杜勇</v>
      </c>
      <c r="J2464" s="1" t="str">
        <f t="shared" si="1221"/>
        <v>天津市福恒电机有限公司</v>
      </c>
    </row>
    <row r="2465" spans="1:10">
      <c r="A2465" s="1" t="str">
        <f t="shared" si="1217"/>
        <v>天津市福恒电机有限公司</v>
      </c>
      <c r="B2465" s="1" t="str">
        <f>"一种便于固定的新能源汽车电机"</f>
        <v>一种便于固定的新能源汽车电机</v>
      </c>
      <c r="C2465" s="1" t="str">
        <f t="shared" si="1218"/>
        <v>实用新型</v>
      </c>
      <c r="D2465" s="1" t="str">
        <f t="shared" si="1219"/>
        <v>未缴年费专利权终止</v>
      </c>
      <c r="E2465" s="1" t="str">
        <f>"CN201820833125.6"</f>
        <v>CN201820833125.6</v>
      </c>
      <c r="F2465" s="1" t="str">
        <f>"2018-11-08"</f>
        <v>2018-11-08</v>
      </c>
      <c r="G2465" s="1" t="str">
        <f>"CN208479322U"</f>
        <v>CN208479322U</v>
      </c>
      <c r="H2465" s="1" t="str">
        <f t="shared" si="1223"/>
        <v>2019-02-05</v>
      </c>
      <c r="I2465" s="1" t="str">
        <f t="shared" si="1220"/>
        <v>杜勇</v>
      </c>
      <c r="J2465" s="1" t="str">
        <f t="shared" si="1221"/>
        <v>天津市福恒电机有限公司</v>
      </c>
    </row>
    <row r="2466" spans="1:10">
      <c r="A2466" s="1" t="str">
        <f>"天津申圣电器制造有限公司"</f>
        <v>天津申圣电器制造有限公司</v>
      </c>
      <c r="B2466" s="1" t="str">
        <f>"一种压缩机平衡块"</f>
        <v>一种压缩机平衡块</v>
      </c>
      <c r="C2466" s="1" t="str">
        <f t="shared" si="1218"/>
        <v>实用新型</v>
      </c>
      <c r="D2466" s="1" t="str">
        <f t="shared" si="1219"/>
        <v>未缴年费专利权终止</v>
      </c>
      <c r="E2466" s="1" t="str">
        <f>"CN201220104973.6"</f>
        <v>CN201220104973.6</v>
      </c>
      <c r="F2466" s="1" t="str">
        <f>"2012-03-20"</f>
        <v>2012-03-20</v>
      </c>
      <c r="G2466" s="1" t="str">
        <f>"CN202612110U"</f>
        <v>CN202612110U</v>
      </c>
      <c r="H2466" s="1" t="str">
        <f>"2012-12-19"</f>
        <v>2012-12-19</v>
      </c>
      <c r="I2466" s="1" t="s">
        <v>5167</v>
      </c>
      <c r="J2466" s="1" t="str">
        <f>"天津申圣电器制造有限公司"</f>
        <v>天津申圣电器制造有限公司</v>
      </c>
    </row>
    <row r="2467" spans="1:10">
      <c r="A2467" s="1" t="str">
        <f>"天津浦莱多机电有限公司"</f>
        <v>天津浦莱多机电有限公司</v>
      </c>
      <c r="B2467" s="1" t="str">
        <f>"一种具有阶梯状气隙的异步电动机"</f>
        <v>一种具有阶梯状气隙的异步电动机</v>
      </c>
      <c r="C2467" s="1" t="str">
        <f t="shared" si="1218"/>
        <v>实用新型</v>
      </c>
      <c r="D2467" s="1" t="str">
        <f t="shared" si="1219"/>
        <v>未缴年费专利权终止</v>
      </c>
      <c r="E2467" s="1" t="str">
        <f>"CN201720502332.9"</f>
        <v>CN201720502332.9</v>
      </c>
      <c r="F2467" s="1" t="str">
        <f>"2017-05-08"</f>
        <v>2017-05-08</v>
      </c>
      <c r="G2467" s="1" t="str">
        <f>"CN207053350U"</f>
        <v>CN207053350U</v>
      </c>
      <c r="H2467" s="1" t="str">
        <f>"2018-02-27"</f>
        <v>2018-02-27</v>
      </c>
      <c r="I2467" s="1" t="str">
        <f>"吴越"</f>
        <v>吴越</v>
      </c>
      <c r="J2467" s="1" t="str">
        <f>"天津浦莱多机电有限公司"</f>
        <v>天津浦莱多机电有限公司</v>
      </c>
    </row>
    <row r="2468" spans="1:10">
      <c r="A2468" s="1" t="str">
        <f>"天津浦莱多机电有限公司"</f>
        <v>天津浦莱多机电有限公司</v>
      </c>
      <c r="B2468" s="1" t="str">
        <f>"一种带有AVR外围电路的无刷发电机控制电路"</f>
        <v>一种带有AVR外围电路的无刷发电机控制电路</v>
      </c>
      <c r="C2468" s="1" t="str">
        <f t="shared" si="1218"/>
        <v>实用新型</v>
      </c>
      <c r="D2468" s="1" t="str">
        <f t="shared" si="1219"/>
        <v>未缴年费专利权终止</v>
      </c>
      <c r="E2468" s="1" t="str">
        <f>"CN201720502334.8"</f>
        <v>CN201720502334.8</v>
      </c>
      <c r="F2468" s="1" t="str">
        <f>"2017-05-08"</f>
        <v>2017-05-08</v>
      </c>
      <c r="G2468" s="1" t="str">
        <f>"CN206790381U"</f>
        <v>CN206790381U</v>
      </c>
      <c r="H2468" s="1" t="str">
        <f>"2017-12-22"</f>
        <v>2017-12-22</v>
      </c>
      <c r="I2468" s="1" t="str">
        <f>"吴越"</f>
        <v>吴越</v>
      </c>
      <c r="J2468" s="1" t="str">
        <f>"天津浦莱多机电有限公司"</f>
        <v>天津浦莱多机电有限公司</v>
      </c>
    </row>
    <row r="2469" spans="1:10">
      <c r="A2469" s="1" t="str">
        <f t="shared" ref="A2469:A2476" si="1224">"天津创杰电机有限公司"</f>
        <v>天津创杰电机有限公司</v>
      </c>
      <c r="B2469" s="1" t="str">
        <f>"一种汽车用燃气罐放置架"</f>
        <v>一种汽车用燃气罐放置架</v>
      </c>
      <c r="C2469" s="1" t="str">
        <f t="shared" si="1218"/>
        <v>实用新型</v>
      </c>
      <c r="D2469" s="1" t="str">
        <f t="shared" si="1219"/>
        <v>未缴年费专利权终止</v>
      </c>
      <c r="E2469" s="1" t="str">
        <f>"CN201720038146.4"</f>
        <v>CN201720038146.4</v>
      </c>
      <c r="F2469" s="1" t="str">
        <f t="shared" ref="F2469:F2476" si="1225">"2017-01-13"</f>
        <v>2017-01-13</v>
      </c>
      <c r="G2469" s="1" t="str">
        <f>"CN206514070U"</f>
        <v>CN206514070U</v>
      </c>
      <c r="H2469" s="1" t="str">
        <f>"2017-09-22"</f>
        <v>2017-09-22</v>
      </c>
      <c r="I2469" s="1" t="str">
        <f t="shared" ref="I2469:I2476" si="1226">"刘迎吉"</f>
        <v>刘迎吉</v>
      </c>
      <c r="J2469" s="1" t="str">
        <f t="shared" ref="J2469:J2476" si="1227">"天津创杰电机有限公司"</f>
        <v>天津创杰电机有限公司</v>
      </c>
    </row>
    <row r="2470" spans="1:10">
      <c r="A2470" s="1" t="str">
        <f t="shared" si="1224"/>
        <v>天津创杰电机有限公司</v>
      </c>
      <c r="B2470" s="1" t="str">
        <f>"一种汽车滤清器除尘装置"</f>
        <v>一种汽车滤清器除尘装置</v>
      </c>
      <c r="C2470" s="1" t="str">
        <f t="shared" si="1218"/>
        <v>实用新型</v>
      </c>
      <c r="D2470" s="1" t="str">
        <f t="shared" si="1219"/>
        <v>未缴年费专利权终止</v>
      </c>
      <c r="E2470" s="1" t="str">
        <f>"CN201720038143.0"</f>
        <v>CN201720038143.0</v>
      </c>
      <c r="F2470" s="1" t="str">
        <f t="shared" si="1225"/>
        <v>2017-01-13</v>
      </c>
      <c r="G2470" s="1" t="str">
        <f>"CN206483775U"</f>
        <v>CN206483775U</v>
      </c>
      <c r="H2470" s="1" t="str">
        <f>"2017-09-12"</f>
        <v>2017-09-12</v>
      </c>
      <c r="I2470" s="1" t="str">
        <f t="shared" si="1226"/>
        <v>刘迎吉</v>
      </c>
      <c r="J2470" s="1" t="str">
        <f t="shared" si="1227"/>
        <v>天津创杰电机有限公司</v>
      </c>
    </row>
    <row r="2471" spans="1:10">
      <c r="A2471" s="1" t="str">
        <f t="shared" si="1224"/>
        <v>天津创杰电机有限公司</v>
      </c>
      <c r="B2471" s="1" t="str">
        <f>"一种新型太阳能洗车装置"</f>
        <v>一种新型太阳能洗车装置</v>
      </c>
      <c r="C2471" s="1" t="str">
        <f t="shared" si="1218"/>
        <v>实用新型</v>
      </c>
      <c r="D2471" s="1" t="str">
        <f t="shared" si="1219"/>
        <v>未缴年费专利权终止</v>
      </c>
      <c r="E2471" s="1" t="str">
        <f>"CN201720038119.7"</f>
        <v>CN201720038119.7</v>
      </c>
      <c r="F2471" s="1" t="str">
        <f t="shared" si="1225"/>
        <v>2017-01-13</v>
      </c>
      <c r="G2471" s="1" t="str">
        <f>"CN206427004U"</f>
        <v>CN206427004U</v>
      </c>
      <c r="H2471" s="1" t="str">
        <f t="shared" ref="H2471:H2476" si="1228">"2017-08-22"</f>
        <v>2017-08-22</v>
      </c>
      <c r="I2471" s="1" t="str">
        <f t="shared" si="1226"/>
        <v>刘迎吉</v>
      </c>
      <c r="J2471" s="1" t="str">
        <f t="shared" si="1227"/>
        <v>天津创杰电机有限公司</v>
      </c>
    </row>
    <row r="2472" spans="1:10">
      <c r="A2472" s="1" t="str">
        <f t="shared" si="1224"/>
        <v>天津创杰电机有限公司</v>
      </c>
      <c r="B2472" s="1" t="str">
        <f>"一种便携式涂料搅拌装置"</f>
        <v>一种便携式涂料搅拌装置</v>
      </c>
      <c r="C2472" s="1" t="str">
        <f t="shared" si="1218"/>
        <v>实用新型</v>
      </c>
      <c r="D2472" s="1" t="str">
        <f t="shared" si="1219"/>
        <v>未缴年费专利权终止</v>
      </c>
      <c r="E2472" s="1" t="str">
        <f>"CN201720038292.7"</f>
        <v>CN201720038292.7</v>
      </c>
      <c r="F2472" s="1" t="str">
        <f t="shared" si="1225"/>
        <v>2017-01-13</v>
      </c>
      <c r="G2472" s="1" t="str">
        <f>"CN206424690U"</f>
        <v>CN206424690U</v>
      </c>
      <c r="H2472" s="1" t="str">
        <f t="shared" si="1228"/>
        <v>2017-08-22</v>
      </c>
      <c r="I2472" s="1" t="str">
        <f t="shared" si="1226"/>
        <v>刘迎吉</v>
      </c>
      <c r="J2472" s="1" t="str">
        <f t="shared" si="1227"/>
        <v>天津创杰电机有限公司</v>
      </c>
    </row>
    <row r="2473" spans="1:10">
      <c r="A2473" s="1" t="str">
        <f t="shared" si="1224"/>
        <v>天津创杰电机有限公司</v>
      </c>
      <c r="B2473" s="1" t="str">
        <f>"一种脚踏式自助洗车装置"</f>
        <v>一种脚踏式自助洗车装置</v>
      </c>
      <c r="C2473" s="1" t="str">
        <f t="shared" si="1218"/>
        <v>实用新型</v>
      </c>
      <c r="D2473" s="1" t="str">
        <f t="shared" si="1219"/>
        <v>未缴年费专利权终止</v>
      </c>
      <c r="E2473" s="1" t="str">
        <f>"CN201720038263.0"</f>
        <v>CN201720038263.0</v>
      </c>
      <c r="F2473" s="1" t="str">
        <f t="shared" si="1225"/>
        <v>2017-01-13</v>
      </c>
      <c r="G2473" s="1" t="str">
        <f>"CN206427005U"</f>
        <v>CN206427005U</v>
      </c>
      <c r="H2473" s="1" t="str">
        <f t="shared" si="1228"/>
        <v>2017-08-22</v>
      </c>
      <c r="I2473" s="1" t="str">
        <f t="shared" si="1226"/>
        <v>刘迎吉</v>
      </c>
      <c r="J2473" s="1" t="str">
        <f t="shared" si="1227"/>
        <v>天津创杰电机有限公司</v>
      </c>
    </row>
    <row r="2474" spans="1:10">
      <c r="A2474" s="1" t="str">
        <f t="shared" si="1224"/>
        <v>天津创杰电机有限公司</v>
      </c>
      <c r="B2474" s="1" t="str">
        <f>"一种汽车挡风板遮光装置"</f>
        <v>一种汽车挡风板遮光装置</v>
      </c>
      <c r="C2474" s="1" t="str">
        <f t="shared" si="1218"/>
        <v>实用新型</v>
      </c>
      <c r="D2474" s="1" t="str">
        <f t="shared" si="1219"/>
        <v>未缴年费专利权终止</v>
      </c>
      <c r="E2474" s="1" t="str">
        <f>"CN201720038179.9"</f>
        <v>CN201720038179.9</v>
      </c>
      <c r="F2474" s="1" t="str">
        <f t="shared" si="1225"/>
        <v>2017-01-13</v>
      </c>
      <c r="G2474" s="1" t="str">
        <f>"CN206426811U"</f>
        <v>CN206426811U</v>
      </c>
      <c r="H2474" s="1" t="str">
        <f t="shared" si="1228"/>
        <v>2017-08-22</v>
      </c>
      <c r="I2474" s="1" t="str">
        <f t="shared" si="1226"/>
        <v>刘迎吉</v>
      </c>
      <c r="J2474" s="1" t="str">
        <f t="shared" si="1227"/>
        <v>天津创杰电机有限公司</v>
      </c>
    </row>
    <row r="2475" spans="1:10">
      <c r="A2475" s="1" t="str">
        <f t="shared" si="1224"/>
        <v>天津创杰电机有限公司</v>
      </c>
      <c r="B2475" s="1" t="str">
        <f>"一种新型汽车滤清器拆装装置"</f>
        <v>一种新型汽车滤清器拆装装置</v>
      </c>
      <c r="C2475" s="1" t="str">
        <f t="shared" si="1218"/>
        <v>实用新型</v>
      </c>
      <c r="D2475" s="1" t="str">
        <f t="shared" si="1219"/>
        <v>未缴年费专利权终止</v>
      </c>
      <c r="E2475" s="1" t="str">
        <f>"CN201720038173.1"</f>
        <v>CN201720038173.1</v>
      </c>
      <c r="F2475" s="1" t="str">
        <f t="shared" si="1225"/>
        <v>2017-01-13</v>
      </c>
      <c r="G2475" s="1" t="str">
        <f>"CN206426032U"</f>
        <v>CN206426032U</v>
      </c>
      <c r="H2475" s="1" t="str">
        <f t="shared" si="1228"/>
        <v>2017-08-22</v>
      </c>
      <c r="I2475" s="1" t="str">
        <f t="shared" si="1226"/>
        <v>刘迎吉</v>
      </c>
      <c r="J2475" s="1" t="str">
        <f t="shared" si="1227"/>
        <v>天津创杰电机有限公司</v>
      </c>
    </row>
    <row r="2476" spans="1:10">
      <c r="A2476" s="1" t="str">
        <f t="shared" si="1224"/>
        <v>天津创杰电机有限公司</v>
      </c>
      <c r="B2476" s="1" t="str">
        <f>"一种汽车燃气罐安装架"</f>
        <v>一种汽车燃气罐安装架</v>
      </c>
      <c r="C2476" s="1" t="str">
        <f t="shared" si="1218"/>
        <v>实用新型</v>
      </c>
      <c r="D2476" s="1" t="str">
        <f t="shared" si="1219"/>
        <v>未缴年费专利权终止</v>
      </c>
      <c r="E2476" s="1" t="str">
        <f>"CN201720038114.4"</f>
        <v>CN201720038114.4</v>
      </c>
      <c r="F2476" s="1" t="str">
        <f t="shared" si="1225"/>
        <v>2017-01-13</v>
      </c>
      <c r="G2476" s="1" t="str">
        <f>"CN206426851U"</f>
        <v>CN206426851U</v>
      </c>
      <c r="H2476" s="1" t="str">
        <f t="shared" si="1228"/>
        <v>2017-08-22</v>
      </c>
      <c r="I2476" s="1" t="str">
        <f t="shared" si="1226"/>
        <v>刘迎吉</v>
      </c>
      <c r="J2476" s="1" t="str">
        <f t="shared" si="1227"/>
        <v>天津创杰电机有限公司</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4</vt:i4>
      </vt:variant>
    </vt:vector>
  </HeadingPairs>
  <TitlesOfParts>
    <vt:vector size="4" baseType="lpstr">
      <vt:lpstr>集群名称</vt:lpstr>
      <vt:lpstr>集群企业名单</vt:lpstr>
      <vt:lpstr>集群企业荣誉信息</vt:lpstr>
      <vt:lpstr>集群企业专利信息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lagrange</dc:creator>
  <cp:lastModifiedBy>梁杰凯</cp:lastModifiedBy>
  <dcterms:created xsi:type="dcterms:W3CDTF">2023-05-12T11:15:00Z</dcterms:created>
  <dcterms:modified xsi:type="dcterms:W3CDTF">2025-09-27T06:13:47Z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2052-12.1.0.22529</vt:lpwstr>
  </property>
  <property fmtid="{D5CDD505-2E9C-101B-9397-08002B2CF9AE}" pid="3" name="ICV">
    <vt:lpwstr>EBD90C6449D64246B04DD67E1C044EE9_12</vt:lpwstr>
  </property>
</Properties>
</file>